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25.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11.xml" ContentType="application/vnd.openxmlformats-officedocument.spreadsheetml.revisionLog+xml"/>
  <Override PartName="/xl/revisions/revisionLog21.xml" ContentType="application/vnd.openxmlformats-officedocument.spreadsheetml.revisionLog+xml"/>
  <Override PartName="/xl/revisions/revisionLog2.xml" ContentType="application/vnd.openxmlformats-officedocument.spreadsheetml.revisionLog+xml"/>
  <Override PartName="/xl/revisions/revisionLog10.xml" ContentType="application/vnd.openxmlformats-officedocument.spreadsheetml.revisionLog+xml"/>
  <Override PartName="/xl/revisions/revisionLog16.xml" ContentType="application/vnd.openxmlformats-officedocument.spreadsheetml.revisionLog+xml"/>
  <Override PartName="/xl/revisions/revisionLog6.xml" ContentType="application/vnd.openxmlformats-officedocument.spreadsheetml.revisionLog+xml"/>
  <Override PartName="/xl/revisions/revisionLog15.xml" ContentType="application/vnd.openxmlformats-officedocument.spreadsheetml.revisionLog+xml"/>
  <Override PartName="/xl/revisions/revisionLog20.xml" ContentType="application/vnd.openxmlformats-officedocument.spreadsheetml.revisionLog+xml"/>
  <Override PartName="/xl/revisions/revisionLog1.xml" ContentType="application/vnd.openxmlformats-officedocument.spreadsheetml.revisionLog+xml"/>
  <Override PartName="/xl/revisions/revisionLog9.xml" ContentType="application/vnd.openxmlformats-officedocument.spreadsheetml.revisionLog+xml"/>
  <Override PartName="/xl/revisions/revisionLog19.xml" ContentType="application/vnd.openxmlformats-officedocument.spreadsheetml.revisionLog+xml"/>
  <Override PartName="/xl/revisions/revisionLog24.xml" ContentType="application/vnd.openxmlformats-officedocument.spreadsheetml.revisionLog+xml"/>
  <Override PartName="/xl/revisions/revisionLog14.xml" ContentType="application/vnd.openxmlformats-officedocument.spreadsheetml.revisionLog+xml"/>
  <Override PartName="/xl/revisions/revisionLog5.xml" ContentType="application/vnd.openxmlformats-officedocument.spreadsheetml.revisionLog+xml"/>
  <Override PartName="/xl/revisions/revisionLog13.xml" ContentType="application/vnd.openxmlformats-officedocument.spreadsheetml.revisionLog+xml"/>
  <Override PartName="/xl/revisions/revisionLog23.xml" ContentType="application/vnd.openxmlformats-officedocument.spreadsheetml.revisionLog+xml"/>
  <Override PartName="/xl/revisions/revisionLog8.xml" ContentType="application/vnd.openxmlformats-officedocument.spreadsheetml.revisionLog+xml"/>
  <Override PartName="/xl/revisions/revisionLog18.xml" ContentType="application/vnd.openxmlformats-officedocument.spreadsheetml.revisionLog+xml"/>
  <Override PartName="/xl/revisions/revisionLog4.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22.xml" ContentType="application/vnd.openxmlformats-officedocument.spreadsheetml.revisionLog+xml"/>
  <Override PartName="/xl/revisions/revisionLog3.xml" ContentType="application/vnd.openxmlformats-officedocument.spreadsheetml.revisionLog+xml"/>
  <Override PartName="/xl/revisions/revisionLog1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N:\УК\- ОТДЕЛ КУЛЬТУРЫ -\СЕТЕВЫЕ ГРАФИКИ И ТЕХЗАДАНИЯ\2024\Годовой отчет\"/>
    </mc:Choice>
  </mc:AlternateContent>
  <bookViews>
    <workbookView xWindow="0" yWindow="0" windowWidth="14445" windowHeight="11565" tabRatio="798" firstSheet="7" activeTab="7"/>
  </bookViews>
  <sheets>
    <sheet name="Оглавление" sheetId="1" state="hidden" r:id="rId1"/>
    <sheet name="1.СЗН" sheetId="2" state="hidden" r:id="rId2"/>
    <sheet name="2.АПК" sheetId="3" state="hidden" r:id="rId3"/>
    <sheet name="3.БЖД" sheetId="4" state="hidden" r:id="rId4"/>
    <sheet name="4.УМИ" sheetId="5" state="hidden" r:id="rId5"/>
    <sheet name="5.Проф. прав." sheetId="6" state="hidden" r:id="rId6"/>
    <sheet name="6.Экстримизм" sheetId="7" state="hidden" r:id="rId7"/>
    <sheet name="7.МП КП" sheetId="8" r:id="rId8"/>
    <sheet name="8.МП РМС" sheetId="9" state="hidden" r:id="rId9"/>
    <sheet name="Лист3" sheetId="10" state="hidden" r:id="rId10"/>
    <sheet name="9.МП РИГО" sheetId="11" state="hidden" r:id="rId11"/>
    <sheet name="10.МП РФКиС" sheetId="12" state="hidden" r:id="rId12"/>
    <sheet name="Лист2" sheetId="13" state="hidden" r:id="rId13"/>
    <sheet name="11.МП РО" sheetId="14" state="hidden" r:id="rId14"/>
    <sheet name="12.МП УМФ" sheetId="15" state="hidden" r:id="rId15"/>
    <sheet name="Лист1" sheetId="16" state="hidden" r:id="rId16"/>
    <sheet name="13.МП РЖС" sheetId="17" state="hidden" r:id="rId17"/>
    <sheet name="14.МП СЭР" sheetId="18" state="hidden" r:id="rId18"/>
    <sheet name="15.МП ЭБ" sheetId="19" state="hidden" r:id="rId19"/>
    <sheet name="16.МП РЖКК" sheetId="20" state="hidden" r:id="rId20"/>
    <sheet name="17.МП РТС" sheetId="21" state="hidden" r:id="rId21"/>
    <sheet name="Лист4" sheetId="24" state="hidden" r:id="rId22"/>
    <sheet name="18.МП ФКГС" sheetId="22" state="hidden" r:id="rId23"/>
    <sheet name="19.МП СОГХ" sheetId="23" state="hidden" r:id="rId24"/>
  </sheets>
  <externalReferences>
    <externalReference r:id="rId25"/>
  </externalReferences>
  <definedNames>
    <definedName name="_xlnm._FilterDatabase" localSheetId="1" hidden="1">'1.СЗН'!$A$1:$AF$64</definedName>
    <definedName name="_xlnm._FilterDatabase" localSheetId="13" hidden="1">'11.МП РО'!$A$7:$AP$125</definedName>
    <definedName name="_xlnm._FilterDatabase" localSheetId="2" hidden="1">'2.АПК'!$A$1:$AF$36</definedName>
    <definedName name="_xlnm._FilterDatabase" localSheetId="3" hidden="1">'3.БЖД'!$A$1:$AF$17</definedName>
    <definedName name="_xlnm._FilterDatabase" localSheetId="4" hidden="1">'4.УМИ'!$A$1:$AF$11</definedName>
    <definedName name="_xlnm._FilterDatabase" localSheetId="5" hidden="1">'5.Проф. прав.'!$A$1:$AF$12</definedName>
    <definedName name="_xlnm._FilterDatabase" localSheetId="6" hidden="1">'6.Экстримизм'!$A$1:$AF$11</definedName>
    <definedName name="Z_009B3074_D8EC_4952_BF50_43CD64449612_.wvu.Cols" localSheetId="16" hidden="1">'13.МП РЖС'!$AG:$AG</definedName>
    <definedName name="Z_009B3074_D8EC_4952_BF50_43CD64449612_.wvu.FilterData" localSheetId="1" hidden="1">'1.СЗН'!$A$1:$AF$64</definedName>
    <definedName name="Z_009B3074_D8EC_4952_BF50_43CD64449612_.wvu.FilterData" localSheetId="2" hidden="1">'2.АПК'!$A$1:$AF$36</definedName>
    <definedName name="Z_009B3074_D8EC_4952_BF50_43CD64449612_.wvu.FilterData" localSheetId="3" hidden="1">'3.БЖД'!$A$1:$AF$17</definedName>
    <definedName name="Z_009B3074_D8EC_4952_BF50_43CD64449612_.wvu.FilterData" localSheetId="4" hidden="1">'4.УМИ'!$A$1:$AF$11</definedName>
    <definedName name="Z_009B3074_D8EC_4952_BF50_43CD64449612_.wvu.FilterData" localSheetId="5" hidden="1">'5.Проф. прав.'!$A$1:$AF$12</definedName>
    <definedName name="Z_009B3074_D8EC_4952_BF50_43CD64449612_.wvu.FilterData" localSheetId="6" hidden="1">'6.Экстримизм'!$A$1:$AF$11</definedName>
    <definedName name="Z_009B3074_D8EC_4952_BF50_43CD64449612_.wvu.Rows" localSheetId="1" hidden="1">'1.СЗН'!$70:$74</definedName>
    <definedName name="Z_009B3074_D8EC_4952_BF50_43CD64449612_.wvu.Rows" localSheetId="16" hidden="1">'13.МП РЖС'!$122:$127</definedName>
    <definedName name="Z_009B3074_D8EC_4952_BF50_43CD64449612_.wvu.Rows" localSheetId="6" hidden="1">'6.Экстримизм'!$9:$23,'6.Экстримизм'!$30:$38,'6.Экстримизм'!$44:$49,'6.Экстримизм'!$65:$67,'6.Экстримизм'!$71:$76,'6.Экстримизм'!$86:$88,'6.Экстримизм'!$95:$97</definedName>
    <definedName name="Z_02B5371E_3FEA_431F_8D1C_97C61DBD0F6D_.wvu.FilterData" localSheetId="4" hidden="1">'4.УМИ'!$A$1:$AF$11</definedName>
    <definedName name="Z_046AFB83_FD50_413F_A7DB_BE0EF3893FF7_.wvu.FilterData" localSheetId="3" hidden="1">'3.БЖД'!$A$1:$AF$17</definedName>
    <definedName name="Z_06D4F6C4_78B9_4E41_B83A_C6D0A12202C6_.wvu.FilterData" localSheetId="3" hidden="1">'3.БЖД'!$A$1:$AF$17</definedName>
    <definedName name="Z_06D4F6C4_78B9_4E41_B83A_C6D0A12202C6_.wvu.FilterData" localSheetId="4" hidden="1">'4.УМИ'!$A$1:$AF$11</definedName>
    <definedName name="Z_06D4F6C4_78B9_4E41_B83A_C6D0A12202C6_.wvu.FilterData" localSheetId="5" hidden="1">'5.Проф. прав.'!$A$1:$AF$12</definedName>
    <definedName name="Z_09A01908_752D_4BD9_AEF0_D3DACA790039_.wvu.FilterData" localSheetId="13" hidden="1">'11.МП РО'!$A$4:$A$394</definedName>
    <definedName name="Z_09C3E205_981E_4A4E_BE89_8B7044192060_.wvu.Cols" localSheetId="16" hidden="1">'13.МП РЖС'!$AG:$AG</definedName>
    <definedName name="Z_09C3E205_981E_4A4E_BE89_8B7044192060_.wvu.FilterData" localSheetId="1" hidden="1">'1.СЗН'!$A$1:$AF$64</definedName>
    <definedName name="Z_09C3E205_981E_4A4E_BE89_8B7044192060_.wvu.FilterData" localSheetId="13" hidden="1">'11.МП РО'!$A$7:$AP$125</definedName>
    <definedName name="Z_09C3E205_981E_4A4E_BE89_8B7044192060_.wvu.FilterData" localSheetId="2" hidden="1">'2.АПК'!$A$1:$AF$36</definedName>
    <definedName name="Z_09C3E205_981E_4A4E_BE89_8B7044192060_.wvu.FilterData" localSheetId="3" hidden="1">'3.БЖД'!$A$1:$AF$17</definedName>
    <definedName name="Z_09C3E205_981E_4A4E_BE89_8B7044192060_.wvu.FilterData" localSheetId="4" hidden="1">'4.УМИ'!$A$1:$AF$11</definedName>
    <definedName name="Z_09C3E205_981E_4A4E_BE89_8B7044192060_.wvu.FilterData" localSheetId="5" hidden="1">'5.Проф. прав.'!$A$1:$AF$12</definedName>
    <definedName name="Z_09C3E205_981E_4A4E_BE89_8B7044192060_.wvu.FilterData" localSheetId="6" hidden="1">'6.Экстримизм'!$A$1:$AF$11</definedName>
    <definedName name="Z_09C3E205_981E_4A4E_BE89_8B7044192060_.wvu.Rows" localSheetId="1" hidden="1">'1.СЗН'!$70:$74</definedName>
    <definedName name="Z_09C3E205_981E_4A4E_BE89_8B7044192060_.wvu.Rows" localSheetId="16" hidden="1">'13.МП РЖС'!$122:$127</definedName>
    <definedName name="Z_09C3E205_981E_4A4E_BE89_8B7044192060_.wvu.Rows" localSheetId="6" hidden="1">'6.Экстримизм'!$9:$23,'6.Экстримизм'!$30:$38,'6.Экстримизм'!$44:$49,'6.Экстримизм'!$65:$67,'6.Экстримизм'!$71:$76,'6.Экстримизм'!$86:$88,'6.Экстримизм'!$95:$97</definedName>
    <definedName name="Z_0C2B9C2A_7B94_41EF_A2E6_F8AC9A67DE25_.wvu.Cols" localSheetId="16" hidden="1">'13.МП РЖС'!$AG:$AG</definedName>
    <definedName name="Z_0C2B9C2A_7B94_41EF_A2E6_F8AC9A67DE25_.wvu.FilterData" localSheetId="1" hidden="1">'1.СЗН'!$A$1:$AF$64</definedName>
    <definedName name="Z_0C2B9C2A_7B94_41EF_A2E6_F8AC9A67DE25_.wvu.FilterData" localSheetId="13" hidden="1">'11.МП РО'!$A$4:$A$394</definedName>
    <definedName name="Z_0C2B9C2A_7B94_41EF_A2E6_F8AC9A67DE25_.wvu.FilterData" localSheetId="2" hidden="1">'2.АПК'!$A$1:$AF$36</definedName>
    <definedName name="Z_0C2B9C2A_7B94_41EF_A2E6_F8AC9A67DE25_.wvu.FilterData" localSheetId="3" hidden="1">'3.БЖД'!$A$1:$AF$17</definedName>
    <definedName name="Z_0C2B9C2A_7B94_41EF_A2E6_F8AC9A67DE25_.wvu.FilterData" localSheetId="4" hidden="1">'4.УМИ'!$A$1:$AF$11</definedName>
    <definedName name="Z_0C2B9C2A_7B94_41EF_A2E6_F8AC9A67DE25_.wvu.FilterData" localSheetId="5" hidden="1">'5.Проф. прав.'!$A$1:$AF$12</definedName>
    <definedName name="Z_0C2B9C2A_7B94_41EF_A2E6_F8AC9A67DE25_.wvu.FilterData" localSheetId="6" hidden="1">'6.Экстримизм'!$A$1:$AF$11</definedName>
    <definedName name="Z_0C2B9C2A_7B94_41EF_A2E6_F8AC9A67DE25_.wvu.Rows" localSheetId="1" hidden="1">'1.СЗН'!$70:$74</definedName>
    <definedName name="Z_0C2B9C2A_7B94_41EF_A2E6_F8AC9A67DE25_.wvu.Rows" localSheetId="16" hidden="1">'13.МП РЖС'!$122:$127</definedName>
    <definedName name="Z_0C2B9C2A_7B94_41EF_A2E6_F8AC9A67DE25_.wvu.Rows" localSheetId="6" hidden="1">'6.Экстримизм'!$9:$23,'6.Экстримизм'!$30:$38,'6.Экстримизм'!$44:$49,'6.Экстримизм'!$65:$67,'6.Экстримизм'!$71:$76,'6.Экстримизм'!$86:$88,'6.Экстримизм'!$95:$97</definedName>
    <definedName name="Z_14AE3783_B575_4C22_AD07_D99CD2790C74_.wvu.FilterData" localSheetId="1" hidden="1">'1.СЗН'!$A$1:$AF$64</definedName>
    <definedName name="Z_14D8F805_178B_4C67_A6E6_FCFB130EDA62_.wvu.FilterData" localSheetId="5" hidden="1">'5.Проф. прав.'!$A$1:$AF$12</definedName>
    <definedName name="Z_156C842B_D355_4B71_A3D0_133AEBBBBA50_.wvu.FilterData" localSheetId="4" hidden="1">'4.УМИ'!$A$1:$AF$11</definedName>
    <definedName name="Z_1CA031DA_9237_4D9E_BB9C_8B25FB8039FC_.wvu.FilterData" localSheetId="13" hidden="1">'11.МП РО'!$A$4:$A$394</definedName>
    <definedName name="Z_1ECC12B6_BF03_4EFA_B8A6_DA1B30010722_.wvu.FilterData" localSheetId="1" hidden="1">'1.СЗН'!$A$1:$AF$64</definedName>
    <definedName name="Z_2B28E3F7_8F36_48D6_A6D1_DB719711CC10_.wvu.FilterData" localSheetId="6" hidden="1">'6.Экстримизм'!$A$1:$AF$11</definedName>
    <definedName name="Z_391AB76E_B386_49C1_800F_016A48AA1A46_.wvu.Cols" localSheetId="16" hidden="1">'13.МП РЖС'!$AG:$AG</definedName>
    <definedName name="Z_391AB76E_B386_49C1_800F_016A48AA1A46_.wvu.FilterData" localSheetId="1" hidden="1">'1.СЗН'!$A$1:$AF$64</definedName>
    <definedName name="Z_391AB76E_B386_49C1_800F_016A48AA1A46_.wvu.FilterData" localSheetId="13" hidden="1">'11.МП РО'!$A$4:$A$394</definedName>
    <definedName name="Z_391AB76E_B386_49C1_800F_016A48AA1A46_.wvu.FilterData" localSheetId="2" hidden="1">'2.АПК'!$A$1:$AF$36</definedName>
    <definedName name="Z_391AB76E_B386_49C1_800F_016A48AA1A46_.wvu.FilterData" localSheetId="3" hidden="1">'3.БЖД'!$A$1:$AF$17</definedName>
    <definedName name="Z_391AB76E_B386_49C1_800F_016A48AA1A46_.wvu.FilterData" localSheetId="4" hidden="1">'4.УМИ'!$A$1:$AF$11</definedName>
    <definedName name="Z_391AB76E_B386_49C1_800F_016A48AA1A46_.wvu.FilterData" localSheetId="5" hidden="1">'5.Проф. прав.'!$A$1:$AF$12</definedName>
    <definedName name="Z_391AB76E_B386_49C1_800F_016A48AA1A46_.wvu.FilterData" localSheetId="6" hidden="1">'6.Экстримизм'!$A$1:$AF$11</definedName>
    <definedName name="Z_391AB76E_B386_49C1_800F_016A48AA1A46_.wvu.Rows" localSheetId="1" hidden="1">'1.СЗН'!$70:$74</definedName>
    <definedName name="Z_391AB76E_B386_49C1_800F_016A48AA1A46_.wvu.Rows" localSheetId="16" hidden="1">'13.МП РЖС'!$122:$127</definedName>
    <definedName name="Z_391AB76E_B386_49C1_800F_016A48AA1A46_.wvu.Rows" localSheetId="6" hidden="1">'6.Экстримизм'!$9:$23,'6.Экстримизм'!$30:$38,'6.Экстримизм'!$44:$49,'6.Экстримизм'!$65:$67,'6.Экстримизм'!$71:$76,'6.Экстримизм'!$86:$88,'6.Экстримизм'!$95:$97</definedName>
    <definedName name="Z_3C3F523F_5F34_4CF7_831E_F1ABC4278CEB_.wvu.Cols" localSheetId="16" hidden="1">'13.МП РЖС'!$AG:$AG</definedName>
    <definedName name="Z_3C3F523F_5F34_4CF7_831E_F1ABC4278CEB_.wvu.FilterData" localSheetId="1" hidden="1">'1.СЗН'!$A$1:$AF$64</definedName>
    <definedName name="Z_3C3F523F_5F34_4CF7_831E_F1ABC4278CEB_.wvu.FilterData" localSheetId="13" hidden="1">'11.МП РО'!$A$4:$A$394</definedName>
    <definedName name="Z_3C3F523F_5F34_4CF7_831E_F1ABC4278CEB_.wvu.FilterData" localSheetId="2" hidden="1">'2.АПК'!$A$1:$AF$36</definedName>
    <definedName name="Z_3C3F523F_5F34_4CF7_831E_F1ABC4278CEB_.wvu.FilterData" localSheetId="3" hidden="1">'3.БЖД'!$A$1:$AF$17</definedName>
    <definedName name="Z_3C3F523F_5F34_4CF7_831E_F1ABC4278CEB_.wvu.FilterData" localSheetId="4" hidden="1">'4.УМИ'!$A$1:$AF$11</definedName>
    <definedName name="Z_3C3F523F_5F34_4CF7_831E_F1ABC4278CEB_.wvu.FilterData" localSheetId="5" hidden="1">'5.Проф. прав.'!$A$1:$AF$12</definedName>
    <definedName name="Z_3C3F523F_5F34_4CF7_831E_F1ABC4278CEB_.wvu.FilterData" localSheetId="6" hidden="1">'6.Экстримизм'!$A$1:$AF$11</definedName>
    <definedName name="Z_3C3F523F_5F34_4CF7_831E_F1ABC4278CEB_.wvu.Rows" localSheetId="1" hidden="1">'1.СЗН'!$70:$74</definedName>
    <definedName name="Z_3C3F523F_5F34_4CF7_831E_F1ABC4278CEB_.wvu.Rows" localSheetId="16" hidden="1">'13.МП РЖС'!$122:$127</definedName>
    <definedName name="Z_3C3F523F_5F34_4CF7_831E_F1ABC4278CEB_.wvu.Rows" localSheetId="6" hidden="1">'6.Экстримизм'!$9:$23,'6.Экстримизм'!$30:$38,'6.Экстримизм'!$44:$49,'6.Экстримизм'!$65:$67,'6.Экстримизм'!$71:$76,'6.Экстримизм'!$86:$88,'6.Экстримизм'!$95:$97</definedName>
    <definedName name="Z_415078CD_EB99_432D_90BA_2F3D5A746E20_.wvu.Cols" localSheetId="16" hidden="1">'13.МП РЖС'!$AG:$AG</definedName>
    <definedName name="Z_415078CD_EB99_432D_90BA_2F3D5A746E20_.wvu.FilterData" localSheetId="1" hidden="1">'1.СЗН'!$A$1:$AF$64</definedName>
    <definedName name="Z_415078CD_EB99_432D_90BA_2F3D5A746E20_.wvu.FilterData" localSheetId="13" hidden="1">'11.МП РО'!$A$4:$A$394</definedName>
    <definedName name="Z_415078CD_EB99_432D_90BA_2F3D5A746E20_.wvu.FilterData" localSheetId="2" hidden="1">'2.АПК'!$A$1:$AF$36</definedName>
    <definedName name="Z_415078CD_EB99_432D_90BA_2F3D5A746E20_.wvu.FilterData" localSheetId="3" hidden="1">'3.БЖД'!$A$1:$AF$17</definedName>
    <definedName name="Z_415078CD_EB99_432D_90BA_2F3D5A746E20_.wvu.FilterData" localSheetId="4" hidden="1">'4.УМИ'!$A$1:$AF$11</definedName>
    <definedName name="Z_415078CD_EB99_432D_90BA_2F3D5A746E20_.wvu.FilterData" localSheetId="5" hidden="1">'5.Проф. прав.'!$A$1:$AF$12</definedName>
    <definedName name="Z_415078CD_EB99_432D_90BA_2F3D5A746E20_.wvu.FilterData" localSheetId="6" hidden="1">'6.Экстримизм'!$A$1:$AF$11</definedName>
    <definedName name="Z_415078CD_EB99_432D_90BA_2F3D5A746E20_.wvu.Rows" localSheetId="1" hidden="1">'1.СЗН'!$70:$74</definedName>
    <definedName name="Z_415078CD_EB99_432D_90BA_2F3D5A746E20_.wvu.Rows" localSheetId="16" hidden="1">'13.МП РЖС'!$122:$127</definedName>
    <definedName name="Z_415078CD_EB99_432D_90BA_2F3D5A746E20_.wvu.Rows" localSheetId="6" hidden="1">'6.Экстримизм'!$9:$23,'6.Экстримизм'!$30:$38,'6.Экстримизм'!$44:$49,'6.Экстримизм'!$65:$67,'6.Экстримизм'!$71:$76,'6.Экстримизм'!$86:$88,'6.Экстримизм'!$95:$97</definedName>
    <definedName name="Z_434B96D1_D08F_4AF6_8C32_E89BC5946BEA_.wvu.FilterData" localSheetId="6" hidden="1">'6.Экстримизм'!$A$1:$AF$11</definedName>
    <definedName name="Z_442F2C94_DD1B_4A01_8694_513D4D6F3BD9_.wvu.Cols" localSheetId="16" hidden="1">'13.МП РЖС'!$AG:$AG</definedName>
    <definedName name="Z_442F2C94_DD1B_4A01_8694_513D4D6F3BD9_.wvu.FilterData" localSheetId="1" hidden="1">'1.СЗН'!$A$1:$AF$64</definedName>
    <definedName name="Z_442F2C94_DD1B_4A01_8694_513D4D6F3BD9_.wvu.FilterData" localSheetId="13" hidden="1">'11.МП РО'!$A$4:$A$394</definedName>
    <definedName name="Z_442F2C94_DD1B_4A01_8694_513D4D6F3BD9_.wvu.FilterData" localSheetId="2" hidden="1">'2.АПК'!$A$1:$AF$36</definedName>
    <definedName name="Z_442F2C94_DD1B_4A01_8694_513D4D6F3BD9_.wvu.FilterData" localSheetId="3" hidden="1">'3.БЖД'!$A$1:$AF$17</definedName>
    <definedName name="Z_442F2C94_DD1B_4A01_8694_513D4D6F3BD9_.wvu.FilterData" localSheetId="4" hidden="1">'4.УМИ'!$A$1:$AF$11</definedName>
    <definedName name="Z_442F2C94_DD1B_4A01_8694_513D4D6F3BD9_.wvu.FilterData" localSheetId="5" hidden="1">'5.Проф. прав.'!$A$1:$AF$12</definedName>
    <definedName name="Z_442F2C94_DD1B_4A01_8694_513D4D6F3BD9_.wvu.FilterData" localSheetId="6" hidden="1">'6.Экстримизм'!$A$1:$AF$11</definedName>
    <definedName name="Z_442F2C94_DD1B_4A01_8694_513D4D6F3BD9_.wvu.Rows" localSheetId="1" hidden="1">'1.СЗН'!$70:$74</definedName>
    <definedName name="Z_442F2C94_DD1B_4A01_8694_513D4D6F3BD9_.wvu.Rows" localSheetId="16" hidden="1">'13.МП РЖС'!$122:$127</definedName>
    <definedName name="Z_442F2C94_DD1B_4A01_8694_513D4D6F3BD9_.wvu.Rows" localSheetId="6" hidden="1">'6.Экстримизм'!$9:$23,'6.Экстримизм'!$30:$38,'6.Экстримизм'!$44:$49,'6.Экстримизм'!$65:$67,'6.Экстримизм'!$71:$76,'6.Экстримизм'!$86:$88,'6.Экстримизм'!$95:$97</definedName>
    <definedName name="Z_47289B59_0596_438D_8672_7306C0E055AF_.wvu.FilterData" localSheetId="3" hidden="1">'3.БЖД'!$A$1:$AF$17</definedName>
    <definedName name="Z_472DFAFE_DC7C_463D_92A0_F6A14555FDD6_.wvu.Cols" localSheetId="16" hidden="1">'13.МП РЖС'!$AG:$AG</definedName>
    <definedName name="Z_472DFAFE_DC7C_463D_92A0_F6A14555FDD6_.wvu.FilterData" localSheetId="1" hidden="1">'1.СЗН'!$A$1:$AF$64</definedName>
    <definedName name="Z_472DFAFE_DC7C_463D_92A0_F6A14555FDD6_.wvu.FilterData" localSheetId="13" hidden="1">'11.МП РО'!$A$4:$A$394</definedName>
    <definedName name="Z_472DFAFE_DC7C_463D_92A0_F6A14555FDD6_.wvu.FilterData" localSheetId="2" hidden="1">'2.АПК'!$A$1:$AF$36</definedName>
    <definedName name="Z_472DFAFE_DC7C_463D_92A0_F6A14555FDD6_.wvu.FilterData" localSheetId="3" hidden="1">'3.БЖД'!$A$1:$AF$17</definedName>
    <definedName name="Z_472DFAFE_DC7C_463D_92A0_F6A14555FDD6_.wvu.FilterData" localSheetId="4" hidden="1">'4.УМИ'!$A$1:$AF$11</definedName>
    <definedName name="Z_472DFAFE_DC7C_463D_92A0_F6A14555FDD6_.wvu.FilterData" localSheetId="5" hidden="1">'5.Проф. прав.'!$A$1:$AF$12</definedName>
    <definedName name="Z_472DFAFE_DC7C_463D_92A0_F6A14555FDD6_.wvu.FilterData" localSheetId="6" hidden="1">'6.Экстримизм'!$A$1:$AF$11</definedName>
    <definedName name="Z_472DFAFE_DC7C_463D_92A0_F6A14555FDD6_.wvu.Rows" localSheetId="1" hidden="1">'1.СЗН'!$70:$74</definedName>
    <definedName name="Z_472DFAFE_DC7C_463D_92A0_F6A14555FDD6_.wvu.Rows" localSheetId="16" hidden="1">'13.МП РЖС'!$122:$127</definedName>
    <definedName name="Z_472DFAFE_DC7C_463D_92A0_F6A14555FDD6_.wvu.Rows" localSheetId="6" hidden="1">'6.Экстримизм'!$9:$23,'6.Экстримизм'!$30:$38,'6.Экстримизм'!$44:$49,'6.Экстримизм'!$65:$67,'6.Экстримизм'!$71:$76,'6.Экстримизм'!$86:$88,'6.Экстримизм'!$95:$97</definedName>
    <definedName name="Z_47B983AB_FE5F_4725_860C_A2F29420596D_.wvu.Cols" localSheetId="16" hidden="1">'13.МП РЖС'!$AG:$AG</definedName>
    <definedName name="Z_47B983AB_FE5F_4725_860C_A2F29420596D_.wvu.FilterData" localSheetId="1" hidden="1">'1.СЗН'!$A$1:$AF$64</definedName>
    <definedName name="Z_47B983AB_FE5F_4725_860C_A2F29420596D_.wvu.FilterData" localSheetId="13" hidden="1">'11.МП РО'!$A$4:$A$394</definedName>
    <definedName name="Z_47B983AB_FE5F_4725_860C_A2F29420596D_.wvu.FilterData" localSheetId="2" hidden="1">'2.АПК'!$A$1:$AF$36</definedName>
    <definedName name="Z_47B983AB_FE5F_4725_860C_A2F29420596D_.wvu.FilterData" localSheetId="3" hidden="1">'3.БЖД'!$A$1:$AF$17</definedName>
    <definedName name="Z_47B983AB_FE5F_4725_860C_A2F29420596D_.wvu.FilterData" localSheetId="4" hidden="1">'4.УМИ'!$A$1:$AF$11</definedName>
    <definedName name="Z_47B983AB_FE5F_4725_860C_A2F29420596D_.wvu.FilterData" localSheetId="5" hidden="1">'5.Проф. прав.'!$A$1:$AF$12</definedName>
    <definedName name="Z_47B983AB_FE5F_4725_860C_A2F29420596D_.wvu.FilterData" localSheetId="6" hidden="1">'6.Экстримизм'!$A$1:$AF$11</definedName>
    <definedName name="Z_47B983AB_FE5F_4725_860C_A2F29420596D_.wvu.Rows" localSheetId="1" hidden="1">'1.СЗН'!$70:$74</definedName>
    <definedName name="Z_47B983AB_FE5F_4725_860C_A2F29420596D_.wvu.Rows" localSheetId="16" hidden="1">'13.МП РЖС'!$122:$127</definedName>
    <definedName name="Z_47B983AB_FE5F_4725_860C_A2F29420596D_.wvu.Rows" localSheetId="6" hidden="1">'6.Экстримизм'!$9:$23,'6.Экстримизм'!$30:$38,'6.Экстримизм'!$44:$49,'6.Экстримизм'!$65:$67,'6.Экстримизм'!$71:$76,'6.Экстримизм'!$86:$88,'6.Экстримизм'!$95:$97</definedName>
    <definedName name="Z_486916EB_0C05_4C27_9E6E_3AB53BA5102E_.wvu.FilterData" localSheetId="1" hidden="1">'1.СЗН'!$A$1:$AF$64</definedName>
    <definedName name="Z_4D0DFB57_2CBA_42F2_9A97_C453A6851FBA_.wvu.Cols" localSheetId="16" hidden="1">'13.МП РЖС'!$AG:$AG</definedName>
    <definedName name="Z_4D0DFB57_2CBA_42F2_9A97_C453A6851FBA_.wvu.FilterData" localSheetId="1" hidden="1">'1.СЗН'!$A$1:$AF$64</definedName>
    <definedName name="Z_4D0DFB57_2CBA_42F2_9A97_C453A6851FBA_.wvu.FilterData" localSheetId="13" hidden="1">'11.МП РО'!$A$4:$A$394</definedName>
    <definedName name="Z_4D0DFB57_2CBA_42F2_9A97_C453A6851FBA_.wvu.FilterData" localSheetId="2" hidden="1">'2.АПК'!$A$1:$AF$36</definedName>
    <definedName name="Z_4D0DFB57_2CBA_42F2_9A97_C453A6851FBA_.wvu.FilterData" localSheetId="3" hidden="1">'3.БЖД'!$A$1:$AF$17</definedName>
    <definedName name="Z_4D0DFB57_2CBA_42F2_9A97_C453A6851FBA_.wvu.FilterData" localSheetId="4" hidden="1">'4.УМИ'!$A$1:$AF$11</definedName>
    <definedName name="Z_4D0DFB57_2CBA_42F2_9A97_C453A6851FBA_.wvu.FilterData" localSheetId="5" hidden="1">'5.Проф. прав.'!$A$1:$AF$12</definedName>
    <definedName name="Z_4D0DFB57_2CBA_42F2_9A97_C453A6851FBA_.wvu.FilterData" localSheetId="6" hidden="1">'6.Экстримизм'!$A$1:$AF$11</definedName>
    <definedName name="Z_4D0DFB57_2CBA_42F2_9A97_C453A6851FBA_.wvu.Rows" localSheetId="1" hidden="1">'1.СЗН'!$70:$74</definedName>
    <definedName name="Z_4D0DFB57_2CBA_42F2_9A97_C453A6851FBA_.wvu.Rows" localSheetId="16" hidden="1">'13.МП РЖС'!$122:$127</definedName>
    <definedName name="Z_4D0DFB57_2CBA_42F2_9A97_C453A6851FBA_.wvu.Rows" localSheetId="6" hidden="1">'6.Экстримизм'!$9:$23,'6.Экстримизм'!$30:$38,'6.Экстримизм'!$44:$49,'6.Экстримизм'!$65:$67,'6.Экстримизм'!$71:$76,'6.Экстримизм'!$86:$88,'6.Экстримизм'!$95:$97</definedName>
    <definedName name="Z_4F269136_37BB_4366_9AA9_4C14B45747BB_.wvu.FilterData" localSheetId="1" hidden="1">'1.СЗН'!$A$1:$AF$64</definedName>
    <definedName name="Z_4F41B9CC_959D_442C_80B0_1F0DB2C76D27_.wvu.Cols" localSheetId="16" hidden="1">'13.МП РЖС'!$AG:$AG</definedName>
    <definedName name="Z_4F41B9CC_959D_442C_80B0_1F0DB2C76D27_.wvu.FilterData" localSheetId="1" hidden="1">'1.СЗН'!$A$1:$AF$64</definedName>
    <definedName name="Z_4F41B9CC_959D_442C_80B0_1F0DB2C76D27_.wvu.FilterData" localSheetId="13" hidden="1">'11.МП РО'!$A$4:$A$394</definedName>
    <definedName name="Z_4F41B9CC_959D_442C_80B0_1F0DB2C76D27_.wvu.FilterData" localSheetId="2" hidden="1">'2.АПК'!$A$1:$AF$36</definedName>
    <definedName name="Z_4F41B9CC_959D_442C_80B0_1F0DB2C76D27_.wvu.FilterData" localSheetId="3" hidden="1">'3.БЖД'!$A$1:$AF$17</definedName>
    <definedName name="Z_4F41B9CC_959D_442C_80B0_1F0DB2C76D27_.wvu.FilterData" localSheetId="4" hidden="1">'4.УМИ'!$A$1:$AF$11</definedName>
    <definedName name="Z_4F41B9CC_959D_442C_80B0_1F0DB2C76D27_.wvu.FilterData" localSheetId="5" hidden="1">'5.Проф. прав.'!$A$1:$AF$12</definedName>
    <definedName name="Z_4F41B9CC_959D_442C_80B0_1F0DB2C76D27_.wvu.FilterData" localSheetId="6" hidden="1">'6.Экстримизм'!$A$1:$AF$11</definedName>
    <definedName name="Z_4F41B9CC_959D_442C_80B0_1F0DB2C76D27_.wvu.Rows" localSheetId="1" hidden="1">'1.СЗН'!$70:$74</definedName>
    <definedName name="Z_4F41B9CC_959D_442C_80B0_1F0DB2C76D27_.wvu.Rows" localSheetId="16" hidden="1">'13.МП РЖС'!$122:$127</definedName>
    <definedName name="Z_4F41B9CC_959D_442C_80B0_1F0DB2C76D27_.wvu.Rows" localSheetId="6" hidden="1">'6.Экстримизм'!$9:$23,'6.Экстримизм'!$30:$38,'6.Экстримизм'!$44:$49,'6.Экстримизм'!$65:$67,'6.Экстримизм'!$71:$76,'6.Экстримизм'!$86:$88,'6.Экстримизм'!$95:$97</definedName>
    <definedName name="Z_533DC55B_6AD4_4674_9488_685EF2039F3E_.wvu.Cols" localSheetId="16" hidden="1">'13.МП РЖС'!$AG:$AG</definedName>
    <definedName name="Z_533DC55B_6AD4_4674_9488_685EF2039F3E_.wvu.FilterData" localSheetId="1" hidden="1">'1.СЗН'!$A$1:$AF$64</definedName>
    <definedName name="Z_533DC55B_6AD4_4674_9488_685EF2039F3E_.wvu.FilterData" localSheetId="13" hidden="1">'11.МП РО'!$A$7:$AP$125</definedName>
    <definedName name="Z_533DC55B_6AD4_4674_9488_685EF2039F3E_.wvu.FilterData" localSheetId="2" hidden="1">'2.АПК'!$A$1:$AF$36</definedName>
    <definedName name="Z_533DC55B_6AD4_4674_9488_685EF2039F3E_.wvu.FilterData" localSheetId="3" hidden="1">'3.БЖД'!$A$1:$AF$17</definedName>
    <definedName name="Z_533DC55B_6AD4_4674_9488_685EF2039F3E_.wvu.FilterData" localSheetId="4" hidden="1">'4.УМИ'!$A$1:$AF$11</definedName>
    <definedName name="Z_533DC55B_6AD4_4674_9488_685EF2039F3E_.wvu.FilterData" localSheetId="5" hidden="1">'5.Проф. прав.'!$A$1:$AF$12</definedName>
    <definedName name="Z_533DC55B_6AD4_4674_9488_685EF2039F3E_.wvu.FilterData" localSheetId="6" hidden="1">'6.Экстримизм'!$A$1:$AF$11</definedName>
    <definedName name="Z_533DC55B_6AD4_4674_9488_685EF2039F3E_.wvu.Rows" localSheetId="1" hidden="1">'1.СЗН'!$70:$74</definedName>
    <definedName name="Z_533DC55B_6AD4_4674_9488_685EF2039F3E_.wvu.Rows" localSheetId="16" hidden="1">'13.МП РЖС'!$122:$127</definedName>
    <definedName name="Z_533DC55B_6AD4_4674_9488_685EF2039F3E_.wvu.Rows" localSheetId="6" hidden="1">'6.Экстримизм'!$9:$23,'6.Экстримизм'!$30:$38,'6.Экстримизм'!$44:$49,'6.Экстримизм'!$65:$67,'6.Экстримизм'!$71:$76,'6.Экстримизм'!$86:$88,'6.Экстримизм'!$95:$97</definedName>
    <definedName name="Z_53BBB81D_5928_4109_AAEA_B3470C269F1B_.wvu.FilterData" localSheetId="1" hidden="1">'1.СЗН'!$A$1:$AF$64</definedName>
    <definedName name="Z_559B20E7_1863_4723_9C86_5DC769A2C901_.wvu.FilterData" localSheetId="4" hidden="1">'4.УМИ'!$A$1:$AF$11</definedName>
    <definedName name="Z_58A3D13A_3888_403D_96DC_C17B50A66BD1_.wvu.FilterData" localSheetId="4" hidden="1">'4.УМИ'!$A$1:$AF$11</definedName>
    <definedName name="Z_59FDF3A8_C81A_46DA_9159_19578DCD4FC1_.wvu.FilterData" localSheetId="4" hidden="1">'4.УМИ'!$A$1:$AF$11</definedName>
    <definedName name="Z_602C8EDB_B9EF_4C85_B0D5_0558C3A0ABAB_.wvu.Cols" localSheetId="16" hidden="1">'13.МП РЖС'!$AG:$AG</definedName>
    <definedName name="Z_602C8EDB_B9EF_4C85_B0D5_0558C3A0ABAB_.wvu.FilterData" localSheetId="1" hidden="1">'1.СЗН'!$A$1:$AF$64</definedName>
    <definedName name="Z_602C8EDB_B9EF_4C85_B0D5_0558C3A0ABAB_.wvu.FilterData" localSheetId="13" hidden="1">'11.МП РО'!$A$4:$A$394</definedName>
    <definedName name="Z_602C8EDB_B9EF_4C85_B0D5_0558C3A0ABAB_.wvu.FilterData" localSheetId="2" hidden="1">'2.АПК'!$A$1:$AF$36</definedName>
    <definedName name="Z_602C8EDB_B9EF_4C85_B0D5_0558C3A0ABAB_.wvu.FilterData" localSheetId="3" hidden="1">'3.БЖД'!$A$1:$AF$17</definedName>
    <definedName name="Z_602C8EDB_B9EF_4C85_B0D5_0558C3A0ABAB_.wvu.FilterData" localSheetId="4" hidden="1">'4.УМИ'!$A$1:$AF$11</definedName>
    <definedName name="Z_602C8EDB_B9EF_4C85_B0D5_0558C3A0ABAB_.wvu.FilterData" localSheetId="5" hidden="1">'5.Проф. прав.'!$A$1:$AF$12</definedName>
    <definedName name="Z_602C8EDB_B9EF_4C85_B0D5_0558C3A0ABAB_.wvu.FilterData" localSheetId="6" hidden="1">'6.Экстримизм'!$A$1:$AF$11</definedName>
    <definedName name="Z_602C8EDB_B9EF_4C85_B0D5_0558C3A0ABAB_.wvu.Rows" localSheetId="1" hidden="1">'1.СЗН'!$70:$74</definedName>
    <definedName name="Z_602C8EDB_B9EF_4C85_B0D5_0558C3A0ABAB_.wvu.Rows" localSheetId="16" hidden="1">'13.МП РЖС'!$122:$127</definedName>
    <definedName name="Z_602C8EDB_B9EF_4C85_B0D5_0558C3A0ABAB_.wvu.Rows" localSheetId="6" hidden="1">'6.Экстримизм'!$9:$23,'6.Экстримизм'!$30:$38,'6.Экстримизм'!$44:$49,'6.Экстримизм'!$65:$67,'6.Экстримизм'!$71:$76,'6.Экстримизм'!$86:$88,'6.Экстримизм'!$95:$97</definedName>
    <definedName name="Z_67F37135_922C_4F1A_88E3_D221FC606A22_.wvu.FilterData" localSheetId="1" hidden="1">'1.СЗН'!$A$1:$AF$64</definedName>
    <definedName name="Z_69DABE6F_6182_4403_A4A2_969F10F1C13A_.wvu.Cols" localSheetId="16" hidden="1">'13.МП РЖС'!$AG:$AG</definedName>
    <definedName name="Z_69DABE6F_6182_4403_A4A2_969F10F1C13A_.wvu.FilterData" localSheetId="1" hidden="1">'1.СЗН'!$A$1:$AF$64</definedName>
    <definedName name="Z_69DABE6F_6182_4403_A4A2_969F10F1C13A_.wvu.FilterData" localSheetId="13" hidden="1">'11.МП РО'!$A$4:$A$394</definedName>
    <definedName name="Z_69DABE6F_6182_4403_A4A2_969F10F1C13A_.wvu.FilterData" localSheetId="2" hidden="1">'2.АПК'!$A$1:$AF$36</definedName>
    <definedName name="Z_69DABE6F_6182_4403_A4A2_969F10F1C13A_.wvu.FilterData" localSheetId="3" hidden="1">'3.БЖД'!$A$1:$AF$17</definedName>
    <definedName name="Z_69DABE6F_6182_4403_A4A2_969F10F1C13A_.wvu.FilterData" localSheetId="4" hidden="1">'4.УМИ'!$A$1:$AF$11</definedName>
    <definedName name="Z_69DABE6F_6182_4403_A4A2_969F10F1C13A_.wvu.FilterData" localSheetId="5" hidden="1">'5.Проф. прав.'!$A$1:$AF$12</definedName>
    <definedName name="Z_69DABE6F_6182_4403_A4A2_969F10F1C13A_.wvu.FilterData" localSheetId="6" hidden="1">'6.Экстримизм'!$A$1:$AF$11</definedName>
    <definedName name="Z_69DABE6F_6182_4403_A4A2_969F10F1C13A_.wvu.Rows" localSheetId="1" hidden="1">'1.СЗН'!$70:$74</definedName>
    <definedName name="Z_69DABE6F_6182_4403_A4A2_969F10F1C13A_.wvu.Rows" localSheetId="16" hidden="1">'13.МП РЖС'!$122:$127</definedName>
    <definedName name="Z_69DABE6F_6182_4403_A4A2_969F10F1C13A_.wvu.Rows" localSheetId="6" hidden="1">'6.Экстримизм'!$9:$23,'6.Экстримизм'!$30:$38,'6.Экстримизм'!$44:$49,'6.Экстримизм'!$65:$67,'6.Экстримизм'!$71:$76,'6.Экстримизм'!$86:$88,'6.Экстримизм'!$95:$97</definedName>
    <definedName name="Z_69EA5B5F_3D60_488B_8049_D9F71162BF1D_.wvu.FilterData" localSheetId="13" hidden="1">'11.МП РО'!$A$4:$A$394</definedName>
    <definedName name="Z_6A602CB8_B24C_4ED4_B378_B27354BE0A1A_.wvu.Cols" localSheetId="16" hidden="1">'13.МП РЖС'!$AG:$AG</definedName>
    <definedName name="Z_6A602CB8_B24C_4ED4_B378_B27354BE0A1A_.wvu.FilterData" localSheetId="1" hidden="1">'1.СЗН'!$A$1:$AF$64</definedName>
    <definedName name="Z_6A602CB8_B24C_4ED4_B378_B27354BE0A1A_.wvu.FilterData" localSheetId="13" hidden="1">'11.МП РО'!$A$4:$A$394</definedName>
    <definedName name="Z_6A602CB8_B24C_4ED4_B378_B27354BE0A1A_.wvu.FilterData" localSheetId="2" hidden="1">'2.АПК'!$A$1:$AF$36</definedName>
    <definedName name="Z_6A602CB8_B24C_4ED4_B378_B27354BE0A1A_.wvu.FilterData" localSheetId="3" hidden="1">'3.БЖД'!$A$1:$AF$17</definedName>
    <definedName name="Z_6A602CB8_B24C_4ED4_B378_B27354BE0A1A_.wvu.FilterData" localSheetId="4" hidden="1">'4.УМИ'!$A$1:$AF$11</definedName>
    <definedName name="Z_6A602CB8_B24C_4ED4_B378_B27354BE0A1A_.wvu.FilterData" localSheetId="5" hidden="1">'5.Проф. прав.'!$A$1:$AF$12</definedName>
    <definedName name="Z_6A602CB8_B24C_4ED4_B378_B27354BE0A1A_.wvu.FilterData" localSheetId="6" hidden="1">'6.Экстримизм'!$A$1:$AF$11</definedName>
    <definedName name="Z_6A602CB8_B24C_4ED4_B378_B27354BE0A1A_.wvu.Rows" localSheetId="1" hidden="1">'1.СЗН'!$70:$74</definedName>
    <definedName name="Z_6A602CB8_B24C_4ED4_B378_B27354BE0A1A_.wvu.Rows" localSheetId="16" hidden="1">'13.МП РЖС'!$122:$127</definedName>
    <definedName name="Z_6A602CB8_B24C_4ED4_B378_B27354BE0A1A_.wvu.Rows" localSheetId="6" hidden="1">'6.Экстримизм'!$9:$23,'6.Экстримизм'!$30:$38,'6.Экстримизм'!$44:$49,'6.Экстримизм'!$65:$67,'6.Экстримизм'!$71:$76,'6.Экстримизм'!$86:$88,'6.Экстримизм'!$95:$97</definedName>
    <definedName name="Z_6B3B1BB4_334B_4F35_AB46_30BBBDE720C4_.wvu.FilterData" localSheetId="4" hidden="1">'4.УМИ'!$A$1:$AF$11</definedName>
    <definedName name="Z_7226EA2B_7866_416F_9240_410CC1BF0336_.wvu.Cols" localSheetId="16" hidden="1">'13.МП РЖС'!$AG:$AG</definedName>
    <definedName name="Z_7226EA2B_7866_416F_9240_410CC1BF0336_.wvu.FilterData" localSheetId="1" hidden="1">'1.СЗН'!$A$1:$AF$64</definedName>
    <definedName name="Z_7226EA2B_7866_416F_9240_410CC1BF0336_.wvu.FilterData" localSheetId="13" hidden="1">'11.МП РО'!$A$4:$A$394</definedName>
    <definedName name="Z_7226EA2B_7866_416F_9240_410CC1BF0336_.wvu.FilterData" localSheetId="2" hidden="1">'2.АПК'!$A$1:$AF$36</definedName>
    <definedName name="Z_7226EA2B_7866_416F_9240_410CC1BF0336_.wvu.FilterData" localSheetId="3" hidden="1">'3.БЖД'!$A$1:$AF$17</definedName>
    <definedName name="Z_7226EA2B_7866_416F_9240_410CC1BF0336_.wvu.FilterData" localSheetId="4" hidden="1">'4.УМИ'!$A$1:$AF$11</definedName>
    <definedName name="Z_7226EA2B_7866_416F_9240_410CC1BF0336_.wvu.FilterData" localSheetId="5" hidden="1">'5.Проф. прав.'!$A$1:$AF$12</definedName>
    <definedName name="Z_7226EA2B_7866_416F_9240_410CC1BF0336_.wvu.FilterData" localSheetId="6" hidden="1">'6.Экстримизм'!$A$1:$AF$11</definedName>
    <definedName name="Z_7226EA2B_7866_416F_9240_410CC1BF0336_.wvu.Rows" localSheetId="1" hidden="1">'1.СЗН'!$70:$74</definedName>
    <definedName name="Z_7226EA2B_7866_416F_9240_410CC1BF0336_.wvu.Rows" localSheetId="16" hidden="1">'13.МП РЖС'!$122:$127</definedName>
    <definedName name="Z_7226EA2B_7866_416F_9240_410CC1BF0336_.wvu.Rows" localSheetId="6" hidden="1">'6.Экстримизм'!$9:$23,'6.Экстримизм'!$30:$38,'6.Экстримизм'!$44:$49,'6.Экстримизм'!$65:$67,'6.Экстримизм'!$71:$76,'6.Экстримизм'!$86:$88,'6.Экстримизм'!$95:$97</definedName>
    <definedName name="Z_7399FF56_0BD1_4279_8999_2C7364E6813B_.wvu.FilterData" localSheetId="5" hidden="1">'5.Проф. прав.'!$A$1:$AF$12</definedName>
    <definedName name="Z_74870EE6_26B9_40F7_9DC9_260EF16D8959_.wvu.Cols" localSheetId="16" hidden="1">'13.МП РЖС'!$AG:$AG</definedName>
    <definedName name="Z_74870EE6_26B9_40F7_9DC9_260EF16D8959_.wvu.FilterData" localSheetId="1" hidden="1">'1.СЗН'!$A$1:$AF$64</definedName>
    <definedName name="Z_74870EE6_26B9_40F7_9DC9_260EF16D8959_.wvu.FilterData" localSheetId="13" hidden="1">'11.МП РО'!$A$4:$A$394</definedName>
    <definedName name="Z_74870EE6_26B9_40F7_9DC9_260EF16D8959_.wvu.FilterData" localSheetId="2" hidden="1">'2.АПК'!$A$1:$AF$36</definedName>
    <definedName name="Z_74870EE6_26B9_40F7_9DC9_260EF16D8959_.wvu.FilterData" localSheetId="3" hidden="1">'3.БЖД'!$A$1:$AF$17</definedName>
    <definedName name="Z_74870EE6_26B9_40F7_9DC9_260EF16D8959_.wvu.FilterData" localSheetId="4" hidden="1">'4.УМИ'!$A$1:$AF$11</definedName>
    <definedName name="Z_74870EE6_26B9_40F7_9DC9_260EF16D8959_.wvu.FilterData" localSheetId="5" hidden="1">'5.Проф. прав.'!$A$1:$AF$12</definedName>
    <definedName name="Z_74870EE6_26B9_40F7_9DC9_260EF16D8959_.wvu.FilterData" localSheetId="6" hidden="1">'6.Экстримизм'!$A$1:$AF$11</definedName>
    <definedName name="Z_74870EE6_26B9_40F7_9DC9_260EF16D8959_.wvu.Rows" localSheetId="1" hidden="1">'1.СЗН'!$70:$74</definedName>
    <definedName name="Z_74870EE6_26B9_40F7_9DC9_260EF16D8959_.wvu.Rows" localSheetId="16" hidden="1">'13.МП РЖС'!$122:$127</definedName>
    <definedName name="Z_74870EE6_26B9_40F7_9DC9_260EF16D8959_.wvu.Rows" localSheetId="6" hidden="1">'6.Экстримизм'!$9:$23,'6.Экстримизм'!$30:$38,'6.Экстримизм'!$44:$49,'6.Экстримизм'!$65:$67,'6.Экстримизм'!$71:$76,'6.Экстримизм'!$86:$88,'6.Экстримизм'!$95:$97</definedName>
    <definedName name="Z_76A2FC6A_9BE3_44D7_9733_B985F812D16C_.wvu.FilterData" localSheetId="6" hidden="1">'6.Экстримизм'!$A$1:$AF$11</definedName>
    <definedName name="Z_770624BF_07F3_44B6_94C3_4CC447CDD45C_.wvu.Cols" localSheetId="16" hidden="1">'13.МП РЖС'!$AG:$AG</definedName>
    <definedName name="Z_770624BF_07F3_44B6_94C3_4CC447CDD45C_.wvu.FilterData" localSheetId="1" hidden="1">'1.СЗН'!$A$1:$AF$64</definedName>
    <definedName name="Z_770624BF_07F3_44B6_94C3_4CC447CDD45C_.wvu.FilterData" localSheetId="2" hidden="1">'2.АПК'!$A$1:$AF$36</definedName>
    <definedName name="Z_770624BF_07F3_44B6_94C3_4CC447CDD45C_.wvu.FilterData" localSheetId="3" hidden="1">'3.БЖД'!$A$1:$AF$17</definedName>
    <definedName name="Z_770624BF_07F3_44B6_94C3_4CC447CDD45C_.wvu.FilterData" localSheetId="4" hidden="1">'4.УМИ'!$A$1:$AF$11</definedName>
    <definedName name="Z_770624BF_07F3_44B6_94C3_4CC447CDD45C_.wvu.FilterData" localSheetId="5" hidden="1">'5.Проф. прав.'!$A$1:$AF$12</definedName>
    <definedName name="Z_770624BF_07F3_44B6_94C3_4CC447CDD45C_.wvu.FilterData" localSheetId="6" hidden="1">'6.Экстримизм'!$A$1:$AF$11</definedName>
    <definedName name="Z_770624BF_07F3_44B6_94C3_4CC447CDD45C_.wvu.Rows" localSheetId="1" hidden="1">'1.СЗН'!$70:$74</definedName>
    <definedName name="Z_770624BF_07F3_44B6_94C3_4CC447CDD45C_.wvu.Rows" localSheetId="16" hidden="1">'13.МП РЖС'!$122:$127</definedName>
    <definedName name="Z_770624BF_07F3_44B6_94C3_4CC447CDD45C_.wvu.Rows" localSheetId="6" hidden="1">'6.Экстримизм'!$9:$23,'6.Экстримизм'!$30:$38,'6.Экстримизм'!$44:$49,'6.Экстримизм'!$65:$67,'6.Экстримизм'!$71:$76,'6.Экстримизм'!$86:$88,'6.Экстримизм'!$95:$97</definedName>
    <definedName name="Z_7C130984_112A_4861_AA43_E2940708E3DC_.wvu.Cols" localSheetId="16" hidden="1">'13.МП РЖС'!$AG:$AG</definedName>
    <definedName name="Z_7C130984_112A_4861_AA43_E2940708E3DC_.wvu.FilterData" localSheetId="1" hidden="1">'1.СЗН'!$A$1:$AF$64</definedName>
    <definedName name="Z_7C130984_112A_4861_AA43_E2940708E3DC_.wvu.FilterData" localSheetId="13" hidden="1">'11.МП РО'!$A$7:$AP$125</definedName>
    <definedName name="Z_7C130984_112A_4861_AA43_E2940708E3DC_.wvu.FilterData" localSheetId="2" hidden="1">'2.АПК'!$A$1:$AF$36</definedName>
    <definedName name="Z_7C130984_112A_4861_AA43_E2940708E3DC_.wvu.FilterData" localSheetId="3" hidden="1">'3.БЖД'!$A$1:$AF$17</definedName>
    <definedName name="Z_7C130984_112A_4861_AA43_E2940708E3DC_.wvu.FilterData" localSheetId="4" hidden="1">'4.УМИ'!$A$1:$AF$11</definedName>
    <definedName name="Z_7C130984_112A_4861_AA43_E2940708E3DC_.wvu.FilterData" localSheetId="5" hidden="1">'5.Проф. прав.'!$A$1:$AF$12</definedName>
    <definedName name="Z_7C130984_112A_4861_AA43_E2940708E3DC_.wvu.FilterData" localSheetId="6" hidden="1">'6.Экстримизм'!$A$1:$AF$11</definedName>
    <definedName name="Z_7C130984_112A_4861_AA43_E2940708E3DC_.wvu.Rows" localSheetId="1" hidden="1">'1.СЗН'!$70:$74</definedName>
    <definedName name="Z_7C130984_112A_4861_AA43_E2940708E3DC_.wvu.Rows" localSheetId="16" hidden="1">'13.МП РЖС'!$122:$127</definedName>
    <definedName name="Z_7C130984_112A_4861_AA43_E2940708E3DC_.wvu.Rows" localSheetId="6" hidden="1">'6.Экстримизм'!$9:$23,'6.Экстримизм'!$30:$38,'6.Экстримизм'!$44:$49,'6.Экстримизм'!$65:$67,'6.Экстримизм'!$71:$76,'6.Экстримизм'!$86:$88,'6.Экстримизм'!$95:$97</definedName>
    <definedName name="Z_7CD24FD2_07C9_4FAA_B21A_20D64BFE57D0_.wvu.FilterData" localSheetId="13" hidden="1">'11.МП РО'!$A$4:$A$394</definedName>
    <definedName name="Z_7CD24FD2_07C9_4FAA_B21A_20D64BFE57D0_.wvu.FilterData" localSheetId="4" hidden="1">'4.УМИ'!$A$1:$AF$11</definedName>
    <definedName name="Z_7D151C70_775E_4CD8_97D9_12DE8F888BBD_.wvu.FilterData" localSheetId="2" hidden="1">'2.АПК'!$A$1:$AF$36</definedName>
    <definedName name="Z_7D151C70_775E_4CD8_97D9_12DE8F888BBD_.wvu.FilterData" localSheetId="4" hidden="1">'4.УМИ'!$A$1:$AF$11</definedName>
    <definedName name="Z_84867370_1F3E_4368_AF79_FBCE46FFFE92_.wvu.Cols" localSheetId="16" hidden="1">'13.МП РЖС'!$AG:$AG</definedName>
    <definedName name="Z_84867370_1F3E_4368_AF79_FBCE46FFFE92_.wvu.FilterData" localSheetId="1" hidden="1">'1.СЗН'!$A$1:$AF$64</definedName>
    <definedName name="Z_84867370_1F3E_4368_AF79_FBCE46FFFE92_.wvu.FilterData" localSheetId="13" hidden="1">'11.МП РО'!$A$4:$A$394</definedName>
    <definedName name="Z_84867370_1F3E_4368_AF79_FBCE46FFFE92_.wvu.FilterData" localSheetId="2" hidden="1">'2.АПК'!$A$1:$AF$36</definedName>
    <definedName name="Z_84867370_1F3E_4368_AF79_FBCE46FFFE92_.wvu.FilterData" localSheetId="3" hidden="1">'3.БЖД'!$A$1:$AF$17</definedName>
    <definedName name="Z_84867370_1F3E_4368_AF79_FBCE46FFFE92_.wvu.FilterData" localSheetId="4" hidden="1">'4.УМИ'!$A$1:$AF$11</definedName>
    <definedName name="Z_84867370_1F3E_4368_AF79_FBCE46FFFE92_.wvu.FilterData" localSheetId="5" hidden="1">'5.Проф. прав.'!$A$1:$AF$12</definedName>
    <definedName name="Z_84867370_1F3E_4368_AF79_FBCE46FFFE92_.wvu.FilterData" localSheetId="6" hidden="1">'6.Экстримизм'!$A$1:$AF$11</definedName>
    <definedName name="Z_84867370_1F3E_4368_AF79_FBCE46FFFE92_.wvu.Rows" localSheetId="1" hidden="1">'1.СЗН'!$70:$74</definedName>
    <definedName name="Z_84867370_1F3E_4368_AF79_FBCE46FFFE92_.wvu.Rows" localSheetId="16" hidden="1">'13.МП РЖС'!$122:$127</definedName>
    <definedName name="Z_84867370_1F3E_4368_AF79_FBCE46FFFE92_.wvu.Rows" localSheetId="6" hidden="1">'6.Экстримизм'!$9:$23,'6.Экстримизм'!$30:$38,'6.Экстримизм'!$44:$49,'6.Экстримизм'!$65:$67,'6.Экстримизм'!$71:$76,'6.Экстримизм'!$86:$88,'6.Экстримизм'!$95:$97</definedName>
    <definedName name="Z_84B3377A_1CDD_4881_99FA_112F8B470D6F_.wvu.Cols" localSheetId="16" hidden="1">'13.МП РЖС'!$AG:$AG</definedName>
    <definedName name="Z_84B3377A_1CDD_4881_99FA_112F8B470D6F_.wvu.FilterData" localSheetId="1" hidden="1">'1.СЗН'!$A$1:$AF$64</definedName>
    <definedName name="Z_84B3377A_1CDD_4881_99FA_112F8B470D6F_.wvu.FilterData" localSheetId="13" hidden="1">'11.МП РО'!$A$4:$A$394</definedName>
    <definedName name="Z_84B3377A_1CDD_4881_99FA_112F8B470D6F_.wvu.FilterData" localSheetId="2" hidden="1">'2.АПК'!$A$1:$AF$36</definedName>
    <definedName name="Z_84B3377A_1CDD_4881_99FA_112F8B470D6F_.wvu.FilterData" localSheetId="3" hidden="1">'3.БЖД'!$A$1:$AF$17</definedName>
    <definedName name="Z_84B3377A_1CDD_4881_99FA_112F8B470D6F_.wvu.FilterData" localSheetId="4" hidden="1">'4.УМИ'!$A$1:$AF$11</definedName>
    <definedName name="Z_84B3377A_1CDD_4881_99FA_112F8B470D6F_.wvu.FilterData" localSheetId="5" hidden="1">'5.Проф. прав.'!$A$1:$AF$12</definedName>
    <definedName name="Z_84B3377A_1CDD_4881_99FA_112F8B470D6F_.wvu.FilterData" localSheetId="6" hidden="1">'6.Экстримизм'!$A$1:$AF$11</definedName>
    <definedName name="Z_84B3377A_1CDD_4881_99FA_112F8B470D6F_.wvu.Rows" localSheetId="1" hidden="1">'1.СЗН'!$70:$74</definedName>
    <definedName name="Z_84B3377A_1CDD_4881_99FA_112F8B470D6F_.wvu.Rows" localSheetId="16" hidden="1">'13.МП РЖС'!$122:$127</definedName>
    <definedName name="Z_84B3377A_1CDD_4881_99FA_112F8B470D6F_.wvu.Rows" localSheetId="6" hidden="1">'6.Экстримизм'!$9:$23,'6.Экстримизм'!$30:$38,'6.Экстримизм'!$44:$49,'6.Экстримизм'!$65:$67,'6.Экстримизм'!$71:$76,'6.Экстримизм'!$86:$88,'6.Экстримизм'!$95:$97</definedName>
    <definedName name="Z_85F4575B_DBC5_482A_9916_255D8F0BC94E_.wvu.Cols" localSheetId="16" hidden="1">'13.МП РЖС'!$AG:$AG</definedName>
    <definedName name="Z_85F4575B_DBC5_482A_9916_255D8F0BC94E_.wvu.FilterData" localSheetId="1" hidden="1">'1.СЗН'!$A$1:$AF$64</definedName>
    <definedName name="Z_85F4575B_DBC5_482A_9916_255D8F0BC94E_.wvu.FilterData" localSheetId="2" hidden="1">'2.АПК'!$A$1:$AF$36</definedName>
    <definedName name="Z_85F4575B_DBC5_482A_9916_255D8F0BC94E_.wvu.FilterData" localSheetId="3" hidden="1">'3.БЖД'!$A$1:$AF$17</definedName>
    <definedName name="Z_85F4575B_DBC5_482A_9916_255D8F0BC94E_.wvu.FilterData" localSheetId="4" hidden="1">'4.УМИ'!$A$1:$AF$11</definedName>
    <definedName name="Z_85F4575B_DBC5_482A_9916_255D8F0BC94E_.wvu.FilterData" localSheetId="5" hidden="1">'5.Проф. прав.'!$A$1:$AF$12</definedName>
    <definedName name="Z_85F4575B_DBC5_482A_9916_255D8F0BC94E_.wvu.FilterData" localSheetId="6" hidden="1">'6.Экстримизм'!$A$1:$AF$11</definedName>
    <definedName name="Z_85F4575B_DBC5_482A_9916_255D8F0BC94E_.wvu.Rows" localSheetId="1" hidden="1">'1.СЗН'!$70:$74</definedName>
    <definedName name="Z_85F4575B_DBC5_482A_9916_255D8F0BC94E_.wvu.Rows" localSheetId="16" hidden="1">'13.МП РЖС'!$122:$127</definedName>
    <definedName name="Z_85F4575B_DBC5_482A_9916_255D8F0BC94E_.wvu.Rows" localSheetId="6" hidden="1">'6.Экстримизм'!$9:$23,'6.Экстримизм'!$30:$38,'6.Экстримизм'!$44:$49,'6.Экстримизм'!$65:$67,'6.Экстримизм'!$71:$76,'6.Экстримизм'!$86:$88,'6.Экстримизм'!$95:$97</definedName>
    <definedName name="Z_87218168_6C8E_4D5B_A5E5_DCCC26803AA3_.wvu.Cols" localSheetId="16" hidden="1">'13.МП РЖС'!$AG:$AG</definedName>
    <definedName name="Z_87218168_6C8E_4D5B_A5E5_DCCC26803AA3_.wvu.FilterData" localSheetId="1" hidden="1">'1.СЗН'!$A$1:$AF$64</definedName>
    <definedName name="Z_87218168_6C8E_4D5B_A5E5_DCCC26803AA3_.wvu.FilterData" localSheetId="13" hidden="1">'11.МП РО'!$A$4:$A$394</definedName>
    <definedName name="Z_87218168_6C8E_4D5B_A5E5_DCCC26803AA3_.wvu.FilterData" localSheetId="2" hidden="1">'2.АПК'!$A$1:$AF$36</definedName>
    <definedName name="Z_87218168_6C8E_4D5B_A5E5_DCCC26803AA3_.wvu.FilterData" localSheetId="3" hidden="1">'3.БЖД'!$A$1:$AF$17</definedName>
    <definedName name="Z_87218168_6C8E_4D5B_A5E5_DCCC26803AA3_.wvu.FilterData" localSheetId="4" hidden="1">'4.УМИ'!$A$1:$AF$11</definedName>
    <definedName name="Z_87218168_6C8E_4D5B_A5E5_DCCC26803AA3_.wvu.FilterData" localSheetId="5" hidden="1">'5.Проф. прав.'!$A$1:$AF$12</definedName>
    <definedName name="Z_87218168_6C8E_4D5B_A5E5_DCCC26803AA3_.wvu.FilterData" localSheetId="6" hidden="1">'6.Экстримизм'!$A$1:$AF$11</definedName>
    <definedName name="Z_87218168_6C8E_4D5B_A5E5_DCCC26803AA3_.wvu.Rows" localSheetId="1" hidden="1">'1.СЗН'!$70:$74</definedName>
    <definedName name="Z_87218168_6C8E_4D5B_A5E5_DCCC26803AA3_.wvu.Rows" localSheetId="16" hidden="1">'13.МП РЖС'!$122:$127</definedName>
    <definedName name="Z_87218168_6C8E_4D5B_A5E5_DCCC26803AA3_.wvu.Rows" localSheetId="6" hidden="1">'6.Экстримизм'!$9:$23,'6.Экстримизм'!$30:$38,'6.Экстримизм'!$44:$49,'6.Экстримизм'!$65:$67,'6.Экстримизм'!$71:$76,'6.Экстримизм'!$86:$88,'6.Экстримизм'!$95:$97</definedName>
    <definedName name="Z_874882D1_E741_4CCA_BF0D_E72FA60B771D_.wvu.FilterData" localSheetId="1" hidden="1">'1.СЗН'!$A$1:$AF$64</definedName>
    <definedName name="Z_874882D1_E741_4CCA_BF0D_E72FA60B771D_.wvu.FilterData" localSheetId="2" hidden="1">'2.АПК'!$A$1:$AF$36</definedName>
    <definedName name="Z_874882D1_E741_4CCA_BF0D_E72FA60B771D_.wvu.FilterData" localSheetId="3" hidden="1">'3.БЖД'!$A$1:$AF$17</definedName>
    <definedName name="Z_874882D1_E741_4CCA_BF0D_E72FA60B771D_.wvu.FilterData" localSheetId="4" hidden="1">'4.УМИ'!$A$1:$AF$11</definedName>
    <definedName name="Z_874882D1_E741_4CCA_BF0D_E72FA60B771D_.wvu.FilterData" localSheetId="5" hidden="1">'5.Проф. прав.'!$A$1:$AF$12</definedName>
    <definedName name="Z_874882D1_E741_4CCA_BF0D_E72FA60B771D_.wvu.FilterData" localSheetId="6" hidden="1">'6.Экстримизм'!$A$1:$AF$11</definedName>
    <definedName name="Z_874882D1_E741_4CCA_BF0D_E72FA60B771D_.wvu.Rows" localSheetId="1" hidden="1">'1.СЗН'!$70:$74</definedName>
    <definedName name="Z_8795A258_FFD6_43A8_BF42_860FF53ACE92_.wvu.FilterData" localSheetId="4" hidden="1">'4.УМИ'!$A$1:$AF$11</definedName>
    <definedName name="Z_914142B1_FD5D_40FA_8DA2_036FB8A38D81_.wvu.FilterData" localSheetId="4" hidden="1">'4.УМИ'!$A$1:$AF$11</definedName>
    <definedName name="Z_93497ED3_E346_43BF_A10F_56A5EA743183_.wvu.FilterData" localSheetId="3" hidden="1">'3.БЖД'!$A$1:$AF$17</definedName>
    <definedName name="Z_93497ED3_E346_43BF_A10F_56A5EA743183_.wvu.FilterData" localSheetId="4" hidden="1">'4.УМИ'!$A$1:$AF$11</definedName>
    <definedName name="Z_959E901C_5DDE_42EE_AE94_AB8976B5E00B_.wvu.Cols" localSheetId="16" hidden="1">'13.МП РЖС'!$AG:$AG</definedName>
    <definedName name="Z_959E901C_5DDE_42EE_AE94_AB8976B5E00B_.wvu.FilterData" localSheetId="1" hidden="1">'1.СЗН'!$A$1:$AF$64</definedName>
    <definedName name="Z_959E901C_5DDE_42EE_AE94_AB8976B5E00B_.wvu.FilterData" localSheetId="2" hidden="1">'2.АПК'!$A$1:$AF$36</definedName>
    <definedName name="Z_959E901C_5DDE_42EE_AE94_AB8976B5E00B_.wvu.FilterData" localSheetId="3" hidden="1">'3.БЖД'!$A$1:$AF$17</definedName>
    <definedName name="Z_959E901C_5DDE_42EE_AE94_AB8976B5E00B_.wvu.FilterData" localSheetId="4" hidden="1">'4.УМИ'!$A$1:$AF$11</definedName>
    <definedName name="Z_959E901C_5DDE_42EE_AE94_AB8976B5E00B_.wvu.FilterData" localSheetId="5" hidden="1">'5.Проф. прав.'!$A$1:$AF$12</definedName>
    <definedName name="Z_959E901C_5DDE_42EE_AE94_AB8976B5E00B_.wvu.FilterData" localSheetId="6" hidden="1">'6.Экстримизм'!$A$1:$AF$11</definedName>
    <definedName name="Z_959E901C_5DDE_42EE_AE94_AB8976B5E00B_.wvu.Rows" localSheetId="1" hidden="1">'1.СЗН'!$70:$74</definedName>
    <definedName name="Z_959E901C_5DDE_42EE_AE94_AB8976B5E00B_.wvu.Rows" localSheetId="16" hidden="1">'13.МП РЖС'!$122:$127</definedName>
    <definedName name="Z_959E901C_5DDE_42EE_AE94_AB8976B5E00B_.wvu.Rows" localSheetId="6" hidden="1">'6.Экстримизм'!$9:$23,'6.Экстримизм'!$30:$38,'6.Экстримизм'!$44:$49,'6.Экстримизм'!$65:$67,'6.Экстримизм'!$71:$76,'6.Экстримизм'!$86:$88,'6.Экстримизм'!$95:$97</definedName>
    <definedName name="Z_96AAD949_FBDB_412F_ABD0_257B4F6B6642_.wvu.FilterData" localSheetId="3" hidden="1">'3.БЖД'!$A$1:$AF$17</definedName>
    <definedName name="Z_98850856_C09C_4036_9D8B_A5D35155891B_.wvu.FilterData" localSheetId="4" hidden="1">'4.УМИ'!$A$1:$AF$11</definedName>
    <definedName name="Z_9CA8AEDB_B446_4A7E_A5FF_3D96A2FCF0E9_.wvu.FilterData" localSheetId="1" hidden="1">'1.СЗН'!$A$1:$AF$64</definedName>
    <definedName name="Z_A8E27B0B_C059_4079_998C_DCFA718098A6_.wvu.FilterData" localSheetId="1" hidden="1">'1.СЗН'!$A$1:$AF$64</definedName>
    <definedName name="Z_A915DEAF_56CE_41F9_A2A7_4514A4E594A1_.wvu.FilterData" localSheetId="6" hidden="1">'6.Экстримизм'!$A$1:$AF$11</definedName>
    <definedName name="Z_AC2D5927_4079_4C74_AF69_1BFAC505648F_.wvu.Cols" localSheetId="16" hidden="1">'13.МП РЖС'!$AG:$AG</definedName>
    <definedName name="Z_AC2D5927_4079_4C74_AF69_1BFAC505648F_.wvu.FilterData" localSheetId="1" hidden="1">'1.СЗН'!$A$1:$AF$64</definedName>
    <definedName name="Z_AC2D5927_4079_4C74_AF69_1BFAC505648F_.wvu.FilterData" localSheetId="13" hidden="1">'11.МП РО'!$A$4:$A$394</definedName>
    <definedName name="Z_AC2D5927_4079_4C74_AF69_1BFAC505648F_.wvu.FilterData" localSheetId="2" hidden="1">'2.АПК'!$A$1:$AF$36</definedName>
    <definedName name="Z_AC2D5927_4079_4C74_AF69_1BFAC505648F_.wvu.FilterData" localSheetId="3" hidden="1">'3.БЖД'!$A$1:$AF$17</definedName>
    <definedName name="Z_AC2D5927_4079_4C74_AF69_1BFAC505648F_.wvu.FilterData" localSheetId="4" hidden="1">'4.УМИ'!$A$1:$AF$11</definedName>
    <definedName name="Z_AC2D5927_4079_4C74_AF69_1BFAC505648F_.wvu.FilterData" localSheetId="5" hidden="1">'5.Проф. прав.'!$A$1:$AF$12</definedName>
    <definedName name="Z_AC2D5927_4079_4C74_AF69_1BFAC505648F_.wvu.FilterData" localSheetId="6" hidden="1">'6.Экстримизм'!$A$1:$AF$11</definedName>
    <definedName name="Z_AC2D5927_4079_4C74_AF69_1BFAC505648F_.wvu.Rows" localSheetId="1" hidden="1">'1.СЗН'!$70:$74</definedName>
    <definedName name="Z_AC2D5927_4079_4C74_AF69_1BFAC505648F_.wvu.Rows" localSheetId="16" hidden="1">'13.МП РЖС'!$122:$127</definedName>
    <definedName name="Z_AC2D5927_4079_4C74_AF69_1BFAC505648F_.wvu.Rows" localSheetId="6" hidden="1">'6.Экстримизм'!$9:$23,'6.Экстримизм'!$30:$38,'6.Экстримизм'!$44:$49,'6.Экстримизм'!$65:$67,'6.Экстримизм'!$71:$76,'6.Экстримизм'!$86:$88,'6.Экстримизм'!$95:$97</definedName>
    <definedName name="Z_B05A9EE8_9269_4880_AD7F_693A0DFDCC46_.wvu.FilterData" localSheetId="5" hidden="1">'5.Проф. прав.'!$A$1:$AF$12</definedName>
    <definedName name="Z_B1BF08D1_D416_4B47_ADD0_4F59132DC9E8_.wvu.Cols" localSheetId="16" hidden="1">'13.МП РЖС'!$AG:$AG</definedName>
    <definedName name="Z_B1BF08D1_D416_4B47_ADD0_4F59132DC9E8_.wvu.FilterData" localSheetId="1" hidden="1">'1.СЗН'!$A$1:$AF$64</definedName>
    <definedName name="Z_B1BF08D1_D416_4B47_ADD0_4F59132DC9E8_.wvu.FilterData" localSheetId="13" hidden="1">'11.МП РО'!$A$7:$AP$125</definedName>
    <definedName name="Z_B1BF08D1_D416_4B47_ADD0_4F59132DC9E8_.wvu.FilterData" localSheetId="2" hidden="1">'2.АПК'!$A$1:$AF$36</definedName>
    <definedName name="Z_B1BF08D1_D416_4B47_ADD0_4F59132DC9E8_.wvu.FilterData" localSheetId="3" hidden="1">'3.БЖД'!$A$1:$AF$17</definedName>
    <definedName name="Z_B1BF08D1_D416_4B47_ADD0_4F59132DC9E8_.wvu.FilterData" localSheetId="4" hidden="1">'4.УМИ'!$A$1:$AF$11</definedName>
    <definedName name="Z_B1BF08D1_D416_4B47_ADD0_4F59132DC9E8_.wvu.FilterData" localSheetId="5" hidden="1">'5.Проф. прав.'!$A$1:$AF$12</definedName>
    <definedName name="Z_B1BF08D1_D416_4B47_ADD0_4F59132DC9E8_.wvu.FilterData" localSheetId="6" hidden="1">'6.Экстримизм'!$A$1:$AF$11</definedName>
    <definedName name="Z_B1BF08D1_D416_4B47_ADD0_4F59132DC9E8_.wvu.Rows" localSheetId="1" hidden="1">'1.СЗН'!$70:$74</definedName>
    <definedName name="Z_B1BF08D1_D416_4B47_ADD0_4F59132DC9E8_.wvu.Rows" localSheetId="16" hidden="1">'13.МП РЖС'!$122:$127</definedName>
    <definedName name="Z_B1BF08D1_D416_4B47_ADD0_4F59132DC9E8_.wvu.Rows" localSheetId="6" hidden="1">'6.Экстримизм'!$9:$23,'6.Экстримизм'!$30:$38,'6.Экстримизм'!$44:$49,'6.Экстримизм'!$65:$67,'6.Экстримизм'!$71:$76,'6.Экстримизм'!$86:$88,'6.Экстримизм'!$95:$97</definedName>
    <definedName name="Z_B43381A8_767B_4F49_BD2E_0056691293F3_.wvu.Cols" localSheetId="16" hidden="1">'13.МП РЖС'!$AG:$AG</definedName>
    <definedName name="Z_B43381A8_767B_4F49_BD2E_0056691293F3_.wvu.FilterData" localSheetId="1" hidden="1">'1.СЗН'!$A$1:$AF$64</definedName>
    <definedName name="Z_B43381A8_767B_4F49_BD2E_0056691293F3_.wvu.FilterData" localSheetId="13" hidden="1">'11.МП РО'!$A$4:$A$394</definedName>
    <definedName name="Z_B43381A8_767B_4F49_BD2E_0056691293F3_.wvu.FilterData" localSheetId="2" hidden="1">'2.АПК'!$A$1:$AF$36</definedName>
    <definedName name="Z_B43381A8_767B_4F49_BD2E_0056691293F3_.wvu.FilterData" localSheetId="3" hidden="1">'3.БЖД'!$A$1:$AF$17</definedName>
    <definedName name="Z_B43381A8_767B_4F49_BD2E_0056691293F3_.wvu.FilterData" localSheetId="4" hidden="1">'4.УМИ'!$A$1:$AF$11</definedName>
    <definedName name="Z_B43381A8_767B_4F49_BD2E_0056691293F3_.wvu.FilterData" localSheetId="5" hidden="1">'5.Проф. прав.'!$A$1:$AF$12</definedName>
    <definedName name="Z_B43381A8_767B_4F49_BD2E_0056691293F3_.wvu.FilterData" localSheetId="6" hidden="1">'6.Экстримизм'!$A$1:$AF$11</definedName>
    <definedName name="Z_B43381A8_767B_4F49_BD2E_0056691293F3_.wvu.Rows" localSheetId="1" hidden="1">'1.СЗН'!$70:$74</definedName>
    <definedName name="Z_B43381A8_767B_4F49_BD2E_0056691293F3_.wvu.Rows" localSheetId="16" hidden="1">'13.МП РЖС'!$122:$127</definedName>
    <definedName name="Z_B43381A8_767B_4F49_BD2E_0056691293F3_.wvu.Rows" localSheetId="6" hidden="1">'6.Экстримизм'!$9:$23,'6.Экстримизм'!$30:$38,'6.Экстримизм'!$44:$49,'6.Экстримизм'!$65:$67,'6.Экстримизм'!$71:$76,'6.Экстримизм'!$86:$88,'6.Экстримизм'!$95:$97</definedName>
    <definedName name="Z_B6E3402E_FD45_421B_B4C6_2E27B306C86F_.wvu.FilterData" localSheetId="13" hidden="1">'11.МП РО'!$A$4:$A$394</definedName>
    <definedName name="Z_B82BA08A_1A30_4F4D_A478_74A6BD09EA97_.wvu.FilterData" localSheetId="1" hidden="1">'1.СЗН'!$A$1:$AF$64</definedName>
    <definedName name="Z_B82BA08A_1A30_4F4D_A478_74A6BD09EA97_.wvu.FilterData" localSheetId="2" hidden="1">'2.АПК'!$A$1:$AF$36</definedName>
    <definedName name="Z_B82BA08A_1A30_4F4D_A478_74A6BD09EA97_.wvu.FilterData" localSheetId="3" hidden="1">'3.БЖД'!$A$1:$AF$17</definedName>
    <definedName name="Z_B82BA08A_1A30_4F4D_A478_74A6BD09EA97_.wvu.FilterData" localSheetId="4" hidden="1">'4.УМИ'!$A$1:$AF$11</definedName>
    <definedName name="Z_B82BA08A_1A30_4F4D_A478_74A6BD09EA97_.wvu.FilterData" localSheetId="5" hidden="1">'5.Проф. прав.'!$A$1:$AF$12</definedName>
    <definedName name="Z_B82BA08A_1A30_4F4D_A478_74A6BD09EA97_.wvu.FilterData" localSheetId="6" hidden="1">'6.Экстримизм'!$A$1:$AF$11</definedName>
    <definedName name="Z_B82BA08A_1A30_4F4D_A478_74A6BD09EA97_.wvu.Rows" localSheetId="1" hidden="1">'1.СЗН'!$70:$74</definedName>
    <definedName name="Z_B82BA08A_1A30_4F4D_A478_74A6BD09EA97_.wvu.Rows" localSheetId="6" hidden="1">'6.Экстримизм'!$9:$23,'6.Экстримизм'!$30:$38,'6.Экстримизм'!$44:$49,'6.Экстримизм'!$65:$67,'6.Экстримизм'!$71:$76,'6.Экстримизм'!$86:$88,'6.Экстримизм'!$95:$97</definedName>
    <definedName name="Z_B9397ECE_69EE_4869_AF66_2002FC22D116_.wvu.FilterData" localSheetId="13" hidden="1">'11.МП РО'!$A$4:$A$394</definedName>
    <definedName name="Z_BBD002E6_67D8_4D2D_9B27_7BB336D1BA08_.wvu.FilterData" localSheetId="13" hidden="1">'11.МП РО'!$A$4:$A$394</definedName>
    <definedName name="Z_BBEF1F7B_D9AB_4581_A2C3_2714FC8B8087_.wvu.FilterData" localSheetId="1" hidden="1">'1.СЗН'!$A$1:$AF$64</definedName>
    <definedName name="Z_BC8F4F5D_21F6_41D4_ACDF_57424023342B_.wvu.FilterData" localSheetId="6" hidden="1">'6.Экстримизм'!$A$1:$AF$11</definedName>
    <definedName name="Z_BC9044AC_467F_4F2B_8BD6_67D28FECBB7B_.wvu.FilterData" localSheetId="13" hidden="1">'11.МП РО'!$A$7:$AP$125</definedName>
    <definedName name="Z_BCD82A82_B724_4763_8580_D765356E09BA_.wvu.FilterData" localSheetId="1" hidden="1">'1.СЗН'!$A$1:$AF$64</definedName>
    <definedName name="Z_BCD82A82_B724_4763_8580_D765356E09BA_.wvu.FilterData" localSheetId="2" hidden="1">'2.АПК'!$A$1:$AF$36</definedName>
    <definedName name="Z_BCD82A82_B724_4763_8580_D765356E09BA_.wvu.FilterData" localSheetId="3" hidden="1">'3.БЖД'!$A$1:$AF$17</definedName>
    <definedName name="Z_BCD82A82_B724_4763_8580_D765356E09BA_.wvu.FilterData" localSheetId="4" hidden="1">'4.УМИ'!$A$1:$AF$11</definedName>
    <definedName name="Z_BCD82A82_B724_4763_8580_D765356E09BA_.wvu.FilterData" localSheetId="5" hidden="1">'5.Проф. прав.'!$A$1:$AF$12</definedName>
    <definedName name="Z_BCD82A82_B724_4763_8580_D765356E09BA_.wvu.FilterData" localSheetId="6" hidden="1">'6.Экстримизм'!$A$1:$AF$11</definedName>
    <definedName name="Z_C1161D56_B3D2_40B4_B546_1FC5139DD261_.wvu.FilterData" localSheetId="2" hidden="1">'2.АПК'!$A$1:$AF$36</definedName>
    <definedName name="Z_C236B307_BD63_48C4_A75F_B3F3717BF55C_.wvu.FilterData" localSheetId="1" hidden="1">'1.СЗН'!$A$1:$AF$64</definedName>
    <definedName name="Z_C236B307_BD63_48C4_A75F_B3F3717BF55C_.wvu.FilterData" localSheetId="2" hidden="1">'2.АПК'!$A$1:$AF$36</definedName>
    <definedName name="Z_C236B307_BD63_48C4_A75F_B3F3717BF55C_.wvu.FilterData" localSheetId="3" hidden="1">'3.БЖД'!$A$1:$AF$17</definedName>
    <definedName name="Z_C236B307_BD63_48C4_A75F_B3F3717BF55C_.wvu.FilterData" localSheetId="4" hidden="1">'4.УМИ'!$A$1:$AF$11</definedName>
    <definedName name="Z_C236B307_BD63_48C4_A75F_B3F3717BF55C_.wvu.FilterData" localSheetId="5" hidden="1">'5.Проф. прав.'!$A$1:$AF$12</definedName>
    <definedName name="Z_C236B307_BD63_48C4_A75F_B3F3717BF55C_.wvu.FilterData" localSheetId="6" hidden="1">'6.Экстримизм'!$A$1:$AF$11</definedName>
    <definedName name="Z_C236B307_BD63_48C4_A75F_B3F3717BF55C_.wvu.Rows" localSheetId="1" hidden="1">'1.СЗН'!$70:$74</definedName>
    <definedName name="Z_CA2BE1F2_B913_4CFF_9E8E_4555FD2D2B7E_.wvu.FilterData" localSheetId="4" hidden="1">'4.УМИ'!$A$1:$AF$11</definedName>
    <definedName name="Z_CB4792DB_A624_4844_AEB6_A6ADA80946BB_.wvu.Cols" localSheetId="16" hidden="1">'13.МП РЖС'!$AG:$AG</definedName>
    <definedName name="Z_CB4792DB_A624_4844_AEB6_A6ADA80946BB_.wvu.FilterData" localSheetId="1" hidden="1">'1.СЗН'!$A$1:$AF$64</definedName>
    <definedName name="Z_CB4792DB_A624_4844_AEB6_A6ADA80946BB_.wvu.FilterData" localSheetId="13" hidden="1">'11.МП РО'!$A$4:$A$394</definedName>
    <definedName name="Z_CB4792DB_A624_4844_AEB6_A6ADA80946BB_.wvu.FilterData" localSheetId="2" hidden="1">'2.АПК'!$A$1:$AF$36</definedName>
    <definedName name="Z_CB4792DB_A624_4844_AEB6_A6ADA80946BB_.wvu.FilterData" localSheetId="3" hidden="1">'3.БЖД'!$A$1:$AF$17</definedName>
    <definedName name="Z_CB4792DB_A624_4844_AEB6_A6ADA80946BB_.wvu.FilterData" localSheetId="4" hidden="1">'4.УМИ'!$A$1:$AF$11</definedName>
    <definedName name="Z_CB4792DB_A624_4844_AEB6_A6ADA80946BB_.wvu.FilterData" localSheetId="5" hidden="1">'5.Проф. прав.'!$A$1:$AF$12</definedName>
    <definedName name="Z_CB4792DB_A624_4844_AEB6_A6ADA80946BB_.wvu.FilterData" localSheetId="6" hidden="1">'6.Экстримизм'!$A$1:$AF$11</definedName>
    <definedName name="Z_CB4792DB_A624_4844_AEB6_A6ADA80946BB_.wvu.Rows" localSheetId="1" hidden="1">'1.СЗН'!$70:$74</definedName>
    <definedName name="Z_CB4792DB_A624_4844_AEB6_A6ADA80946BB_.wvu.Rows" localSheetId="16" hidden="1">'13.МП РЖС'!$122:$127</definedName>
    <definedName name="Z_CB4792DB_A624_4844_AEB6_A6ADA80946BB_.wvu.Rows" localSheetId="6" hidden="1">'6.Экстримизм'!$9:$23,'6.Экстримизм'!$30:$38,'6.Экстримизм'!$44:$49,'6.Экстримизм'!$65:$67,'6.Экстримизм'!$71:$76,'6.Экстримизм'!$86:$88,'6.Экстримизм'!$95:$97</definedName>
    <definedName name="Z_CBFBCA7F_56FD_45D6_9519_98FF92DE6720_.wvu.FilterData" localSheetId="3" hidden="1">'3.БЖД'!$A$1:$AF$17</definedName>
    <definedName name="Z_CE1CCA00_200D_4EAA_9FBE_F8EE7C5F82FE_.wvu.Cols" localSheetId="16" hidden="1">'13.МП РЖС'!$AG:$AG</definedName>
    <definedName name="Z_CE1CCA00_200D_4EAA_9FBE_F8EE7C5F82FE_.wvu.FilterData" localSheetId="1" hidden="1">'1.СЗН'!$A$1:$AF$64</definedName>
    <definedName name="Z_CE1CCA00_200D_4EAA_9FBE_F8EE7C5F82FE_.wvu.FilterData" localSheetId="13" hidden="1">'11.МП РО'!$A$4:$A$394</definedName>
    <definedName name="Z_CE1CCA00_200D_4EAA_9FBE_F8EE7C5F82FE_.wvu.FilterData" localSheetId="2" hidden="1">'2.АПК'!$A$1:$AF$36</definedName>
    <definedName name="Z_CE1CCA00_200D_4EAA_9FBE_F8EE7C5F82FE_.wvu.FilterData" localSheetId="3" hidden="1">'3.БЖД'!$A$1:$AF$17</definedName>
    <definedName name="Z_CE1CCA00_200D_4EAA_9FBE_F8EE7C5F82FE_.wvu.FilterData" localSheetId="4" hidden="1">'4.УМИ'!$A$1:$AF$11</definedName>
    <definedName name="Z_CE1CCA00_200D_4EAA_9FBE_F8EE7C5F82FE_.wvu.FilterData" localSheetId="5" hidden="1">'5.Проф. прав.'!$A$1:$AF$12</definedName>
    <definedName name="Z_CE1CCA00_200D_4EAA_9FBE_F8EE7C5F82FE_.wvu.FilterData" localSheetId="6" hidden="1">'6.Экстримизм'!$A$1:$AF$11</definedName>
    <definedName name="Z_CE1CCA00_200D_4EAA_9FBE_F8EE7C5F82FE_.wvu.Rows" localSheetId="1" hidden="1">'1.СЗН'!$70:$74</definedName>
    <definedName name="Z_CE1CCA00_200D_4EAA_9FBE_F8EE7C5F82FE_.wvu.Rows" localSheetId="16" hidden="1">'13.МП РЖС'!$122:$127</definedName>
    <definedName name="Z_CE1CCA00_200D_4EAA_9FBE_F8EE7C5F82FE_.wvu.Rows" localSheetId="6" hidden="1">'6.Экстримизм'!$9:$23,'6.Экстримизм'!$30:$38,'6.Экстримизм'!$44:$49,'6.Экстримизм'!$65:$67,'6.Экстримизм'!$71:$76,'6.Экстримизм'!$86:$88,'6.Экстримизм'!$95:$97</definedName>
    <definedName name="Z_D01FA037_9AEC_4167_ADB8_2F327C01ECE6_.wvu.Cols" localSheetId="16" hidden="1">'13.МП РЖС'!$AG:$AG</definedName>
    <definedName name="Z_D01FA037_9AEC_4167_ADB8_2F327C01ECE6_.wvu.FilterData" localSheetId="1" hidden="1">'1.СЗН'!$A$1:$AF$64</definedName>
    <definedName name="Z_D01FA037_9AEC_4167_ADB8_2F327C01ECE6_.wvu.FilterData" localSheetId="13" hidden="1">'11.МП РО'!$A$4:$A$394</definedName>
    <definedName name="Z_D01FA037_9AEC_4167_ADB8_2F327C01ECE6_.wvu.FilterData" localSheetId="2" hidden="1">'2.АПК'!$A$1:$AF$36</definedName>
    <definedName name="Z_D01FA037_9AEC_4167_ADB8_2F327C01ECE6_.wvu.FilterData" localSheetId="3" hidden="1">'3.БЖД'!$A$1:$AF$17</definedName>
    <definedName name="Z_D01FA037_9AEC_4167_ADB8_2F327C01ECE6_.wvu.FilterData" localSheetId="4" hidden="1">'4.УМИ'!$A$1:$AF$11</definedName>
    <definedName name="Z_D01FA037_9AEC_4167_ADB8_2F327C01ECE6_.wvu.FilterData" localSheetId="5" hidden="1">'5.Проф. прав.'!$A$1:$AF$12</definedName>
    <definedName name="Z_D01FA037_9AEC_4167_ADB8_2F327C01ECE6_.wvu.FilterData" localSheetId="6" hidden="1">'6.Экстримизм'!$A$1:$AF$11</definedName>
    <definedName name="Z_D01FA037_9AEC_4167_ADB8_2F327C01ECE6_.wvu.Rows" localSheetId="1" hidden="1">'1.СЗН'!$70:$74</definedName>
    <definedName name="Z_D01FA037_9AEC_4167_ADB8_2F327C01ECE6_.wvu.Rows" localSheetId="16" hidden="1">'13.МП РЖС'!$122:$127</definedName>
    <definedName name="Z_D01FA037_9AEC_4167_ADB8_2F327C01ECE6_.wvu.Rows" localSheetId="6" hidden="1">'6.Экстримизм'!$9:$23,'6.Экстримизм'!$30:$38,'6.Экстримизм'!$44:$49,'6.Экстримизм'!$65:$67,'6.Экстримизм'!$71:$76,'6.Экстримизм'!$86:$88,'6.Экстримизм'!$95:$97</definedName>
    <definedName name="Z_D131C00F_9BDA_43A0_BF73_917985003D17_.wvu.FilterData" localSheetId="6" hidden="1">'6.Экстримизм'!$A$1:$AF$11</definedName>
    <definedName name="Z_D9C8C987_8580_4630_B25D_27B2C5F59692_.wvu.FilterData" localSheetId="2" hidden="1">'2.АПК'!$A$1:$AF$36</definedName>
    <definedName name="Z_DA46A84C_DF5D_4202_9CE4_A1CF3258B03F_.wvu.FilterData" localSheetId="6" hidden="1">'6.Экстримизм'!$A$1:$AF$11</definedName>
    <definedName name="Z_DAA8A688_7558_4B5B_8DBD_E2629BD9E9A8_.wvu.Cols" localSheetId="16" hidden="1">'13.МП РЖС'!$AG:$AG</definedName>
    <definedName name="Z_DAA8A688_7558_4B5B_8DBD_E2629BD9E9A8_.wvu.FilterData" localSheetId="1" hidden="1">'1.СЗН'!$A$1:$AF$64</definedName>
    <definedName name="Z_DAA8A688_7558_4B5B_8DBD_E2629BD9E9A8_.wvu.FilterData" localSheetId="13" hidden="1">'11.МП РО'!$A$4:$A$394</definedName>
    <definedName name="Z_DAA8A688_7558_4B5B_8DBD_E2629BD9E9A8_.wvu.FilterData" localSheetId="2" hidden="1">'2.АПК'!$A$1:$AF$36</definedName>
    <definedName name="Z_DAA8A688_7558_4B5B_8DBD_E2629BD9E9A8_.wvu.FilterData" localSheetId="3" hidden="1">'3.БЖД'!$A$1:$AF$17</definedName>
    <definedName name="Z_DAA8A688_7558_4B5B_8DBD_E2629BD9E9A8_.wvu.FilterData" localSheetId="4" hidden="1">'4.УМИ'!$A$1:$AF$11</definedName>
    <definedName name="Z_DAA8A688_7558_4B5B_8DBD_E2629BD9E9A8_.wvu.FilterData" localSheetId="5" hidden="1">'5.Проф. прав.'!$A$1:$AF$12</definedName>
    <definedName name="Z_DAA8A688_7558_4B5B_8DBD_E2629BD9E9A8_.wvu.FilterData" localSheetId="6" hidden="1">'6.Экстримизм'!$A$1:$AF$11</definedName>
    <definedName name="Z_DAA8A688_7558_4B5B_8DBD_E2629BD9E9A8_.wvu.Rows" localSheetId="1" hidden="1">'1.СЗН'!$70:$74</definedName>
    <definedName name="Z_DAA8A688_7558_4B5B_8DBD_E2629BD9E9A8_.wvu.Rows" localSheetId="16" hidden="1">'13.МП РЖС'!$122:$127</definedName>
    <definedName name="Z_DAA8A688_7558_4B5B_8DBD_E2629BD9E9A8_.wvu.Rows" localSheetId="6" hidden="1">'6.Экстримизм'!$9:$23,'6.Экстримизм'!$30:$38,'6.Экстримизм'!$44:$49,'6.Экстримизм'!$65:$67,'6.Экстримизм'!$71:$76,'6.Экстримизм'!$86:$88,'6.Экстримизм'!$95:$97</definedName>
    <definedName name="Z_DE3D13C4_7341_41B5_9139_A9C8E0C99898_.wvu.FilterData" localSheetId="3" hidden="1">'3.БЖД'!$A$1:$AF$17</definedName>
    <definedName name="Z_E508E171_4ED9_4B07_84DF_DA28C60E1969_.wvu.Cols" localSheetId="16" hidden="1">'13.МП РЖС'!$AG:$AG</definedName>
    <definedName name="Z_E508E171_4ED9_4B07_84DF_DA28C60E1969_.wvu.FilterData" localSheetId="1" hidden="1">'1.СЗН'!$A$1:$AF$64</definedName>
    <definedName name="Z_E508E171_4ED9_4B07_84DF_DA28C60E1969_.wvu.FilterData" localSheetId="13" hidden="1">'11.МП РО'!$A$4:$A$394</definedName>
    <definedName name="Z_E508E171_4ED9_4B07_84DF_DA28C60E1969_.wvu.FilterData" localSheetId="2" hidden="1">'2.АПК'!$A$1:$AF$36</definedName>
    <definedName name="Z_E508E171_4ED9_4B07_84DF_DA28C60E1969_.wvu.FilterData" localSheetId="3" hidden="1">'3.БЖД'!$A$1:$AF$17</definedName>
    <definedName name="Z_E508E171_4ED9_4B07_84DF_DA28C60E1969_.wvu.FilterData" localSheetId="4" hidden="1">'4.УМИ'!$A$1:$AF$11</definedName>
    <definedName name="Z_E508E171_4ED9_4B07_84DF_DA28C60E1969_.wvu.FilterData" localSheetId="5" hidden="1">'5.Проф. прав.'!$A$1:$AF$12</definedName>
    <definedName name="Z_E508E171_4ED9_4B07_84DF_DA28C60E1969_.wvu.FilterData" localSheetId="6" hidden="1">'6.Экстримизм'!$A$1:$AF$11</definedName>
    <definedName name="Z_E508E171_4ED9_4B07_84DF_DA28C60E1969_.wvu.Rows" localSheetId="1" hidden="1">'1.СЗН'!$70:$74</definedName>
    <definedName name="Z_E508E171_4ED9_4B07_84DF_DA28C60E1969_.wvu.Rows" localSheetId="16" hidden="1">'13.МП РЖС'!$122:$127</definedName>
    <definedName name="Z_E508E171_4ED9_4B07_84DF_DA28C60E1969_.wvu.Rows" localSheetId="6" hidden="1">'6.Экстримизм'!$9:$23,'6.Экстримизм'!$30:$38,'6.Экстримизм'!$44:$49,'6.Экстримизм'!$65:$67,'6.Экстримизм'!$71:$76,'6.Экстримизм'!$86:$88,'6.Экстримизм'!$95:$97</definedName>
    <definedName name="Z_E78997D0_B342_4B0F_924C_DFBC1377A883_.wvu.FilterData" localSheetId="5" hidden="1">'5.Проф. прав.'!$A$1:$AF$12</definedName>
    <definedName name="Z_EB3F7096_B579_4E53_8ADC_53C03933AE73_.wvu.FilterData" localSheetId="3" hidden="1">'3.БЖД'!$A$1:$AF$17</definedName>
    <definedName name="Z_EDE26AE4_DFF3_455C_94F8_54D5E0291C1E_.wvu.FilterData" localSheetId="1" hidden="1">'1.СЗН'!$A$1:$AF$64</definedName>
    <definedName name="Z_EE4E416A_731C_4840_AAAF_B170B045E0A2_.wvu.FilterData" localSheetId="2" hidden="1">'2.АПК'!$A$1:$AF$36</definedName>
    <definedName name="Z_EE4E416A_731C_4840_AAAF_B170B045E0A2_.wvu.FilterData" localSheetId="5" hidden="1">'5.Проф. прав.'!$A$1:$AF$12</definedName>
    <definedName name="Z_F49D208F_4382_42DC_ACA2_06B435C9FB7A_.wvu.FilterData" localSheetId="13" hidden="1">'11.МП РО'!$A$4:$A$394</definedName>
    <definedName name="Z_F679EF4A_C5FD_4B86_B87B_D85968E0F2CA_.wvu.Cols" localSheetId="16" hidden="1">'13.МП РЖС'!$AG:$AG</definedName>
    <definedName name="Z_F679EF4A_C5FD_4B86_B87B_D85968E0F2CA_.wvu.FilterData" localSheetId="1" hidden="1">'1.СЗН'!$A$1:$AF$64</definedName>
    <definedName name="Z_F679EF4A_C5FD_4B86_B87B_D85968E0F2CA_.wvu.FilterData" localSheetId="2" hidden="1">'2.АПК'!$A$1:$AF$36</definedName>
    <definedName name="Z_F679EF4A_C5FD_4B86_B87B_D85968E0F2CA_.wvu.FilterData" localSheetId="3" hidden="1">'3.БЖД'!$A$1:$AF$17</definedName>
    <definedName name="Z_F679EF4A_C5FD_4B86_B87B_D85968E0F2CA_.wvu.FilterData" localSheetId="4" hidden="1">'4.УМИ'!$A$1:$AF$11</definedName>
    <definedName name="Z_F679EF4A_C5FD_4B86_B87B_D85968E0F2CA_.wvu.FilterData" localSheetId="5" hidden="1">'5.Проф. прав.'!$A$1:$AF$12</definedName>
    <definedName name="Z_F679EF4A_C5FD_4B86_B87B_D85968E0F2CA_.wvu.FilterData" localSheetId="6" hidden="1">'6.Экстримизм'!$A$1:$AF$11</definedName>
    <definedName name="Z_F679EF4A_C5FD_4B86_B87B_D85968E0F2CA_.wvu.Rows" localSheetId="1" hidden="1">'1.СЗН'!$70:$74</definedName>
    <definedName name="Z_F679EF4A_C5FD_4B86_B87B_D85968E0F2CA_.wvu.Rows" localSheetId="16" hidden="1">'13.МП РЖС'!$122:$127</definedName>
    <definedName name="Z_F679EF4A_C5FD_4B86_B87B_D85968E0F2CA_.wvu.Rows" localSheetId="6" hidden="1">'6.Экстримизм'!$9:$23,'6.Экстримизм'!$30:$38,'6.Экстримизм'!$44:$49,'6.Экстримизм'!$65:$67,'6.Экстримизм'!$71:$76,'6.Экстримизм'!$86:$88,'6.Экстримизм'!$95:$97</definedName>
    <definedName name="Z_F8CAB90F_9980_4EC7_B30B_1637EB515304_.wvu.Cols" localSheetId="16" hidden="1">'13.МП РЖС'!$AG:$AG</definedName>
    <definedName name="Z_F8CAB90F_9980_4EC7_B30B_1637EB515304_.wvu.FilterData" localSheetId="1" hidden="1">'1.СЗН'!$A$1:$AF$64</definedName>
    <definedName name="Z_F8CAB90F_9980_4EC7_B30B_1637EB515304_.wvu.FilterData" localSheetId="13" hidden="1">'11.МП РО'!$A$4:$A$394</definedName>
    <definedName name="Z_F8CAB90F_9980_4EC7_B30B_1637EB515304_.wvu.FilterData" localSheetId="2" hidden="1">'2.АПК'!$A$1:$AF$36</definedName>
    <definedName name="Z_F8CAB90F_9980_4EC7_B30B_1637EB515304_.wvu.FilterData" localSheetId="3" hidden="1">'3.БЖД'!$A$1:$AF$17</definedName>
    <definedName name="Z_F8CAB90F_9980_4EC7_B30B_1637EB515304_.wvu.FilterData" localSheetId="4" hidden="1">'4.УМИ'!$A$1:$AF$11</definedName>
    <definedName name="Z_F8CAB90F_9980_4EC7_B30B_1637EB515304_.wvu.FilterData" localSheetId="5" hidden="1">'5.Проф. прав.'!$A$1:$AF$12</definedName>
    <definedName name="Z_F8CAB90F_9980_4EC7_B30B_1637EB515304_.wvu.FilterData" localSheetId="6" hidden="1">'6.Экстримизм'!$A$1:$AF$11</definedName>
    <definedName name="Z_F8CAB90F_9980_4EC7_B30B_1637EB515304_.wvu.Rows" localSheetId="1" hidden="1">'1.СЗН'!$70:$74</definedName>
    <definedName name="Z_F8CAB90F_9980_4EC7_B30B_1637EB515304_.wvu.Rows" localSheetId="16" hidden="1">'13.МП РЖС'!$122:$127</definedName>
    <definedName name="Z_F8CAB90F_9980_4EC7_B30B_1637EB515304_.wvu.Rows" localSheetId="19" hidden="1">'16.МП РЖКК'!$4:$4</definedName>
    <definedName name="Z_F8CAB90F_9980_4EC7_B30B_1637EB515304_.wvu.Rows" localSheetId="6" hidden="1">'6.Экстримизм'!$9:$23,'6.Экстримизм'!$30:$38,'6.Экстримизм'!$44:$49,'6.Экстримизм'!$65:$67,'6.Экстримизм'!$71:$76,'6.Экстримизм'!$86:$88,'6.Экстримизм'!$95:$97</definedName>
    <definedName name="Z_F9B70720_F297_4239_9B4F_C1EB59A5C247_.wvu.FilterData" localSheetId="2" hidden="1">'2.АПК'!$A$1:$AF$36</definedName>
    <definedName name="Z_FB3C65CE_A6AE_4512_BF0D_063EB54C23BB_.wvu.FilterData" localSheetId="4" hidden="1">'4.УМИ'!$A$1:$AF$11</definedName>
  </definedNames>
  <calcPr calcId="162913"/>
  <customWorkbookViews>
    <customWorkbookView name="Тихонова Лариса Анатольевна - Личное представление" guid="{7C130984-112A-4861-AA43-E2940708E3DC}" mergeInterval="0" personalView="1" maximized="1" xWindow="-8" yWindow="-8" windowWidth="1936" windowHeight="1056" tabRatio="798" activeSheetId="8"/>
    <customWorkbookView name="Степаненко Наталья Алексеевна - Личное представление" guid="{533DC55B-6AD4-4674-9488-685EF2039F3E}" mergeInterval="0" personalView="1" maximized="1" xWindow="-8" yWindow="-8" windowWidth="1936" windowHeight="1048" tabRatio="773" activeSheetId="8"/>
    <customWorkbookView name="Харченко Ольга Владимировна - Личное представление" guid="{09C3E205-981E-4A4E-BE89-8B7044192060}" mergeInterval="0" personalView="1" maximized="1" xWindow="-8" yWindow="-8" windowWidth="1936" windowHeight="1056" tabRatio="798" activeSheetId="14"/>
    <customWorkbookView name="Мягкова Оксана Викторовна - Личное представление" guid="{B1BF08D1-D416-4B47-ADD0-4F59132DC9E8}" mergeInterval="0" personalView="1" maximized="1" xWindow="-8" yWindow="-8" windowWidth="1936" windowHeight="1056" tabRatio="798" activeSheetId="12"/>
    <customWorkbookView name="Подворчан Оксана - Личное представление" guid="{4F41B9CC-959D-442C-80B0-1F0DB2C76D27}" mergeInterval="0" personalView="1" maximized="1" xWindow="-4" yWindow="-4" windowWidth="1928" windowHeight="1038" tabRatio="798" activeSheetId="11"/>
    <customWorkbookView name="Мартынова Снежана Владимировна - Личное представление" guid="{84867370-1F3E-4368-AF79-FBCE46FFFE92}" mergeInterval="0" personalView="1" maximized="1" xWindow="-8" yWindow="-8" windowWidth="1936" windowHeight="1056" tabRatio="798" activeSheetId="2"/>
    <customWorkbookView name="Ларионова Галина Владимировна - Личное представление" guid="{E508E171-4ED9-4B07-84DF-DA28C60E1969}" mergeInterval="0" personalView="1" maximized="1" xWindow="-8" yWindow="-8" windowWidth="1696" windowHeight="1026" tabRatio="798" activeSheetId="23"/>
    <customWorkbookView name="Митина Екатерина Сергеевна - Личное представление" guid="{602C8EDB-B9EF-4C85-B0D5-0558C3A0ABAB}" mergeInterval="0" personalView="1" maximized="1" xWindow="-8" yWindow="-8" windowWidth="2576" windowHeight="1408" tabRatio="798" activeSheetId="22"/>
    <customWorkbookView name="Цыганкова Ирина Анатольевна - Личное представление" guid="{84B3377A-1CDD-4881-99FA-112F8B470D6F}" mergeInterval="0" personalView="1" maximized="1" xWindow="-8" yWindow="-8" windowWidth="1696" windowHeight="1018" tabRatio="798" activeSheetId="17" showComments="commIndAndComment"/>
    <customWorkbookView name="Лукманова Эльвира Наильевна - Личное представление" guid="{87218168-6C8E-4D5B-A5E5-DCCC26803AA3}" mergeInterval="0" personalView="1" maximized="1" xWindow="-8" yWindow="-8" windowWidth="1936" windowHeight="1056" tabRatio="842" activeSheetId="7"/>
    <customWorkbookView name="Цёвка Елена Александровна - Личное представление" guid="{6A602CB8-B24C-4ED4-B378-B27354BE0A1A}" mergeInterval="0" personalView="1" maximized="1" xWindow="-8" yWindow="-8" windowWidth="1936" windowHeight="1048" tabRatio="798" activeSheetId="7"/>
    <customWorkbookView name="Колесник Елена Николаевна - Личное представление" guid="{D01FA037-9AEC-4167-ADB8-2F327C01ECE6}" mergeInterval="0" personalView="1" maximized="1" xWindow="-4" yWindow="-4" windowWidth="1928" windowHeight="1048" tabRatio="798" activeSheetId="6"/>
    <customWorkbookView name="Хамадуллина Анастасия Олеговна - Личное представление" guid="{74870EE6-26B9-40F7-9DC9-260EF16D8959}" mergeInterval="0" personalView="1" maximized="1" xWindow="-8" yWindow="-8" windowWidth="1936" windowHeight="1056" tabRatio="798" activeSheetId="5"/>
    <customWorkbookView name="Наталья В. Балабанская - Личное представление" guid="{7226EA2B-7866-416F-9240-410CC1BF0336}" mergeInterval="0" personalView="1" maximized="1" xWindow="-8" yWindow="-8" windowWidth="1936" windowHeight="1056" tabRatio="798" activeSheetId="15"/>
    <customWorkbookView name="Осинцева Татьяна Николаевна - Личное представление" guid="{F8CAB90F-9980-4EC7-B30B-1637EB515304}" mergeInterval="0" personalView="1" maximized="1" xWindow="-8" yWindow="-8" windowWidth="1936" windowHeight="1056" activeSheetId="20"/>
    <customWorkbookView name="Юшко Надежда Владимировна - Личное представление" guid="{415078CD-EB99-432D-90BA-2F3D5A746E20}" mergeInterval="0" personalView="1" maximized="1" xWindow="-8" yWindow="-8" windowWidth="1936" windowHeight="1056" tabRatio="798" activeSheetId="17"/>
    <customWorkbookView name="Кудла Александр Владимирович - Личное представление" guid="{CB4792DB-A624-4844-AEB6-A6ADA80946BB}" mergeInterval="0" personalView="1" maximized="1" xWindow="-8" yWindow="-8" windowWidth="1936" windowHeight="1048" tabRatio="798" activeSheetId="20"/>
    <customWorkbookView name="Цыганкова Ирина Анатольевн - Личное представление" guid="{0C2B9C2A-7B94-41EF-A2E6-F8AC9A67DE25}" mergeInterval="0" personalView="1" maximized="1" xWindow="-8" yWindow="-8" windowWidth="1936" windowHeight="1056" tabRatio="798" activeSheetId="21"/>
    <customWorkbookView name="Чекменева Наталья Валерьевна - Личное представление" guid="{391AB76E-B386-49C1-800F-016A48AA1A46}" mergeInterval="0" personalView="1" maximized="1" xWindow="-8" yWindow="-8" windowWidth="1936" windowHeight="1056" tabRatio="798" activeSheetId="22"/>
    <customWorkbookView name="Крюков Сергей Александрович - Личное представление" guid="{959E901C-5DDE-42EE-AE94-AB8976B5E00B}" mergeInterval="0" personalView="1" maximized="1" xWindow="-8" yWindow="-8" windowWidth="1936" windowHeight="1056" tabRatio="775" activeSheetId="12"/>
    <customWorkbookView name="Ватаву Рада Вячеславовна - Личное представление" guid="{F679EF4A-C5FD-4B86-B87B-D85968E0F2CA}" mergeInterval="0" personalView="1" maximized="1" xWindow="-8" yWindow="-8" windowWidth="1936" windowHeight="1056" tabRatio="798" activeSheetId="12"/>
    <customWorkbookView name="Сорокина Ольга Сергеевна - Личное представление" guid="{009B3074-D8EC-4952-BF50-43CD64449612}" mergeInterval="0" personalView="1" maximized="1" xWindow="-9" yWindow="-9" windowWidth="1938" windowHeight="1050" tabRatio="798" activeSheetId="15"/>
    <customWorkbookView name="Игошкина Марина Юрьевна - Личное представление" guid="{770624BF-07F3-44B6-94C3-4CC447CDD45C}" mergeInterval="0" personalView="1" maximized="1" xWindow="-8" yWindow="-8" windowWidth="1936" windowHeight="1056" tabRatio="798" activeSheetId="9"/>
    <customWorkbookView name="Шишкина Юлия Андреева - Личное представление" guid="{B82BA08A-1A30-4F4D-A478-74A6BD09EA97}" mergeInterval="0" personalView="1" xWindow="-15" yWindow="49" windowWidth="902" windowHeight="878" tabRatio="798" activeSheetId="5"/>
    <customWorkbookView name="Титкова Наталья Ивановна - Личное представление" guid="{874882D1-E741-4CCA-BF0D-E72FA60B771D}" mergeInterval="0" personalView="1" maximized="1" xWindow="-8" yWindow="-8" windowWidth="1936" windowHeight="1056" tabRatio="798" activeSheetId="19"/>
    <customWorkbookView name="Горохова Оксана Юсуповна - Личное представление" guid="{C236B307-BD63-48C4-A75F-B3F3717BF55C}" mergeInterval="0" personalView="1" maximized="1" xWindow="-8" yWindow="-8" windowWidth="1936" windowHeight="1056" tabRatio="798" activeSheetId="22"/>
    <customWorkbookView name="Бондарева Оксана Петровна - Личное представление" guid="{BCD82A82-B724-4763-8580-D765356E09BA}" mergeInterval="0" personalView="1" maximized="1" xWindow="-8" yWindow="-8" windowWidth="1936" windowHeight="1056" tabRatio="798" activeSheetId="1"/>
    <customWorkbookView name="Терсин Роман Олегович - Личное представление" guid="{85F4575B-DBC5-482A-9916-255D8F0BC94E}" mergeInterval="0" personalView="1" maximized="1" xWindow="-8" yWindow="-8" windowWidth="1936" windowHeight="1056" tabRatio="798" activeSheetId="22"/>
    <customWorkbookView name="Грязнова Екатерина Владимировна - Личное представление" guid="{4D0DFB57-2CBA-42F2-9A97-C453A6851FBA}" mergeInterval="0" personalView="1" maximized="1" xWindow="-8" yWindow="-8" windowWidth="1936" windowHeight="1056" tabRatio="798" activeSheetId="15"/>
    <customWorkbookView name="Краева Ольга Витальевна - Личное представление" guid="{CE1CCA00-200D-4EAA-9FBE-F8EE7C5F82FE}" mergeInterval="0" personalView="1" xWindow="523" yWindow="38" windowWidth="1264" windowHeight="863" tabRatio="798" activeSheetId="17"/>
    <customWorkbookView name="Огиренко Ольга Ивановна - Личное представление" guid="{AC2D5927-4079-4C74-AF69-1BFAC505648F}" mergeInterval="0" personalView="1" maximized="1" xWindow="-8" yWindow="-8" windowWidth="1936" windowHeight="1056" tabRatio="798" activeSheetId="22"/>
    <customWorkbookView name="Корнишина Марина Геннадьевна - Личное представление" guid="{3C3F523F-5F34-4CF7-831E-F1ABC4278CEB}" mergeInterval="0" personalView="1" xWindow="130" yWindow="130" windowWidth="1440" windowHeight="753" tabRatio="798" activeSheetId="6"/>
    <customWorkbookView name="Смекалин Дмитрий Александрович - Личное представление" guid="{69DABE6F-6182-4403-A4A2-969F10F1C13A}" mergeInterval="0" personalView="1" xWindow="62" windowWidth="1858" windowHeight="1080" tabRatio="798" activeSheetId="4"/>
    <customWorkbookView name="Епифанова Елена Валерьевна - Личное представление" guid="{DAA8A688-7558-4B5B-8DBD-E2629BD9E9A8}" mergeInterval="0" personalView="1" maximized="1" xWindow="-8" yWindow="-8" windowWidth="1936" windowHeight="1056" tabRatio="842" activeSheetId="19"/>
    <customWorkbookView name="Шамерзоева Татьяна Федоровна - Личное представление" guid="{47B983AB-FE5F-4725-860C-A2F29420596D}" mergeInterval="0" personalView="1" maximized="1" xWindow="-8" yWindow="-8" windowWidth="2576" windowHeight="1416" tabRatio="798" activeSheetId="3"/>
    <customWorkbookView name="агомедов Алихан Магомедханович - Личное представление" guid="{442F2C94-DD1B-4A01-8694-513D4D6F3BD9}" mergeInterval="0" personalView="1" maximized="1" xWindow="-8" yWindow="-8" windowWidth="1936" windowHeight="1056" tabRatio="798" activeSheetId="22"/>
    <customWorkbookView name="Хазиева Татьяна Михайловна - Личное представление" guid="{472DFAFE-DC7C-463D-92A0-F6A14555FDD6}" mergeInterval="0" personalView="1" maximized="1" xWindow="-8" yWindow="-8" windowWidth="1936" windowHeight="1048" tabRatio="798" activeSheetId="6"/>
    <customWorkbookView name="Ильина Альбина Фанилевна - Личное представление" guid="{B43381A8-767B-4F49-BD2E-0056691293F3}" mergeInterval="0" personalView="1" maximized="1" xWindow="-8" yWindow="-8" windowWidth="1936" windowHeight="1056" tabRatio="798" activeSheetId="15"/>
  </customWorkbookViews>
</workbook>
</file>

<file path=xl/calcChain.xml><?xml version="1.0" encoding="utf-8"?>
<calcChain xmlns="http://schemas.openxmlformats.org/spreadsheetml/2006/main">
  <c r="E267" i="8" l="1"/>
  <c r="F76" i="8"/>
  <c r="E243" i="8"/>
  <c r="E217" i="8" l="1"/>
  <c r="AM107" i="8"/>
  <c r="I298" i="8"/>
  <c r="J298" i="8"/>
  <c r="K298" i="8"/>
  <c r="L298" i="8"/>
  <c r="M298" i="8"/>
  <c r="N298" i="8"/>
  <c r="O298" i="8"/>
  <c r="P298" i="8"/>
  <c r="Q298" i="8"/>
  <c r="R298" i="8"/>
  <c r="S298" i="8"/>
  <c r="T298" i="8"/>
  <c r="U298" i="8"/>
  <c r="V298" i="8"/>
  <c r="V295" i="8" s="1"/>
  <c r="W298" i="8"/>
  <c r="X298" i="8"/>
  <c r="Y298" i="8"/>
  <c r="Z298" i="8"/>
  <c r="AA298" i="8"/>
  <c r="AB298" i="8"/>
  <c r="AC298" i="8"/>
  <c r="AD298" i="8"/>
  <c r="AE298" i="8"/>
  <c r="H298" i="8"/>
  <c r="C298" i="8"/>
  <c r="D298" i="8"/>
  <c r="E298" i="8"/>
  <c r="B298" i="8"/>
  <c r="V300" i="8"/>
  <c r="D297" i="8"/>
  <c r="I297" i="8"/>
  <c r="J297" i="8"/>
  <c r="K297" i="8"/>
  <c r="L297" i="8"/>
  <c r="M297" i="8"/>
  <c r="N297" i="8"/>
  <c r="O297" i="8"/>
  <c r="P297" i="8"/>
  <c r="Q297" i="8"/>
  <c r="R297" i="8"/>
  <c r="S297" i="8"/>
  <c r="T297" i="8"/>
  <c r="U297" i="8"/>
  <c r="V297" i="8"/>
  <c r="W297" i="8"/>
  <c r="X297" i="8"/>
  <c r="Y297" i="8"/>
  <c r="Z297" i="8"/>
  <c r="AA297" i="8"/>
  <c r="AB297" i="8"/>
  <c r="AC297" i="8"/>
  <c r="AD297" i="8"/>
  <c r="AE297" i="8"/>
  <c r="H297" i="8"/>
  <c r="E297" i="8"/>
  <c r="C297" i="8"/>
  <c r="B295" i="8"/>
  <c r="I302" i="8"/>
  <c r="J302" i="8"/>
  <c r="K302" i="8"/>
  <c r="L302" i="8"/>
  <c r="M302" i="8"/>
  <c r="N302" i="8"/>
  <c r="O302" i="8"/>
  <c r="P302" i="8"/>
  <c r="Q302" i="8"/>
  <c r="R302" i="8"/>
  <c r="S302" i="8"/>
  <c r="T302" i="8"/>
  <c r="U302" i="8"/>
  <c r="V302" i="8"/>
  <c r="W302" i="8"/>
  <c r="X302" i="8"/>
  <c r="Y302" i="8"/>
  <c r="Z302" i="8"/>
  <c r="AA302" i="8"/>
  <c r="AB302" i="8"/>
  <c r="AC302" i="8"/>
  <c r="AD302" i="8"/>
  <c r="AE302" i="8"/>
  <c r="H302" i="8"/>
  <c r="C302" i="8"/>
  <c r="D302" i="8"/>
  <c r="E302" i="8"/>
  <c r="B302" i="8"/>
  <c r="AB305" i="8"/>
  <c r="AD305" i="8"/>
  <c r="AE305" i="8"/>
  <c r="I304" i="8"/>
  <c r="L304" i="8"/>
  <c r="M304" i="8"/>
  <c r="O304" i="8"/>
  <c r="Q304" i="8"/>
  <c r="S304" i="8"/>
  <c r="U304" i="8"/>
  <c r="W304" i="8"/>
  <c r="Y304" i="8"/>
  <c r="Z304" i="8"/>
  <c r="AA304" i="8"/>
  <c r="AC304" i="8"/>
  <c r="AD304" i="8"/>
  <c r="AE304" i="8"/>
  <c r="V303" i="8"/>
  <c r="P303" i="8"/>
  <c r="Q303" i="8"/>
  <c r="J303" i="8"/>
  <c r="L303" i="8"/>
  <c r="N303" i="8"/>
  <c r="F298" i="8"/>
  <c r="C299" i="8"/>
  <c r="D299" i="8"/>
  <c r="E299" i="8"/>
  <c r="B299" i="8"/>
  <c r="B297" i="8"/>
  <c r="C296" i="8"/>
  <c r="D296" i="8"/>
  <c r="E296" i="8"/>
  <c r="B296" i="8"/>
  <c r="L292" i="8"/>
  <c r="M292" i="8"/>
  <c r="O292" i="8"/>
  <c r="Q292" i="8"/>
  <c r="S292" i="8"/>
  <c r="U292" i="8"/>
  <c r="W292" i="8"/>
  <c r="Y292" i="8"/>
  <c r="Z292" i="8"/>
  <c r="AA292" i="8"/>
  <c r="AC292" i="8"/>
  <c r="AD292" i="8"/>
  <c r="AE292" i="8"/>
  <c r="I292" i="8"/>
  <c r="AB293" i="8"/>
  <c r="AD293" i="8"/>
  <c r="AE293" i="8"/>
  <c r="B243" i="8"/>
  <c r="D117" i="8"/>
  <c r="E123" i="8"/>
  <c r="C123" i="8"/>
  <c r="B122" i="8"/>
  <c r="C122" i="8"/>
  <c r="G122" i="8" s="1"/>
  <c r="E122" i="8"/>
  <c r="F122" i="8"/>
  <c r="B124" i="8"/>
  <c r="B118" i="8" s="1"/>
  <c r="C124" i="8"/>
  <c r="E124" i="8"/>
  <c r="X120" i="8"/>
  <c r="Y120" i="8"/>
  <c r="Z120" i="8"/>
  <c r="AA120" i="8"/>
  <c r="AB120" i="8"/>
  <c r="AC120" i="8"/>
  <c r="AD120" i="8"/>
  <c r="AE120" i="8"/>
  <c r="W120" i="8"/>
  <c r="B117" i="8"/>
  <c r="C117" i="8"/>
  <c r="E117" i="8"/>
  <c r="P291" i="8"/>
  <c r="B41" i="8"/>
  <c r="B254" i="8"/>
  <c r="C243" i="8"/>
  <c r="I236" i="8"/>
  <c r="I303" i="8" s="1"/>
  <c r="J236" i="8"/>
  <c r="J291" i="8" s="1"/>
  <c r="K236" i="8"/>
  <c r="K303" i="8" s="1"/>
  <c r="L236" i="8"/>
  <c r="L291" i="8" s="1"/>
  <c r="M236" i="8"/>
  <c r="M303" i="8" s="1"/>
  <c r="N236" i="8"/>
  <c r="N291" i="8" s="1"/>
  <c r="O236" i="8"/>
  <c r="O303" i="8" s="1"/>
  <c r="P236" i="8"/>
  <c r="Q236" i="8"/>
  <c r="Q291" i="8" s="1"/>
  <c r="R236" i="8"/>
  <c r="R303" i="8" s="1"/>
  <c r="S236" i="8"/>
  <c r="S303" i="8" s="1"/>
  <c r="T236" i="8"/>
  <c r="T303" i="8" s="1"/>
  <c r="U236" i="8"/>
  <c r="U303" i="8" s="1"/>
  <c r="V236" i="8"/>
  <c r="V291" i="8" s="1"/>
  <c r="W236" i="8"/>
  <c r="W303" i="8" s="1"/>
  <c r="X236" i="8"/>
  <c r="X303" i="8" s="1"/>
  <c r="Y236" i="8"/>
  <c r="Y303" i="8" s="1"/>
  <c r="Z236" i="8"/>
  <c r="Z303" i="8" s="1"/>
  <c r="AA236" i="8"/>
  <c r="AA303" i="8" s="1"/>
  <c r="AB236" i="8"/>
  <c r="AB303" i="8" s="1"/>
  <c r="AC236" i="8"/>
  <c r="AC303" i="8" s="1"/>
  <c r="AD236" i="8"/>
  <c r="AD303" i="8" s="1"/>
  <c r="AE236" i="8"/>
  <c r="AE303" i="8" s="1"/>
  <c r="H236" i="8"/>
  <c r="H303" i="8" s="1"/>
  <c r="E236" i="8"/>
  <c r="E303" i="8" s="1"/>
  <c r="N41" i="8"/>
  <c r="M41" i="8"/>
  <c r="L41" i="8"/>
  <c r="R41" i="8"/>
  <c r="H41" i="8"/>
  <c r="B47" i="8"/>
  <c r="H290" i="8"/>
  <c r="B290" i="8"/>
  <c r="E242" i="8"/>
  <c r="D242" i="8"/>
  <c r="D236" i="8" s="1"/>
  <c r="D303" i="8" s="1"/>
  <c r="C242" i="8"/>
  <c r="G242" i="8" s="1"/>
  <c r="B242" i="8"/>
  <c r="B236" i="8" s="1"/>
  <c r="B303" i="8" s="1"/>
  <c r="I306" i="8"/>
  <c r="J306" i="8"/>
  <c r="K306" i="8"/>
  <c r="L306" i="8"/>
  <c r="M306" i="8"/>
  <c r="N306" i="8"/>
  <c r="O306" i="8"/>
  <c r="P306" i="8"/>
  <c r="Q306" i="8"/>
  <c r="R306" i="8"/>
  <c r="S306" i="8"/>
  <c r="T306" i="8"/>
  <c r="U306" i="8"/>
  <c r="V306" i="8"/>
  <c r="W306" i="8"/>
  <c r="X306" i="8"/>
  <c r="Y306" i="8"/>
  <c r="Z306" i="8"/>
  <c r="AA306" i="8"/>
  <c r="AB306" i="8"/>
  <c r="AC306" i="8"/>
  <c r="AD306" i="8"/>
  <c r="AE306" i="8"/>
  <c r="H306" i="8"/>
  <c r="I300" i="8"/>
  <c r="J300" i="8"/>
  <c r="K300" i="8"/>
  <c r="L300" i="8"/>
  <c r="M300" i="8"/>
  <c r="N300" i="8"/>
  <c r="O300" i="8"/>
  <c r="P300" i="8"/>
  <c r="Q300" i="8"/>
  <c r="R300" i="8"/>
  <c r="S300" i="8"/>
  <c r="T300" i="8"/>
  <c r="U300" i="8"/>
  <c r="W300" i="8"/>
  <c r="X300" i="8"/>
  <c r="Y300" i="8"/>
  <c r="Z300" i="8"/>
  <c r="AA300" i="8"/>
  <c r="AB300" i="8"/>
  <c r="AC300" i="8"/>
  <c r="AD300" i="8"/>
  <c r="AE300" i="8"/>
  <c r="H300" i="8"/>
  <c r="E36" i="8"/>
  <c r="D36" i="8" s="1"/>
  <c r="D294" i="8" s="1"/>
  <c r="C36" i="8"/>
  <c r="B36" i="8"/>
  <c r="F36" i="8" s="1"/>
  <c r="E29" i="8"/>
  <c r="C29" i="8"/>
  <c r="B29" i="8"/>
  <c r="AE291" i="8" l="1"/>
  <c r="AC291" i="8"/>
  <c r="AA291" i="8"/>
  <c r="Y291" i="8"/>
  <c r="W291" i="8"/>
  <c r="U291" i="8"/>
  <c r="S291" i="8"/>
  <c r="AD291" i="8"/>
  <c r="AB291" i="8"/>
  <c r="Z291" i="8"/>
  <c r="X291" i="8"/>
  <c r="T291" i="8"/>
  <c r="R291" i="8"/>
  <c r="B240" i="8"/>
  <c r="O291" i="8"/>
  <c r="M291" i="8"/>
  <c r="K291" i="8"/>
  <c r="I291" i="8"/>
  <c r="F242" i="8"/>
  <c r="C236" i="8"/>
  <c r="F236" i="8"/>
  <c r="H291" i="8"/>
  <c r="D124" i="8"/>
  <c r="F124" i="8"/>
  <c r="G124" i="8"/>
  <c r="E118" i="8"/>
  <c r="E305" i="8" s="1"/>
  <c r="C118" i="8"/>
  <c r="C300" i="8"/>
  <c r="E300" i="8"/>
  <c r="B300" i="8"/>
  <c r="G29" i="8"/>
  <c r="F29" i="8"/>
  <c r="G36" i="8"/>
  <c r="D29" i="8"/>
  <c r="D300" i="8" s="1"/>
  <c r="AE43" i="8"/>
  <c r="AD43" i="8"/>
  <c r="AC43" i="8"/>
  <c r="AB43" i="8"/>
  <c r="AA43" i="8"/>
  <c r="Z43" i="8"/>
  <c r="Y43" i="8"/>
  <c r="X43" i="8"/>
  <c r="W43" i="8"/>
  <c r="V43" i="8"/>
  <c r="U43" i="8"/>
  <c r="T43" i="8"/>
  <c r="S43" i="8"/>
  <c r="R43" i="8"/>
  <c r="Q43" i="8"/>
  <c r="P43" i="8"/>
  <c r="O43" i="8"/>
  <c r="N43" i="8"/>
  <c r="M43" i="8"/>
  <c r="L43" i="8"/>
  <c r="K43" i="8"/>
  <c r="J43" i="8"/>
  <c r="I43" i="8"/>
  <c r="H43" i="8"/>
  <c r="AE41" i="8"/>
  <c r="AD41" i="8"/>
  <c r="AC41" i="8"/>
  <c r="AB41" i="8"/>
  <c r="AA41" i="8"/>
  <c r="Z41" i="8"/>
  <c r="Y41" i="8"/>
  <c r="X41" i="8"/>
  <c r="W41" i="8"/>
  <c r="V41" i="8"/>
  <c r="U41" i="8"/>
  <c r="T41" i="8"/>
  <c r="S41" i="8"/>
  <c r="Q41" i="8"/>
  <c r="P41" i="8"/>
  <c r="O41" i="8"/>
  <c r="K41" i="8"/>
  <c r="J41" i="8"/>
  <c r="I41" i="8"/>
  <c r="B33" i="8"/>
  <c r="B26" i="8"/>
  <c r="R40" i="8"/>
  <c r="C34" i="8"/>
  <c r="C33" i="8"/>
  <c r="C27" i="8"/>
  <c r="C26" i="8"/>
  <c r="C281" i="8"/>
  <c r="C267" i="8"/>
  <c r="C260" i="8"/>
  <c r="C249" i="8"/>
  <c r="D200" i="8"/>
  <c r="E229" i="8"/>
  <c r="E223" i="8"/>
  <c r="E211" i="8"/>
  <c r="E205" i="8"/>
  <c r="E206" i="8"/>
  <c r="E291" i="8" l="1"/>
  <c r="C291" i="8"/>
  <c r="B291" i="8"/>
  <c r="G236" i="8"/>
  <c r="C303" i="8"/>
  <c r="F118" i="8"/>
  <c r="D118" i="8"/>
  <c r="G118" i="8"/>
  <c r="G300" i="8"/>
  <c r="F300" i="8"/>
  <c r="C229" i="8"/>
  <c r="C217" i="8"/>
  <c r="C211" i="8"/>
  <c r="C205" i="8"/>
  <c r="C206" i="8"/>
  <c r="C200" i="8" l="1"/>
  <c r="C305" i="8" s="1"/>
  <c r="G305" i="8" s="1"/>
  <c r="D293" i="8"/>
  <c r="D305" i="8"/>
  <c r="G206" i="8"/>
  <c r="E187" i="8"/>
  <c r="E181" i="8"/>
  <c r="E175" i="8"/>
  <c r="C187" i="8"/>
  <c r="C181" i="8"/>
  <c r="C175" i="8"/>
  <c r="E147" i="8" l="1"/>
  <c r="V120" i="8"/>
  <c r="D116" i="8"/>
  <c r="C116" i="8"/>
  <c r="E129" i="8"/>
  <c r="C135" i="8"/>
  <c r="C111" i="8"/>
  <c r="E105" i="8"/>
  <c r="E61" i="8"/>
  <c r="C99" i="8"/>
  <c r="C93" i="8"/>
  <c r="C87" i="8"/>
  <c r="B87" i="8"/>
  <c r="B84" i="8" s="1"/>
  <c r="C76" i="8"/>
  <c r="C74" i="8"/>
  <c r="C73" i="8"/>
  <c r="C68" i="8"/>
  <c r="C67" i="8"/>
  <c r="C66" i="8"/>
  <c r="E48" i="8"/>
  <c r="C49" i="8" l="1"/>
  <c r="B49" i="8"/>
  <c r="B48" i="8"/>
  <c r="F48" i="8" s="1"/>
  <c r="C48" i="8"/>
  <c r="C294" i="8" l="1"/>
  <c r="C306" i="8"/>
  <c r="B294" i="8"/>
  <c r="B306" i="8"/>
  <c r="C46" i="8"/>
  <c r="C47" i="8"/>
  <c r="C45" i="8" l="1"/>
  <c r="E260" i="8" l="1"/>
  <c r="D181" i="8"/>
  <c r="E168" i="8"/>
  <c r="C172" i="8"/>
  <c r="D108" i="8" l="1"/>
  <c r="B46" i="8"/>
  <c r="C41" i="8"/>
  <c r="E111" i="8" l="1"/>
  <c r="E67" i="8"/>
  <c r="E169" i="8"/>
  <c r="C169" i="8"/>
  <c r="H299" i="8" l="1"/>
  <c r="I299" i="8"/>
  <c r="AE217" i="8" l="1"/>
  <c r="AD123" i="8"/>
  <c r="C64" i="5" l="1"/>
  <c r="C63" i="5" s="1"/>
  <c r="C69" i="5" s="1"/>
  <c r="D64" i="5"/>
  <c r="G123" i="8" l="1"/>
  <c r="I64" i="14"/>
  <c r="J64" i="14"/>
  <c r="K64" i="14"/>
  <c r="L64" i="14"/>
  <c r="M64" i="14"/>
  <c r="N64" i="14"/>
  <c r="O64" i="14"/>
  <c r="P64" i="14"/>
  <c r="Q64" i="14"/>
  <c r="R64" i="14"/>
  <c r="S64" i="14"/>
  <c r="T64" i="14"/>
  <c r="U64" i="14"/>
  <c r="V64" i="14"/>
  <c r="W64" i="14"/>
  <c r="X64" i="14"/>
  <c r="Y64" i="14"/>
  <c r="Z64" i="14"/>
  <c r="AA64" i="14"/>
  <c r="AB64" i="14"/>
  <c r="AC64" i="14"/>
  <c r="AD64" i="14"/>
  <c r="AE64" i="14"/>
  <c r="H64" i="14"/>
  <c r="E64" i="14"/>
  <c r="D64" i="14"/>
  <c r="C64" i="14"/>
  <c r="B64" i="14"/>
  <c r="B82" i="14"/>
  <c r="AG83" i="14"/>
  <c r="E82" i="14"/>
  <c r="E79" i="14" s="1"/>
  <c r="C82" i="14"/>
  <c r="C79" i="14" s="1"/>
  <c r="AG82" i="14"/>
  <c r="E81" i="14"/>
  <c r="D81" i="14"/>
  <c r="C81" i="14"/>
  <c r="B81" i="14"/>
  <c r="AG81" i="14" s="1"/>
  <c r="E80" i="14"/>
  <c r="D80" i="14" s="1"/>
  <c r="C80" i="14"/>
  <c r="B80" i="14"/>
  <c r="AG80" i="14" s="1"/>
  <c r="AE79" i="14"/>
  <c r="AD79" i="14"/>
  <c r="AC79" i="14"/>
  <c r="AB79" i="14"/>
  <c r="AA79" i="14"/>
  <c r="Z79" i="14"/>
  <c r="Y79" i="14"/>
  <c r="X79" i="14"/>
  <c r="W79" i="14"/>
  <c r="V79" i="14"/>
  <c r="U79" i="14"/>
  <c r="T79" i="14"/>
  <c r="S79" i="14"/>
  <c r="R79" i="14"/>
  <c r="Q79" i="14"/>
  <c r="P79" i="14"/>
  <c r="O79" i="14"/>
  <c r="N79" i="14"/>
  <c r="M79" i="14"/>
  <c r="L79" i="14"/>
  <c r="K79" i="14"/>
  <c r="J79" i="14"/>
  <c r="I79" i="14"/>
  <c r="H79" i="14"/>
  <c r="B79" i="14"/>
  <c r="AG78" i="14"/>
  <c r="F79" i="14" l="1"/>
  <c r="F82" i="14"/>
  <c r="G79" i="14"/>
  <c r="AG79" i="14"/>
  <c r="G82" i="14"/>
  <c r="D82" i="14"/>
  <c r="D79" i="14" s="1"/>
  <c r="AB146" i="12"/>
  <c r="AD146" i="12" s="1"/>
  <c r="X145" i="12"/>
  <c r="Z145" i="12" s="1"/>
  <c r="AB145" i="12" s="1"/>
  <c r="AD145" i="12" s="1"/>
  <c r="E137" i="12"/>
  <c r="D137" i="12" s="1"/>
  <c r="C137" i="12"/>
  <c r="B137" i="12"/>
  <c r="G136" i="12"/>
  <c r="E136" i="12"/>
  <c r="F136" i="12" s="1"/>
  <c r="C136" i="12"/>
  <c r="B136" i="12"/>
  <c r="E135" i="12"/>
  <c r="D135" i="12" s="1"/>
  <c r="C135" i="12"/>
  <c r="B135" i="12"/>
  <c r="E134" i="12"/>
  <c r="D134" i="12" s="1"/>
  <c r="C134" i="12"/>
  <c r="C133" i="12" s="1"/>
  <c r="B134" i="12"/>
  <c r="AE133" i="12"/>
  <c r="AD133" i="12"/>
  <c r="AC133" i="12"/>
  <c r="AB133" i="12"/>
  <c r="AA133" i="12"/>
  <c r="Z133" i="12"/>
  <c r="Y133" i="12"/>
  <c r="X133" i="12"/>
  <c r="W133" i="12"/>
  <c r="V133" i="12"/>
  <c r="U133" i="12"/>
  <c r="T133" i="12"/>
  <c r="S133" i="12"/>
  <c r="R133" i="12"/>
  <c r="Q133" i="12"/>
  <c r="P133" i="12"/>
  <c r="O133" i="12"/>
  <c r="N133" i="12"/>
  <c r="M133" i="12"/>
  <c r="L133" i="12"/>
  <c r="K133" i="12"/>
  <c r="J133" i="12"/>
  <c r="I133" i="12"/>
  <c r="H133" i="12"/>
  <c r="E133" i="12"/>
  <c r="B133" i="12"/>
  <c r="E131" i="12"/>
  <c r="C131" i="12"/>
  <c r="B131" i="12"/>
  <c r="G130" i="12"/>
  <c r="E130" i="12"/>
  <c r="F130" i="12" s="1"/>
  <c r="C130" i="12"/>
  <c r="B130" i="12"/>
  <c r="E129" i="12"/>
  <c r="D129" i="12" s="1"/>
  <c r="C129" i="12"/>
  <c r="B129" i="12"/>
  <c r="E128" i="12"/>
  <c r="D128" i="12" s="1"/>
  <c r="C128" i="12"/>
  <c r="B128" i="12"/>
  <c r="AE127" i="12"/>
  <c r="AD127" i="12"/>
  <c r="AC127" i="12"/>
  <c r="AB127" i="12"/>
  <c r="AA127" i="12"/>
  <c r="Z127" i="12"/>
  <c r="Y127" i="12"/>
  <c r="X127" i="12"/>
  <c r="W127" i="12"/>
  <c r="V127" i="12"/>
  <c r="U127" i="12"/>
  <c r="T127" i="12"/>
  <c r="S127" i="12"/>
  <c r="R127" i="12"/>
  <c r="Q127" i="12"/>
  <c r="P127" i="12"/>
  <c r="O127" i="12"/>
  <c r="N127" i="12"/>
  <c r="M127" i="12"/>
  <c r="L127" i="12"/>
  <c r="K127" i="12"/>
  <c r="J127" i="12"/>
  <c r="I127" i="12"/>
  <c r="H127" i="12"/>
  <c r="B127" i="12"/>
  <c r="AE125" i="12"/>
  <c r="AD125" i="12"/>
  <c r="AC125" i="12"/>
  <c r="AB125" i="12"/>
  <c r="AA125" i="12"/>
  <c r="AA121" i="12" s="1"/>
  <c r="Z125" i="12"/>
  <c r="X125" i="12"/>
  <c r="V125" i="12"/>
  <c r="T125" i="12"/>
  <c r="R125" i="12"/>
  <c r="P125" i="12"/>
  <c r="N125" i="12"/>
  <c r="L125" i="12"/>
  <c r="J125" i="12"/>
  <c r="H125" i="12"/>
  <c r="B125" i="12" s="1"/>
  <c r="F125" i="12"/>
  <c r="C125" i="12"/>
  <c r="AD124" i="12"/>
  <c r="Z124" i="12" s="1"/>
  <c r="AB124" i="12"/>
  <c r="V124" i="12" s="1"/>
  <c r="Y124" i="12"/>
  <c r="U124" i="12" s="1"/>
  <c r="W124" i="12"/>
  <c r="S124" i="12" s="1"/>
  <c r="R124" i="12"/>
  <c r="AE123" i="12"/>
  <c r="AD123" i="12"/>
  <c r="AC123" i="12"/>
  <c r="W123" i="12" s="1"/>
  <c r="AB123" i="12"/>
  <c r="X123" i="12" s="1"/>
  <c r="T123" i="12" s="1"/>
  <c r="AA123" i="12"/>
  <c r="Z123" i="12"/>
  <c r="Y123" i="12"/>
  <c r="U123" i="12"/>
  <c r="AE122" i="12"/>
  <c r="Y122" i="12" s="1"/>
  <c r="AD122" i="12"/>
  <c r="AC122" i="12"/>
  <c r="AB122" i="12"/>
  <c r="AA122" i="12"/>
  <c r="W122" i="12"/>
  <c r="AC121" i="12"/>
  <c r="E117" i="12"/>
  <c r="D117" i="12"/>
  <c r="C117" i="12"/>
  <c r="B117" i="12"/>
  <c r="F116" i="12"/>
  <c r="E116" i="12"/>
  <c r="D116" i="12" s="1"/>
  <c r="C116" i="12"/>
  <c r="B116" i="12"/>
  <c r="E115" i="12"/>
  <c r="D115" i="12" s="1"/>
  <c r="D113" i="12" s="1"/>
  <c r="C115" i="12"/>
  <c r="B115" i="12"/>
  <c r="E114" i="12"/>
  <c r="D114" i="12" s="1"/>
  <c r="C114" i="12"/>
  <c r="B114" i="12"/>
  <c r="AE113" i="12"/>
  <c r="AD113" i="12"/>
  <c r="AC113" i="12"/>
  <c r="AB113" i="12"/>
  <c r="AA113" i="12"/>
  <c r="Z113" i="12"/>
  <c r="Y113" i="12"/>
  <c r="X113" i="12"/>
  <c r="W113" i="12"/>
  <c r="V113" i="12"/>
  <c r="U113" i="12"/>
  <c r="T113" i="12"/>
  <c r="S113" i="12"/>
  <c r="R113" i="12"/>
  <c r="Q113" i="12"/>
  <c r="P113" i="12"/>
  <c r="O113" i="12"/>
  <c r="N113" i="12"/>
  <c r="M113" i="12"/>
  <c r="L113" i="12"/>
  <c r="K113" i="12"/>
  <c r="J113" i="12"/>
  <c r="I113" i="12"/>
  <c r="H113" i="12"/>
  <c r="E113" i="12"/>
  <c r="G113" i="12" s="1"/>
  <c r="C113" i="12"/>
  <c r="E109" i="12"/>
  <c r="D109" i="12"/>
  <c r="C109" i="12"/>
  <c r="B109" i="12"/>
  <c r="E108" i="12"/>
  <c r="D108" i="12" s="1"/>
  <c r="C108" i="12"/>
  <c r="B108" i="12"/>
  <c r="E107" i="12"/>
  <c r="D107" i="12" s="1"/>
  <c r="C107" i="12"/>
  <c r="B107" i="12"/>
  <c r="AE106" i="12"/>
  <c r="Y106" i="12" s="1"/>
  <c r="AD106" i="12"/>
  <c r="AC106" i="12"/>
  <c r="AB106" i="12"/>
  <c r="AA106" i="12"/>
  <c r="Z106" i="12"/>
  <c r="W106" i="12"/>
  <c r="AE105" i="12"/>
  <c r="AD105" i="12"/>
  <c r="AC105" i="12"/>
  <c r="AA105" i="12"/>
  <c r="Z105" i="12"/>
  <c r="Y105" i="12"/>
  <c r="W105" i="12"/>
  <c r="Q105" i="12"/>
  <c r="E103" i="12"/>
  <c r="C103" i="12"/>
  <c r="B103" i="12"/>
  <c r="E102" i="12"/>
  <c r="F102" i="12" s="1"/>
  <c r="D102" i="12"/>
  <c r="C102" i="12"/>
  <c r="B102" i="12"/>
  <c r="E101" i="12"/>
  <c r="D101" i="12"/>
  <c r="C101" i="12"/>
  <c r="C99" i="12" s="1"/>
  <c r="B101" i="12"/>
  <c r="E100" i="12"/>
  <c r="C100" i="12"/>
  <c r="B100" i="12"/>
  <c r="B99" i="12" s="1"/>
  <c r="AE99" i="12"/>
  <c r="AD99" i="12"/>
  <c r="AC99" i="12"/>
  <c r="AB99" i="12"/>
  <c r="AA99" i="12"/>
  <c r="Z99" i="12"/>
  <c r="Y99" i="12"/>
  <c r="X99" i="12"/>
  <c r="W99" i="12"/>
  <c r="V99" i="12"/>
  <c r="U99" i="12"/>
  <c r="T99" i="12"/>
  <c r="S99" i="12"/>
  <c r="R99" i="12"/>
  <c r="Q99" i="12"/>
  <c r="P99" i="12"/>
  <c r="O99" i="12"/>
  <c r="N99" i="12"/>
  <c r="M99" i="12"/>
  <c r="L99" i="12"/>
  <c r="K99" i="12"/>
  <c r="J99" i="12"/>
  <c r="I99" i="12"/>
  <c r="H99" i="12"/>
  <c r="E94" i="12"/>
  <c r="C94" i="12"/>
  <c r="B94" i="12"/>
  <c r="AE91" i="12"/>
  <c r="AD91" i="12"/>
  <c r="AC91" i="12"/>
  <c r="AB91" i="12"/>
  <c r="AA91" i="12"/>
  <c r="Z91" i="12"/>
  <c r="Y91" i="12"/>
  <c r="X91" i="12"/>
  <c r="W91" i="12"/>
  <c r="V91" i="12"/>
  <c r="U91" i="12"/>
  <c r="T91" i="12"/>
  <c r="S91" i="12"/>
  <c r="R91" i="12"/>
  <c r="Q91" i="12"/>
  <c r="P91" i="12"/>
  <c r="O91" i="12"/>
  <c r="N91" i="12"/>
  <c r="M91" i="12"/>
  <c r="L91" i="12"/>
  <c r="K91" i="12"/>
  <c r="J91" i="12"/>
  <c r="I91" i="12"/>
  <c r="H91" i="12"/>
  <c r="C91" i="12"/>
  <c r="B91" i="12"/>
  <c r="E88" i="12"/>
  <c r="C88" i="12"/>
  <c r="B88" i="12"/>
  <c r="AE85" i="12"/>
  <c r="AD85" i="12"/>
  <c r="AC85" i="12"/>
  <c r="AB85" i="12"/>
  <c r="AA85" i="12"/>
  <c r="Z85" i="12"/>
  <c r="Y85" i="12"/>
  <c r="X85" i="12"/>
  <c r="W85" i="12"/>
  <c r="V85" i="12"/>
  <c r="U85" i="12"/>
  <c r="T85" i="12"/>
  <c r="S85" i="12"/>
  <c r="R85" i="12"/>
  <c r="Q85" i="12"/>
  <c r="P85" i="12"/>
  <c r="O85" i="12"/>
  <c r="N85" i="12"/>
  <c r="M85" i="12"/>
  <c r="L85" i="12"/>
  <c r="K85" i="12"/>
  <c r="J85" i="12"/>
  <c r="I85" i="12"/>
  <c r="H85" i="12"/>
  <c r="C85" i="12"/>
  <c r="B85" i="12"/>
  <c r="AE83" i="12"/>
  <c r="AD83" i="12"/>
  <c r="AC83" i="12"/>
  <c r="AB83" i="12"/>
  <c r="AA83" i="12"/>
  <c r="Z83" i="12"/>
  <c r="Y83" i="12"/>
  <c r="X83" i="12"/>
  <c r="W83" i="12"/>
  <c r="V83" i="12"/>
  <c r="U83" i="12"/>
  <c r="T83" i="12"/>
  <c r="S83" i="12"/>
  <c r="R83" i="12"/>
  <c r="Q83" i="12"/>
  <c r="P83" i="12"/>
  <c r="O83" i="12"/>
  <c r="N83" i="12"/>
  <c r="M83" i="12"/>
  <c r="L83" i="12"/>
  <c r="K83" i="12"/>
  <c r="J83" i="12"/>
  <c r="I83" i="12"/>
  <c r="H83" i="12"/>
  <c r="E83" i="12"/>
  <c r="D83" i="12"/>
  <c r="C83" i="12"/>
  <c r="B83" i="12"/>
  <c r="AE82" i="12"/>
  <c r="AD82" i="12"/>
  <c r="AC82" i="12"/>
  <c r="AB82" i="12"/>
  <c r="AA82" i="12"/>
  <c r="Z82" i="12"/>
  <c r="Y82" i="12"/>
  <c r="X82" i="12"/>
  <c r="W82" i="12"/>
  <c r="V82" i="12"/>
  <c r="U82" i="12"/>
  <c r="T82" i="12"/>
  <c r="S82" i="12"/>
  <c r="R82" i="12"/>
  <c r="Q82" i="12"/>
  <c r="P82" i="12"/>
  <c r="O82" i="12"/>
  <c r="N82" i="12"/>
  <c r="M82" i="12"/>
  <c r="L82" i="12"/>
  <c r="K82" i="12"/>
  <c r="J82" i="12"/>
  <c r="I82" i="12"/>
  <c r="H82" i="12"/>
  <c r="C82" i="12"/>
  <c r="B82" i="12"/>
  <c r="AE81" i="12"/>
  <c r="AD81" i="12"/>
  <c r="AC81" i="12"/>
  <c r="AB81" i="12"/>
  <c r="AA81" i="12"/>
  <c r="Z81" i="12"/>
  <c r="Y81" i="12"/>
  <c r="X81" i="12"/>
  <c r="W81" i="12"/>
  <c r="V81" i="12"/>
  <c r="U81" i="12"/>
  <c r="T81" i="12"/>
  <c r="S81" i="12"/>
  <c r="R81" i="12"/>
  <c r="Q81" i="12"/>
  <c r="Q79" i="12" s="1"/>
  <c r="P81" i="12"/>
  <c r="O81" i="12"/>
  <c r="N81" i="12"/>
  <c r="M81" i="12"/>
  <c r="L81" i="12"/>
  <c r="K81" i="12"/>
  <c r="J81" i="12"/>
  <c r="I81" i="12"/>
  <c r="H81" i="12"/>
  <c r="E81" i="12"/>
  <c r="D81" i="12"/>
  <c r="C81" i="12"/>
  <c r="B81" i="12"/>
  <c r="AE80" i="12"/>
  <c r="AD80" i="12"/>
  <c r="AC80" i="12"/>
  <c r="AB80" i="12"/>
  <c r="AA80" i="12"/>
  <c r="Z80" i="12"/>
  <c r="Y80" i="12"/>
  <c r="X80" i="12"/>
  <c r="W80" i="12"/>
  <c r="V80" i="12"/>
  <c r="U80" i="12"/>
  <c r="T80" i="12"/>
  <c r="S80" i="12"/>
  <c r="R80" i="12"/>
  <c r="Q80" i="12"/>
  <c r="P80" i="12"/>
  <c r="O80" i="12"/>
  <c r="N80" i="12"/>
  <c r="M80" i="12"/>
  <c r="L80" i="12"/>
  <c r="K80" i="12"/>
  <c r="J80" i="12"/>
  <c r="I80" i="12"/>
  <c r="H80" i="12"/>
  <c r="G80" i="12"/>
  <c r="E80" i="12"/>
  <c r="F80" i="12" s="1"/>
  <c r="D80" i="12"/>
  <c r="C80" i="12"/>
  <c r="B80" i="12"/>
  <c r="AD79" i="12"/>
  <c r="AC79" i="12"/>
  <c r="AB79" i="12"/>
  <c r="Z79" i="12"/>
  <c r="Y79" i="12"/>
  <c r="X79" i="12"/>
  <c r="V79" i="12"/>
  <c r="U79" i="12"/>
  <c r="T79" i="12"/>
  <c r="R79" i="12"/>
  <c r="P79" i="12"/>
  <c r="N79" i="12"/>
  <c r="M79" i="12"/>
  <c r="L79" i="12"/>
  <c r="J79" i="12"/>
  <c r="I79" i="12"/>
  <c r="H79" i="12"/>
  <c r="B79" i="12"/>
  <c r="G77" i="12"/>
  <c r="E77" i="12"/>
  <c r="F77" i="12" s="1"/>
  <c r="C77" i="12"/>
  <c r="B77" i="12"/>
  <c r="J76" i="12"/>
  <c r="E76" i="12"/>
  <c r="D76" i="12" s="1"/>
  <c r="C76" i="12"/>
  <c r="B76" i="12"/>
  <c r="F76" i="12" s="1"/>
  <c r="M73" i="12"/>
  <c r="L73" i="12"/>
  <c r="K73" i="12"/>
  <c r="E70" i="12"/>
  <c r="D70" i="12" s="1"/>
  <c r="D64" i="12" s="1"/>
  <c r="D61" i="12" s="1"/>
  <c r="C70" i="12"/>
  <c r="B70" i="12"/>
  <c r="AE67" i="12"/>
  <c r="AD67" i="12"/>
  <c r="AC67" i="12"/>
  <c r="AB67" i="12"/>
  <c r="AA67" i="12"/>
  <c r="Z67" i="12"/>
  <c r="Y67" i="12"/>
  <c r="X67" i="12"/>
  <c r="W67" i="12"/>
  <c r="V67" i="12"/>
  <c r="U67" i="12"/>
  <c r="T67" i="12"/>
  <c r="S67" i="12"/>
  <c r="R67" i="12"/>
  <c r="Q67" i="12"/>
  <c r="P67" i="12"/>
  <c r="O67" i="12"/>
  <c r="N67" i="12"/>
  <c r="M67" i="12"/>
  <c r="L67" i="12"/>
  <c r="K67" i="12"/>
  <c r="J67" i="12"/>
  <c r="I67" i="12"/>
  <c r="H67" i="12"/>
  <c r="C67" i="12"/>
  <c r="AE65" i="12"/>
  <c r="AD65" i="12"/>
  <c r="AC65" i="12"/>
  <c r="AB65" i="12"/>
  <c r="AA65" i="12"/>
  <c r="Z65" i="12"/>
  <c r="Y65" i="12"/>
  <c r="X65" i="12"/>
  <c r="W65" i="12"/>
  <c r="V65" i="12"/>
  <c r="U65" i="12"/>
  <c r="T65" i="12"/>
  <c r="S65" i="12"/>
  <c r="R65" i="12"/>
  <c r="Q65" i="12"/>
  <c r="P65" i="12"/>
  <c r="O65" i="12"/>
  <c r="N65" i="12"/>
  <c r="M65" i="12"/>
  <c r="L65" i="12"/>
  <c r="K65" i="12"/>
  <c r="J65" i="12"/>
  <c r="C65" i="12" s="1"/>
  <c r="I65" i="12"/>
  <c r="H65" i="12"/>
  <c r="F65" i="12"/>
  <c r="E65" i="12"/>
  <c r="G65" i="12" s="1"/>
  <c r="D65" i="12"/>
  <c r="B65" i="12"/>
  <c r="AE64" i="12"/>
  <c r="AD64" i="12"/>
  <c r="AC64" i="12"/>
  <c r="AB64" i="12"/>
  <c r="AB61" i="12" s="1"/>
  <c r="AA64" i="12"/>
  <c r="Z64" i="12"/>
  <c r="Y64" i="12"/>
  <c r="X64" i="12"/>
  <c r="X61" i="12" s="1"/>
  <c r="W64" i="12"/>
  <c r="V64" i="12"/>
  <c r="U64" i="12"/>
  <c r="T64" i="12"/>
  <c r="T61" i="12" s="1"/>
  <c r="S64" i="12"/>
  <c r="R64" i="12"/>
  <c r="Q64" i="12"/>
  <c r="P64" i="12"/>
  <c r="P61" i="12" s="1"/>
  <c r="O64" i="12"/>
  <c r="N64" i="12"/>
  <c r="M64" i="12"/>
  <c r="L64" i="12"/>
  <c r="L61" i="12" s="1"/>
  <c r="K64" i="12"/>
  <c r="J64" i="12"/>
  <c r="I64" i="12"/>
  <c r="H64" i="12"/>
  <c r="H61" i="12" s="1"/>
  <c r="C64" i="12"/>
  <c r="AE63" i="12"/>
  <c r="AD63" i="12"/>
  <c r="AC63" i="12"/>
  <c r="AB63" i="12"/>
  <c r="AA63" i="12"/>
  <c r="Z63" i="12"/>
  <c r="Y63" i="12"/>
  <c r="Y61" i="12" s="1"/>
  <c r="X63" i="12"/>
  <c r="W63" i="12"/>
  <c r="V63" i="12"/>
  <c r="U63" i="12"/>
  <c r="T63" i="12"/>
  <c r="S63" i="12"/>
  <c r="R63" i="12"/>
  <c r="Q63" i="12"/>
  <c r="Q61" i="12" s="1"/>
  <c r="P63" i="12"/>
  <c r="O63" i="12"/>
  <c r="N63" i="12"/>
  <c r="M63" i="12"/>
  <c r="L63" i="12"/>
  <c r="K63" i="12"/>
  <c r="J63" i="12"/>
  <c r="I63" i="12"/>
  <c r="I61" i="12" s="1"/>
  <c r="H63" i="12"/>
  <c r="E63" i="12"/>
  <c r="D63" i="12"/>
  <c r="C63" i="12"/>
  <c r="B63" i="12"/>
  <c r="AE62" i="12"/>
  <c r="AE61" i="12" s="1"/>
  <c r="AD62" i="12"/>
  <c r="AC62" i="12"/>
  <c r="AB62" i="12"/>
  <c r="AA62" i="12"/>
  <c r="AA61" i="12" s="1"/>
  <c r="Z62" i="12"/>
  <c r="Y62" i="12"/>
  <c r="X62" i="12"/>
  <c r="W62" i="12"/>
  <c r="W61" i="12" s="1"/>
  <c r="V62" i="12"/>
  <c r="U62" i="12"/>
  <c r="T62" i="12"/>
  <c r="S62" i="12"/>
  <c r="S61" i="12" s="1"/>
  <c r="R62" i="12"/>
  <c r="Q62" i="12"/>
  <c r="P62" i="12"/>
  <c r="O62" i="12"/>
  <c r="O61" i="12" s="1"/>
  <c r="N62" i="12"/>
  <c r="M62" i="12"/>
  <c r="L62" i="12"/>
  <c r="K62" i="12"/>
  <c r="K61" i="12" s="1"/>
  <c r="J62" i="12"/>
  <c r="I62" i="12"/>
  <c r="H62" i="12"/>
  <c r="E62" i="12"/>
  <c r="F62" i="12" s="1"/>
  <c r="D62" i="12"/>
  <c r="C62" i="12"/>
  <c r="C61" i="12" s="1"/>
  <c r="B62" i="12"/>
  <c r="AD61" i="12"/>
  <c r="AC61" i="12"/>
  <c r="Z61" i="12"/>
  <c r="V61" i="12"/>
  <c r="U61" i="12"/>
  <c r="R61" i="12"/>
  <c r="N61" i="12"/>
  <c r="M61" i="12"/>
  <c r="J61" i="12"/>
  <c r="AE55" i="12"/>
  <c r="AD55" i="12"/>
  <c r="AC55" i="12"/>
  <c r="AB55" i="12"/>
  <c r="AA55" i="12"/>
  <c r="Z55" i="12"/>
  <c r="Y55" i="12"/>
  <c r="X55" i="12"/>
  <c r="W55" i="12"/>
  <c r="V55" i="12"/>
  <c r="U55" i="12"/>
  <c r="T55" i="12"/>
  <c r="S55" i="12"/>
  <c r="R55" i="12"/>
  <c r="Q55" i="12"/>
  <c r="P55" i="12"/>
  <c r="O55" i="12"/>
  <c r="N55" i="12"/>
  <c r="M55" i="12"/>
  <c r="L55" i="12"/>
  <c r="B55" i="12"/>
  <c r="E52" i="12"/>
  <c r="F52" i="12" s="1"/>
  <c r="C52" i="12"/>
  <c r="G52" i="12" s="1"/>
  <c r="B52" i="12"/>
  <c r="E51" i="12"/>
  <c r="C51" i="12"/>
  <c r="B51" i="12"/>
  <c r="AE49" i="12"/>
  <c r="AD49" i="12"/>
  <c r="AC49" i="12"/>
  <c r="AB49" i="12"/>
  <c r="AA49" i="12"/>
  <c r="Z49" i="12"/>
  <c r="Y49" i="12"/>
  <c r="X49" i="12"/>
  <c r="W49" i="12"/>
  <c r="V49" i="12"/>
  <c r="U49" i="12"/>
  <c r="T49" i="12"/>
  <c r="S49" i="12"/>
  <c r="R49" i="12"/>
  <c r="Q49" i="12"/>
  <c r="P49" i="12"/>
  <c r="O49" i="12"/>
  <c r="N49" i="12"/>
  <c r="M49" i="12"/>
  <c r="L49" i="12"/>
  <c r="K49" i="12"/>
  <c r="J49" i="12"/>
  <c r="I49" i="12"/>
  <c r="H49" i="12"/>
  <c r="B49" i="12"/>
  <c r="E46" i="12"/>
  <c r="E43" i="12" s="1"/>
  <c r="C46" i="12"/>
  <c r="B46" i="12"/>
  <c r="AE43" i="12"/>
  <c r="AD43" i="12"/>
  <c r="AC43" i="12"/>
  <c r="AB43" i="12"/>
  <c r="AA43" i="12"/>
  <c r="Z43" i="12"/>
  <c r="Y43" i="12"/>
  <c r="X43" i="12"/>
  <c r="W43" i="12"/>
  <c r="V43" i="12"/>
  <c r="U43" i="12"/>
  <c r="T43" i="12"/>
  <c r="S43" i="12"/>
  <c r="R43" i="12"/>
  <c r="Q43" i="12"/>
  <c r="P43" i="12"/>
  <c r="O43" i="12"/>
  <c r="N43" i="12"/>
  <c r="M43" i="12"/>
  <c r="L43" i="12"/>
  <c r="K43" i="12"/>
  <c r="J43" i="12"/>
  <c r="I43" i="12"/>
  <c r="H43" i="12"/>
  <c r="C43" i="12"/>
  <c r="B43" i="12"/>
  <c r="E40" i="12"/>
  <c r="D40" i="12" s="1"/>
  <c r="D37" i="12" s="1"/>
  <c r="C40" i="12"/>
  <c r="B40" i="12"/>
  <c r="AG40" i="12" s="1"/>
  <c r="AH39" i="12"/>
  <c r="AG39" i="12"/>
  <c r="Q39" i="12"/>
  <c r="AH38" i="12"/>
  <c r="AG38" i="12"/>
  <c r="AE37" i="12"/>
  <c r="AD37" i="12"/>
  <c r="AC37" i="12"/>
  <c r="AB37" i="12"/>
  <c r="AA37" i="12"/>
  <c r="Z37" i="12"/>
  <c r="Y37" i="12"/>
  <c r="X37" i="12"/>
  <c r="W37" i="12"/>
  <c r="V37" i="12"/>
  <c r="U37" i="12"/>
  <c r="T37" i="12"/>
  <c r="S37" i="12"/>
  <c r="R37" i="12"/>
  <c r="Q37" i="12"/>
  <c r="P37" i="12"/>
  <c r="O37" i="12"/>
  <c r="N37" i="12"/>
  <c r="M37" i="12"/>
  <c r="L37" i="12"/>
  <c r="K37" i="12"/>
  <c r="J37" i="12"/>
  <c r="I37" i="12"/>
  <c r="H37" i="12"/>
  <c r="C37" i="12"/>
  <c r="B37" i="12"/>
  <c r="AG37" i="12" s="1"/>
  <c r="E34" i="12"/>
  <c r="G34" i="12" s="1"/>
  <c r="C34" i="12"/>
  <c r="B34" i="12"/>
  <c r="E33" i="12"/>
  <c r="D33" i="12" s="1"/>
  <c r="C33" i="12"/>
  <c r="B33" i="12"/>
  <c r="E32" i="12"/>
  <c r="D32" i="12" s="1"/>
  <c r="D26" i="12" s="1"/>
  <c r="AE31" i="12"/>
  <c r="AD31" i="12"/>
  <c r="AC31" i="12"/>
  <c r="AB31" i="12"/>
  <c r="AA31" i="12"/>
  <c r="Z31" i="12"/>
  <c r="Y31" i="12"/>
  <c r="X31" i="12"/>
  <c r="W31" i="12"/>
  <c r="V31" i="12"/>
  <c r="U31" i="12"/>
  <c r="T31" i="12"/>
  <c r="S31" i="12"/>
  <c r="R31" i="12"/>
  <c r="Q31" i="12"/>
  <c r="P31" i="12"/>
  <c r="O31" i="12"/>
  <c r="N31" i="12"/>
  <c r="M31" i="12"/>
  <c r="L31" i="12"/>
  <c r="K31" i="12"/>
  <c r="J31" i="12"/>
  <c r="I31" i="12"/>
  <c r="AE29" i="12"/>
  <c r="AD29" i="12"/>
  <c r="AC29" i="12"/>
  <c r="AB29" i="12"/>
  <c r="AA29" i="12"/>
  <c r="Z29" i="12"/>
  <c r="Y29" i="12"/>
  <c r="X29" i="12"/>
  <c r="W29" i="12"/>
  <c r="V29" i="12"/>
  <c r="U29" i="12"/>
  <c r="T29" i="12"/>
  <c r="S29" i="12"/>
  <c r="R29" i="12"/>
  <c r="Q29" i="12"/>
  <c r="P29" i="12"/>
  <c r="O29" i="12"/>
  <c r="N29" i="12"/>
  <c r="M29" i="12"/>
  <c r="L29" i="12"/>
  <c r="E29" i="12"/>
  <c r="D29" i="12"/>
  <c r="B29" i="12"/>
  <c r="AE28" i="12"/>
  <c r="AD28" i="12"/>
  <c r="AC28" i="12"/>
  <c r="AB28" i="12"/>
  <c r="AA28" i="12"/>
  <c r="Z28" i="12"/>
  <c r="Y28" i="12"/>
  <c r="X28" i="12"/>
  <c r="W28" i="12"/>
  <c r="V28" i="12"/>
  <c r="U28" i="12"/>
  <c r="T28" i="12"/>
  <c r="S28" i="12"/>
  <c r="R28" i="12"/>
  <c r="Q28" i="12"/>
  <c r="P28" i="12"/>
  <c r="O28" i="12"/>
  <c r="N28" i="12"/>
  <c r="M28" i="12"/>
  <c r="L28" i="12"/>
  <c r="AE27" i="12"/>
  <c r="AD27" i="12"/>
  <c r="AC27" i="12"/>
  <c r="AB27" i="12"/>
  <c r="AA27" i="12"/>
  <c r="Z27" i="12"/>
  <c r="Y27" i="12"/>
  <c r="X27" i="12"/>
  <c r="W27" i="12"/>
  <c r="V27" i="12"/>
  <c r="U27" i="12"/>
  <c r="T27" i="12"/>
  <c r="S27" i="12"/>
  <c r="R27" i="12"/>
  <c r="Q27" i="12"/>
  <c r="P27" i="12"/>
  <c r="O27" i="12"/>
  <c r="N27" i="12"/>
  <c r="M27" i="12"/>
  <c r="L27" i="12"/>
  <c r="AE26" i="12"/>
  <c r="AD26" i="12"/>
  <c r="AC26" i="12"/>
  <c r="AB26" i="12"/>
  <c r="AA26" i="12"/>
  <c r="Z26" i="12"/>
  <c r="Y26" i="12"/>
  <c r="X26" i="12"/>
  <c r="W26" i="12"/>
  <c r="V26" i="12"/>
  <c r="U26" i="12"/>
  <c r="T26" i="12"/>
  <c r="S26" i="12"/>
  <c r="S25" i="12" s="1"/>
  <c r="R26" i="12"/>
  <c r="Q26" i="12"/>
  <c r="P26" i="12"/>
  <c r="O26" i="12"/>
  <c r="N26" i="12"/>
  <c r="M26" i="12"/>
  <c r="L26" i="12"/>
  <c r="K26" i="12"/>
  <c r="J26" i="12"/>
  <c r="I26" i="12"/>
  <c r="AD25" i="12"/>
  <c r="AC25" i="12"/>
  <c r="AB25" i="12"/>
  <c r="Z25" i="12"/>
  <c r="Y25" i="12"/>
  <c r="X25" i="12"/>
  <c r="V25" i="12"/>
  <c r="U25" i="12"/>
  <c r="T25" i="12"/>
  <c r="R25" i="12"/>
  <c r="Q25" i="12"/>
  <c r="P25" i="12"/>
  <c r="N25" i="12"/>
  <c r="M25" i="12"/>
  <c r="L25" i="12"/>
  <c r="AB21" i="12"/>
  <c r="AD21" i="12" s="1"/>
  <c r="X20" i="12"/>
  <c r="Z20" i="12" s="1"/>
  <c r="AB20" i="12" s="1"/>
  <c r="AD20" i="12" s="1"/>
  <c r="E16" i="12"/>
  <c r="G16" i="12" s="1"/>
  <c r="D16" i="12"/>
  <c r="C16" i="12"/>
  <c r="B16" i="12"/>
  <c r="E15" i="12"/>
  <c r="G15" i="12" s="1"/>
  <c r="D15" i="12"/>
  <c r="C15" i="12"/>
  <c r="B15" i="12"/>
  <c r="F15" i="12" s="1"/>
  <c r="E14" i="12"/>
  <c r="G14" i="12" s="1"/>
  <c r="D14" i="12"/>
  <c r="C14" i="12"/>
  <c r="B14" i="12"/>
  <c r="E13" i="12"/>
  <c r="G13" i="12" s="1"/>
  <c r="D13" i="12"/>
  <c r="C13" i="12"/>
  <c r="B13" i="12"/>
  <c r="B12" i="12" s="1"/>
  <c r="AE12" i="12"/>
  <c r="AD12" i="12"/>
  <c r="AC12" i="12"/>
  <c r="AB12" i="12"/>
  <c r="AA12" i="12"/>
  <c r="Z12" i="12"/>
  <c r="Y12" i="12"/>
  <c r="X12" i="12"/>
  <c r="W12" i="12"/>
  <c r="V12" i="12"/>
  <c r="U12" i="12"/>
  <c r="T12" i="12"/>
  <c r="S12" i="12"/>
  <c r="R12" i="12"/>
  <c r="Q12" i="12"/>
  <c r="P12" i="12"/>
  <c r="O12" i="12"/>
  <c r="N12" i="12"/>
  <c r="M12" i="12"/>
  <c r="L12" i="12"/>
  <c r="K12" i="12"/>
  <c r="J12" i="12"/>
  <c r="I12" i="12"/>
  <c r="H12" i="12"/>
  <c r="E12" i="12"/>
  <c r="G12" i="12" s="1"/>
  <c r="D12" i="12"/>
  <c r="C12" i="12"/>
  <c r="F108" i="12" l="1"/>
  <c r="G102" i="12"/>
  <c r="AE25" i="12"/>
  <c r="D34" i="12"/>
  <c r="D67" i="12"/>
  <c r="E67" i="12"/>
  <c r="G67" i="12" s="1"/>
  <c r="E64" i="12"/>
  <c r="E61" i="12" s="1"/>
  <c r="F43" i="12"/>
  <c r="G43" i="12"/>
  <c r="D31" i="12"/>
  <c r="S141" i="12"/>
  <c r="S151" i="12"/>
  <c r="AC142" i="12"/>
  <c r="AC152" i="12"/>
  <c r="B64" i="12"/>
  <c r="B67" i="12"/>
  <c r="D94" i="12"/>
  <c r="D91" i="12" s="1"/>
  <c r="G94" i="12"/>
  <c r="E91" i="12"/>
  <c r="F94" i="12"/>
  <c r="L141" i="12"/>
  <c r="T151" i="12"/>
  <c r="X141" i="12"/>
  <c r="X151" i="12"/>
  <c r="AB141" i="12"/>
  <c r="AB151" i="12"/>
  <c r="B142" i="12"/>
  <c r="B152" i="12"/>
  <c r="F29" i="12"/>
  <c r="N142" i="12"/>
  <c r="N152" i="12"/>
  <c r="R142" i="12"/>
  <c r="R152" i="12"/>
  <c r="V142" i="12"/>
  <c r="V152" i="12"/>
  <c r="Z142" i="12"/>
  <c r="Z152" i="12"/>
  <c r="AD142" i="12"/>
  <c r="AD152" i="12"/>
  <c r="G33" i="12"/>
  <c r="F40" i="12"/>
  <c r="G61" i="12"/>
  <c r="K79" i="12"/>
  <c r="O79" i="12"/>
  <c r="S79" i="12"/>
  <c r="W79" i="12"/>
  <c r="AA79" i="12"/>
  <c r="AE79" i="12"/>
  <c r="G81" i="12"/>
  <c r="F81" i="12"/>
  <c r="D100" i="12"/>
  <c r="D99" i="12" s="1"/>
  <c r="G100" i="12"/>
  <c r="E99" i="12"/>
  <c r="F100" i="12"/>
  <c r="D103" i="12"/>
  <c r="G103" i="12"/>
  <c r="F103" i="12"/>
  <c r="S106" i="12"/>
  <c r="U106" i="12"/>
  <c r="N124" i="12"/>
  <c r="J124" i="12" s="1"/>
  <c r="F13" i="12"/>
  <c r="W141" i="12"/>
  <c r="W151" i="12"/>
  <c r="AE141" i="12"/>
  <c r="AE151" i="12"/>
  <c r="F33" i="12"/>
  <c r="AH40" i="12"/>
  <c r="X122" i="12"/>
  <c r="AD121" i="12"/>
  <c r="Q124" i="12"/>
  <c r="M124" i="12" s="1"/>
  <c r="O124" i="12"/>
  <c r="F12" i="12"/>
  <c r="F14" i="12"/>
  <c r="F16" i="12"/>
  <c r="O25" i="12"/>
  <c r="W25" i="12"/>
  <c r="AA25" i="12"/>
  <c r="E26" i="12"/>
  <c r="Q151" i="12"/>
  <c r="U151" i="12"/>
  <c r="U141" i="12"/>
  <c r="Y151" i="12"/>
  <c r="Y141" i="12"/>
  <c r="AC151" i="12"/>
  <c r="AC141" i="12"/>
  <c r="AA152" i="12"/>
  <c r="AA142" i="12"/>
  <c r="AE152" i="12"/>
  <c r="AE142" i="12"/>
  <c r="E31" i="12"/>
  <c r="F34" i="12"/>
  <c r="G40" i="12"/>
  <c r="C49" i="12"/>
  <c r="D51" i="12"/>
  <c r="D49" i="12" s="1"/>
  <c r="G51" i="12"/>
  <c r="E49" i="12"/>
  <c r="F51" i="12"/>
  <c r="G62" i="12"/>
  <c r="G63" i="12"/>
  <c r="F63" i="12"/>
  <c r="C79" i="12"/>
  <c r="D88" i="12"/>
  <c r="G88" i="12"/>
  <c r="E85" i="12"/>
  <c r="E82" i="12"/>
  <c r="F88" i="12"/>
  <c r="O141" i="12"/>
  <c r="O151" i="12"/>
  <c r="AA141" i="12"/>
  <c r="AA151" i="12"/>
  <c r="D46" i="12"/>
  <c r="D43" i="12" s="1"/>
  <c r="G46" i="12"/>
  <c r="F46" i="12"/>
  <c r="G83" i="12"/>
  <c r="F83" i="12"/>
  <c r="Z122" i="12"/>
  <c r="V123" i="12"/>
  <c r="R123" i="12" s="1"/>
  <c r="N123" i="12" s="1"/>
  <c r="AB121" i="12"/>
  <c r="N141" i="12"/>
  <c r="R141" i="12"/>
  <c r="R151" i="12"/>
  <c r="V141" i="12"/>
  <c r="V151" i="12"/>
  <c r="Z141" i="12"/>
  <c r="Z151" i="12"/>
  <c r="AD141" i="12"/>
  <c r="AD151" i="12"/>
  <c r="L142" i="12"/>
  <c r="L152" i="12"/>
  <c r="P142" i="12"/>
  <c r="P152" i="12"/>
  <c r="T142" i="12"/>
  <c r="T152" i="12"/>
  <c r="X142" i="12"/>
  <c r="X152" i="12"/>
  <c r="AB142" i="12"/>
  <c r="AB152" i="12"/>
  <c r="E37" i="12"/>
  <c r="F70" i="12"/>
  <c r="D131" i="12"/>
  <c r="E127" i="12"/>
  <c r="D52" i="12"/>
  <c r="G70" i="12"/>
  <c r="G76" i="12"/>
  <c r="D77" i="12"/>
  <c r="V106" i="12"/>
  <c r="AB105" i="12"/>
  <c r="U122" i="12"/>
  <c r="S122" i="12"/>
  <c r="S123" i="12"/>
  <c r="O123" i="12" s="1"/>
  <c r="K123" i="12" s="1"/>
  <c r="W121" i="12"/>
  <c r="Q123" i="12"/>
  <c r="AE121" i="12"/>
  <c r="Y125" i="12"/>
  <c r="U125" i="12" s="1"/>
  <c r="Q125" i="12" s="1"/>
  <c r="C127" i="12"/>
  <c r="F67" i="12"/>
  <c r="X106" i="12"/>
  <c r="T124" i="12"/>
  <c r="P124" i="12" s="1"/>
  <c r="L124" i="12" s="1"/>
  <c r="L151" i="12" s="1"/>
  <c r="W125" i="12"/>
  <c r="G133" i="12"/>
  <c r="F133" i="12"/>
  <c r="B113" i="12"/>
  <c r="F113" i="12" s="1"/>
  <c r="G108" i="12"/>
  <c r="G116" i="12"/>
  <c r="D130" i="12"/>
  <c r="D127" i="12" s="1"/>
  <c r="D136" i="12"/>
  <c r="D133" i="12" s="1"/>
  <c r="I11" i="18"/>
  <c r="J11" i="18"/>
  <c r="K11" i="18"/>
  <c r="L11" i="18"/>
  <c r="M11" i="18"/>
  <c r="N11" i="18"/>
  <c r="O11" i="18"/>
  <c r="P11" i="18"/>
  <c r="Q11" i="18"/>
  <c r="R11" i="18"/>
  <c r="S11" i="18"/>
  <c r="T11" i="18"/>
  <c r="U11" i="18"/>
  <c r="V11" i="18"/>
  <c r="W11" i="18"/>
  <c r="X11" i="18"/>
  <c r="Y11" i="18"/>
  <c r="Z11" i="18"/>
  <c r="AA11" i="18"/>
  <c r="AB11" i="18"/>
  <c r="AC11" i="18"/>
  <c r="AD11" i="18"/>
  <c r="AE11" i="18"/>
  <c r="H11" i="18"/>
  <c r="I12" i="18"/>
  <c r="J12" i="18"/>
  <c r="K12" i="18"/>
  <c r="L12" i="18"/>
  <c r="M12" i="18"/>
  <c r="N12" i="18"/>
  <c r="O12" i="18"/>
  <c r="P12" i="18"/>
  <c r="Q12" i="18"/>
  <c r="R12" i="18"/>
  <c r="S12" i="18"/>
  <c r="T12" i="18"/>
  <c r="U12" i="18"/>
  <c r="V12" i="18"/>
  <c r="W12" i="18"/>
  <c r="X12" i="18"/>
  <c r="Y12" i="18"/>
  <c r="Z12" i="18"/>
  <c r="AA12" i="18"/>
  <c r="AB12" i="18"/>
  <c r="AC12" i="18"/>
  <c r="AD12" i="18"/>
  <c r="AE12" i="18"/>
  <c r="G12" i="18"/>
  <c r="F12" i="18"/>
  <c r="C12" i="18"/>
  <c r="D12" i="18"/>
  <c r="E12" i="18"/>
  <c r="H12" i="18"/>
  <c r="B12" i="18"/>
  <c r="B11" i="18"/>
  <c r="I124" i="12" l="1"/>
  <c r="Z121" i="12"/>
  <c r="V122" i="12"/>
  <c r="F82" i="12"/>
  <c r="G82" i="12"/>
  <c r="F91" i="12"/>
  <c r="G91" i="12"/>
  <c r="Q142" i="12"/>
  <c r="Y121" i="12"/>
  <c r="R106" i="12"/>
  <c r="V105" i="12"/>
  <c r="F85" i="12"/>
  <c r="G85" i="12"/>
  <c r="E79" i="12"/>
  <c r="M141" i="12"/>
  <c r="Y152" i="12"/>
  <c r="Q106" i="12"/>
  <c r="M106" i="12" s="1"/>
  <c r="U105" i="12"/>
  <c r="T141" i="12"/>
  <c r="P123" i="12"/>
  <c r="L123" i="12" s="1"/>
  <c r="H123" i="12" s="1"/>
  <c r="X105" i="12"/>
  <c r="T106" i="12"/>
  <c r="F64" i="12"/>
  <c r="B61" i="12"/>
  <c r="F61" i="12" s="1"/>
  <c r="S125" i="12"/>
  <c r="M123" i="12"/>
  <c r="I123" i="12" s="1"/>
  <c r="E123" i="12" s="1"/>
  <c r="D123" i="12" s="1"/>
  <c r="S121" i="12"/>
  <c r="O122" i="12"/>
  <c r="F37" i="12"/>
  <c r="G37" i="12"/>
  <c r="U152" i="12"/>
  <c r="F49" i="12"/>
  <c r="G49" i="12"/>
  <c r="W142" i="12"/>
  <c r="M151" i="12"/>
  <c r="T122" i="12"/>
  <c r="X121" i="12"/>
  <c r="Y142" i="12"/>
  <c r="O106" i="12"/>
  <c r="S105" i="12"/>
  <c r="P151" i="12"/>
  <c r="AH37" i="12"/>
  <c r="G123" i="12"/>
  <c r="H124" i="12"/>
  <c r="C124" i="12" s="1"/>
  <c r="Q122" i="12"/>
  <c r="U121" i="12"/>
  <c r="G127" i="12"/>
  <c r="F127" i="12"/>
  <c r="N151" i="12"/>
  <c r="J123" i="12"/>
  <c r="U142" i="12"/>
  <c r="D85" i="12"/>
  <c r="D82" i="12"/>
  <c r="D79" i="12" s="1"/>
  <c r="W152" i="12"/>
  <c r="Q141" i="12"/>
  <c r="K124" i="12"/>
  <c r="G124" i="12" s="1"/>
  <c r="F99" i="12"/>
  <c r="G99" i="12"/>
  <c r="P141" i="12"/>
  <c r="Q152" i="12"/>
  <c r="C290" i="14"/>
  <c r="B290" i="14"/>
  <c r="C363" i="14"/>
  <c r="B363" i="14"/>
  <c r="C351" i="14"/>
  <c r="B351" i="14"/>
  <c r="C291" i="14"/>
  <c r="B141" i="14"/>
  <c r="C141" i="14"/>
  <c r="C314" i="14"/>
  <c r="C315" i="14"/>
  <c r="C316" i="14"/>
  <c r="C313" i="14"/>
  <c r="C312" i="14" s="1"/>
  <c r="B313" i="14"/>
  <c r="C344" i="14"/>
  <c r="C339" i="14"/>
  <c r="Z339" i="14"/>
  <c r="C332" i="14"/>
  <c r="C333" i="14"/>
  <c r="C331" i="14"/>
  <c r="AD331" i="14"/>
  <c r="AD332" i="14"/>
  <c r="AB333" i="14"/>
  <c r="U321" i="14"/>
  <c r="C303" i="14"/>
  <c r="G303" i="14" s="1"/>
  <c r="C297" i="14"/>
  <c r="AD297" i="14"/>
  <c r="C279" i="14"/>
  <c r="F275" i="14"/>
  <c r="V121" i="12" l="1"/>
  <c r="R122" i="12"/>
  <c r="B124" i="12"/>
  <c r="T105" i="12"/>
  <c r="P106" i="12"/>
  <c r="E124" i="12"/>
  <c r="N106" i="12"/>
  <c r="R105" i="12"/>
  <c r="F123" i="12"/>
  <c r="B123" i="12"/>
  <c r="P122" i="12"/>
  <c r="T121" i="12"/>
  <c r="O125" i="12"/>
  <c r="S142" i="12"/>
  <c r="S152" i="12"/>
  <c r="I106" i="12"/>
  <c r="M105" i="12"/>
  <c r="M125" i="12"/>
  <c r="M122" i="12"/>
  <c r="Q121" i="12"/>
  <c r="K106" i="12"/>
  <c r="O105" i="12"/>
  <c r="O121" i="12"/>
  <c r="K122" i="12"/>
  <c r="C123" i="12"/>
  <c r="G79" i="12"/>
  <c r="F79" i="12"/>
  <c r="AB276" i="14"/>
  <c r="AD277" i="14"/>
  <c r="C277" i="14"/>
  <c r="C278" i="14"/>
  <c r="C276" i="14"/>
  <c r="AD278" i="14"/>
  <c r="AE264" i="14"/>
  <c r="C264" i="14"/>
  <c r="C258" i="14"/>
  <c r="C240" i="14"/>
  <c r="C196" i="14"/>
  <c r="C197" i="14"/>
  <c r="C195" i="14"/>
  <c r="C190" i="14"/>
  <c r="C191" i="14"/>
  <c r="C149" i="14"/>
  <c r="R152" i="14"/>
  <c r="S152" i="14"/>
  <c r="Z149" i="14"/>
  <c r="AD149" i="14"/>
  <c r="AD150" i="14"/>
  <c r="C150" i="14"/>
  <c r="AE137" i="14"/>
  <c r="C137" i="14"/>
  <c r="AD137" i="14"/>
  <c r="C131" i="14"/>
  <c r="X122" i="14"/>
  <c r="C122" i="14"/>
  <c r="C117" i="14"/>
  <c r="AB111" i="14"/>
  <c r="C111" i="14"/>
  <c r="C106" i="14"/>
  <c r="AD106" i="14"/>
  <c r="AD98" i="14"/>
  <c r="C98" i="14"/>
  <c r="C76" i="14"/>
  <c r="C70" i="14"/>
  <c r="C46" i="14"/>
  <c r="C40" i="14"/>
  <c r="E40" i="14"/>
  <c r="G122" i="12" l="1"/>
  <c r="I122" i="12"/>
  <c r="M121" i="12"/>
  <c r="L122" i="12"/>
  <c r="P121" i="12"/>
  <c r="J106" i="12"/>
  <c r="N105" i="12"/>
  <c r="E106" i="12"/>
  <c r="I105" i="12"/>
  <c r="I125" i="12"/>
  <c r="M142" i="12"/>
  <c r="M152" i="12"/>
  <c r="D124" i="12"/>
  <c r="F124" i="12"/>
  <c r="R121" i="12"/>
  <c r="N122" i="12"/>
  <c r="K105" i="12"/>
  <c r="G106" i="12"/>
  <c r="K125" i="12"/>
  <c r="G125" i="12" s="1"/>
  <c r="O152" i="12"/>
  <c r="O142" i="12"/>
  <c r="P105" i="12"/>
  <c r="L106" i="12"/>
  <c r="D40" i="14"/>
  <c r="E14" i="15"/>
  <c r="B14" i="15"/>
  <c r="F11" i="15"/>
  <c r="D14" i="15"/>
  <c r="C14" i="15"/>
  <c r="L105" i="12" l="1"/>
  <c r="H106" i="12"/>
  <c r="E125" i="12"/>
  <c r="F106" i="12"/>
  <c r="J105" i="12"/>
  <c r="E122" i="12"/>
  <c r="I121" i="12"/>
  <c r="N121" i="12"/>
  <c r="J122" i="12"/>
  <c r="D106" i="12"/>
  <c r="D105" i="12" s="1"/>
  <c r="E105" i="12"/>
  <c r="H122" i="12"/>
  <c r="L121" i="12"/>
  <c r="K121" i="12"/>
  <c r="G109" i="11"/>
  <c r="G104" i="11"/>
  <c r="F109" i="11"/>
  <c r="E93" i="11"/>
  <c r="D122" i="12" l="1"/>
  <c r="E121" i="12"/>
  <c r="D125" i="12"/>
  <c r="E142" i="12"/>
  <c r="E152" i="12"/>
  <c r="J121" i="12"/>
  <c r="F122" i="12"/>
  <c r="B122" i="12"/>
  <c r="B121" i="12" s="1"/>
  <c r="H105" i="12"/>
  <c r="C106" i="12"/>
  <c r="C105" i="12" s="1"/>
  <c r="C122" i="12"/>
  <c r="C121" i="12" s="1"/>
  <c r="H121" i="12"/>
  <c r="B106" i="12"/>
  <c r="B105" i="12" s="1"/>
  <c r="C90" i="11"/>
  <c r="F142" i="12" l="1"/>
  <c r="D142" i="12"/>
  <c r="D152" i="12"/>
  <c r="G121" i="12"/>
  <c r="F121" i="12"/>
  <c r="F152" i="12"/>
  <c r="D121" i="12"/>
  <c r="C93" i="11"/>
  <c r="C61" i="11"/>
  <c r="C73" i="11"/>
  <c r="B73" i="11"/>
  <c r="B70" i="11"/>
  <c r="C67" i="11"/>
  <c r="E67" i="11"/>
  <c r="F44" i="11"/>
  <c r="G47" i="11"/>
  <c r="C52" i="2"/>
  <c r="C49" i="2"/>
  <c r="C48" i="2"/>
  <c r="C34" i="2"/>
  <c r="C31" i="2"/>
  <c r="C28" i="2"/>
  <c r="C27" i="2"/>
  <c r="C24" i="2"/>
  <c r="C23" i="2"/>
  <c r="C16" i="2"/>
  <c r="C15" i="2"/>
  <c r="AE28" i="6" l="1"/>
  <c r="AE116" i="6"/>
  <c r="AE74" i="6"/>
  <c r="E38" i="6"/>
  <c r="B38" i="6"/>
  <c r="B37" i="6"/>
  <c r="D38" i="6"/>
  <c r="AE37" i="6"/>
  <c r="AE18" i="6"/>
  <c r="B10" i="6" l="1"/>
  <c r="B9" i="6"/>
  <c r="B12" i="6"/>
  <c r="AE44" i="20" l="1"/>
  <c r="B54" i="20"/>
  <c r="B46" i="20"/>
  <c r="D46" i="20"/>
  <c r="E46" i="20" s="1"/>
  <c r="C46" i="20"/>
  <c r="D51" i="20"/>
  <c r="E57" i="20"/>
  <c r="E58" i="20"/>
  <c r="C26" i="20"/>
  <c r="C24" i="20"/>
  <c r="C25" i="20"/>
  <c r="E37" i="20"/>
  <c r="D37" i="20" s="1"/>
  <c r="E36" i="20"/>
  <c r="D36" i="20" s="1"/>
  <c r="D35" i="20" s="1"/>
  <c r="AE29" i="20"/>
  <c r="AD29" i="20"/>
  <c r="D58" i="20"/>
  <c r="D57" i="20"/>
  <c r="E59" i="20"/>
  <c r="E56" i="20"/>
  <c r="C58" i="20"/>
  <c r="C57" i="20"/>
  <c r="C56" i="20"/>
  <c r="E53" i="20"/>
  <c r="C53" i="20"/>
  <c r="C44" i="20"/>
  <c r="D44" i="20"/>
  <c r="D45" i="20"/>
  <c r="C47" i="20"/>
  <c r="C45" i="20"/>
  <c r="Z15" i="22" l="1"/>
  <c r="F83" i="22"/>
  <c r="F78" i="22"/>
  <c r="D73" i="22"/>
  <c r="B73" i="22"/>
  <c r="C73" i="22"/>
  <c r="C55" i="22"/>
  <c r="C61" i="5" l="1"/>
  <c r="C51" i="5"/>
  <c r="C40" i="5"/>
  <c r="E37" i="5"/>
  <c r="C37" i="5"/>
  <c r="D31" i="5"/>
  <c r="C31" i="5"/>
  <c r="D25" i="5"/>
  <c r="C25" i="5"/>
  <c r="E11" i="5"/>
  <c r="C11" i="5"/>
  <c r="G11" i="23" l="1"/>
  <c r="F11" i="23"/>
  <c r="G8" i="23"/>
  <c r="F8" i="23"/>
  <c r="C11" i="23"/>
  <c r="D11" i="23"/>
  <c r="E11" i="23"/>
  <c r="H11" i="23"/>
  <c r="I11" i="23"/>
  <c r="J11" i="23"/>
  <c r="K11" i="23"/>
  <c r="L11" i="23"/>
  <c r="M11" i="23"/>
  <c r="N11" i="23"/>
  <c r="N8" i="23" s="1"/>
  <c r="O11" i="23"/>
  <c r="O8" i="23" s="1"/>
  <c r="P11" i="23"/>
  <c r="Q11" i="23"/>
  <c r="R11" i="23"/>
  <c r="R8" i="23" s="1"/>
  <c r="S11" i="23"/>
  <c r="S8" i="23" s="1"/>
  <c r="B11" i="23"/>
  <c r="AC11" i="23"/>
  <c r="L8" i="23"/>
  <c r="M8" i="23"/>
  <c r="P8" i="23"/>
  <c r="Q8" i="23"/>
  <c r="T8" i="23"/>
  <c r="U8" i="23"/>
  <c r="V8" i="23"/>
  <c r="W8" i="23"/>
  <c r="X8" i="23"/>
  <c r="Y8" i="23"/>
  <c r="Z8" i="23"/>
  <c r="AA8" i="23"/>
  <c r="AB8" i="23"/>
  <c r="AC8" i="23"/>
  <c r="AD8" i="23"/>
  <c r="AE8" i="23"/>
  <c r="K8" i="23"/>
  <c r="C8" i="23"/>
  <c r="D8" i="23"/>
  <c r="E8" i="23"/>
  <c r="H8" i="23"/>
  <c r="I8" i="23"/>
  <c r="J8" i="23"/>
  <c r="B8" i="23"/>
  <c r="B115" i="23"/>
  <c r="B116" i="23"/>
  <c r="B114" i="23"/>
  <c r="F114" i="23" s="1"/>
  <c r="G114" i="23"/>
  <c r="G116" i="23"/>
  <c r="F116" i="23"/>
  <c r="G115" i="23"/>
  <c r="F115" i="23"/>
  <c r="G113" i="23"/>
  <c r="F113" i="23"/>
  <c r="G112" i="23"/>
  <c r="F112" i="23"/>
  <c r="G111" i="23"/>
  <c r="G110" i="23"/>
  <c r="F110" i="23"/>
  <c r="G109" i="23"/>
  <c r="F109" i="23"/>
  <c r="G108" i="23"/>
  <c r="F108" i="23"/>
  <c r="G107" i="23"/>
  <c r="F107" i="23"/>
  <c r="G106" i="23"/>
  <c r="F106" i="23"/>
  <c r="G105" i="23"/>
  <c r="F105" i="23"/>
  <c r="G104" i="23"/>
  <c r="F104" i="23"/>
  <c r="G103" i="23"/>
  <c r="F103" i="23"/>
  <c r="G102" i="23"/>
  <c r="F102" i="23"/>
  <c r="G101" i="23"/>
  <c r="F101" i="23"/>
  <c r="G100" i="23"/>
  <c r="F100" i="23"/>
  <c r="G99" i="23"/>
  <c r="F99" i="23"/>
  <c r="G97" i="23"/>
  <c r="F97" i="23"/>
  <c r="G96" i="23"/>
  <c r="F96" i="23"/>
  <c r="G95" i="23"/>
  <c r="F95" i="23"/>
  <c r="G94" i="23"/>
  <c r="F94" i="23"/>
  <c r="G93" i="23"/>
  <c r="F93" i="23"/>
  <c r="G92" i="23"/>
  <c r="F92" i="23"/>
  <c r="Q113" i="23"/>
  <c r="R113" i="23"/>
  <c r="S113" i="23"/>
  <c r="T113" i="23"/>
  <c r="T111" i="23" s="1"/>
  <c r="U113" i="23"/>
  <c r="U111" i="23" s="1"/>
  <c r="V113" i="23"/>
  <c r="W113" i="23"/>
  <c r="X113" i="23"/>
  <c r="X111" i="23" s="1"/>
  <c r="Y113" i="23"/>
  <c r="Z113" i="23"/>
  <c r="AA113" i="23"/>
  <c r="AB113" i="23"/>
  <c r="AB111" i="23" s="1"/>
  <c r="AC113" i="23"/>
  <c r="AC111" i="23" s="1"/>
  <c r="AD113" i="23"/>
  <c r="AE113" i="23"/>
  <c r="D113" i="23"/>
  <c r="E113" i="23"/>
  <c r="H113" i="23"/>
  <c r="I113" i="23"/>
  <c r="J113" i="23"/>
  <c r="K113" i="23"/>
  <c r="K111" i="23" s="1"/>
  <c r="L113" i="23"/>
  <c r="M113" i="23"/>
  <c r="N113" i="23"/>
  <c r="O113" i="23"/>
  <c r="O111" i="23" s="1"/>
  <c r="P113" i="23"/>
  <c r="C113" i="23"/>
  <c r="B113" i="23"/>
  <c r="B112" i="23"/>
  <c r="D111" i="23"/>
  <c r="G43" i="23"/>
  <c r="F43" i="23"/>
  <c r="G48" i="23"/>
  <c r="F48" i="23"/>
  <c r="G47" i="23"/>
  <c r="F47" i="23"/>
  <c r="G46" i="23"/>
  <c r="F46" i="23"/>
  <c r="G45" i="23"/>
  <c r="F45" i="23"/>
  <c r="G44" i="23"/>
  <c r="F44" i="23"/>
  <c r="F85" i="23"/>
  <c r="E85" i="23"/>
  <c r="G90" i="23"/>
  <c r="F90" i="23"/>
  <c r="G89" i="23"/>
  <c r="F89" i="23"/>
  <c r="G88" i="23"/>
  <c r="F88" i="23"/>
  <c r="G87" i="23"/>
  <c r="F87" i="23"/>
  <c r="G86" i="23"/>
  <c r="F86" i="23"/>
  <c r="G83" i="23"/>
  <c r="F83" i="23"/>
  <c r="G82" i="23"/>
  <c r="F82" i="23"/>
  <c r="G81" i="23"/>
  <c r="F81" i="23"/>
  <c r="G80" i="23"/>
  <c r="F80" i="23"/>
  <c r="G79" i="23"/>
  <c r="F79" i="23"/>
  <c r="G76" i="23"/>
  <c r="F76" i="23"/>
  <c r="G75" i="23"/>
  <c r="F75" i="23"/>
  <c r="G74" i="23"/>
  <c r="F74" i="23"/>
  <c r="G73" i="23"/>
  <c r="F73" i="23"/>
  <c r="G72" i="23"/>
  <c r="F72" i="23"/>
  <c r="G69" i="23"/>
  <c r="F69" i="23"/>
  <c r="G68" i="23"/>
  <c r="F68" i="23"/>
  <c r="G67" i="23"/>
  <c r="F67" i="23"/>
  <c r="G66" i="23"/>
  <c r="F66" i="23"/>
  <c r="G65" i="23"/>
  <c r="F65" i="23"/>
  <c r="G62" i="23"/>
  <c r="F62" i="23"/>
  <c r="G61" i="23"/>
  <c r="F61" i="23"/>
  <c r="G60" i="23"/>
  <c r="F60" i="23"/>
  <c r="G59" i="23"/>
  <c r="F59" i="23"/>
  <c r="G58" i="23"/>
  <c r="F58" i="23"/>
  <c r="G55" i="23"/>
  <c r="F55" i="23"/>
  <c r="G54" i="23"/>
  <c r="F54" i="23"/>
  <c r="G53" i="23"/>
  <c r="F53" i="23"/>
  <c r="G52" i="23"/>
  <c r="F52" i="23"/>
  <c r="G51" i="23"/>
  <c r="F51" i="23"/>
  <c r="G41" i="23"/>
  <c r="F41" i="23"/>
  <c r="G40" i="23"/>
  <c r="F40" i="23"/>
  <c r="G39" i="23"/>
  <c r="F39" i="23"/>
  <c r="G38" i="23"/>
  <c r="F38" i="23"/>
  <c r="G37" i="23"/>
  <c r="F37" i="23"/>
  <c r="G34" i="23"/>
  <c r="F34" i="23"/>
  <c r="G33" i="23"/>
  <c r="F33" i="23"/>
  <c r="G32" i="23"/>
  <c r="F32" i="23"/>
  <c r="G31" i="23"/>
  <c r="F31" i="23"/>
  <c r="G30" i="23"/>
  <c r="F30" i="23"/>
  <c r="G27" i="23"/>
  <c r="F27" i="23"/>
  <c r="G26" i="23"/>
  <c r="F26" i="23"/>
  <c r="G25" i="23"/>
  <c r="F25" i="23"/>
  <c r="G24" i="23"/>
  <c r="F24" i="23"/>
  <c r="G23" i="23"/>
  <c r="F23" i="23"/>
  <c r="G20" i="23"/>
  <c r="F20" i="23"/>
  <c r="G19" i="23"/>
  <c r="F19" i="23"/>
  <c r="G18" i="23"/>
  <c r="F18" i="23"/>
  <c r="G17" i="23"/>
  <c r="F17" i="23"/>
  <c r="G16" i="23"/>
  <c r="F16" i="23"/>
  <c r="E20" i="23"/>
  <c r="D20" i="23"/>
  <c r="C20" i="23"/>
  <c r="B20" i="23"/>
  <c r="E19" i="23"/>
  <c r="D19" i="23"/>
  <c r="C19" i="23"/>
  <c r="B19" i="23"/>
  <c r="E18" i="23"/>
  <c r="D18" i="23"/>
  <c r="C18" i="23"/>
  <c r="B18" i="23"/>
  <c r="E17" i="23"/>
  <c r="D17" i="23"/>
  <c r="C17" i="23"/>
  <c r="B17" i="23"/>
  <c r="E16" i="23"/>
  <c r="D16" i="23"/>
  <c r="C16" i="23"/>
  <c r="B16" i="23"/>
  <c r="B15" i="23" s="1"/>
  <c r="E27" i="23"/>
  <c r="D27" i="23" s="1"/>
  <c r="C27" i="23"/>
  <c r="B27" i="23"/>
  <c r="E26" i="23"/>
  <c r="D26" i="23" s="1"/>
  <c r="C26" i="23"/>
  <c r="B26" i="23"/>
  <c r="E25" i="23"/>
  <c r="D25" i="23" s="1"/>
  <c r="C25" i="23"/>
  <c r="B25" i="23"/>
  <c r="E24" i="23"/>
  <c r="D24" i="23" s="1"/>
  <c r="C24" i="23"/>
  <c r="B24" i="23"/>
  <c r="E23" i="23"/>
  <c r="D23" i="23" s="1"/>
  <c r="C23" i="23"/>
  <c r="B23" i="23"/>
  <c r="E34" i="23"/>
  <c r="D34" i="23"/>
  <c r="C34" i="23"/>
  <c r="B34" i="23"/>
  <c r="E33" i="23"/>
  <c r="D33" i="23"/>
  <c r="C33" i="23"/>
  <c r="B33" i="23"/>
  <c r="E32" i="23"/>
  <c r="D32" i="23"/>
  <c r="C32" i="23"/>
  <c r="B32" i="23"/>
  <c r="E31" i="23"/>
  <c r="D31" i="23"/>
  <c r="C31" i="23"/>
  <c r="B31" i="23"/>
  <c r="E30" i="23"/>
  <c r="D30" i="23"/>
  <c r="D29" i="23" s="1"/>
  <c r="C30" i="23"/>
  <c r="C29" i="23" s="1"/>
  <c r="G29" i="23" s="1"/>
  <c r="B30" i="23"/>
  <c r="B29" i="23" s="1"/>
  <c r="F29" i="23" s="1"/>
  <c r="E41" i="23"/>
  <c r="D41" i="23" s="1"/>
  <c r="C41" i="23"/>
  <c r="B41" i="23"/>
  <c r="E40" i="23"/>
  <c r="D40" i="23" s="1"/>
  <c r="C40" i="23"/>
  <c r="B40" i="23"/>
  <c r="E39" i="23"/>
  <c r="D39" i="23" s="1"/>
  <c r="C39" i="23"/>
  <c r="B39" i="23"/>
  <c r="E38" i="23"/>
  <c r="D38" i="23" s="1"/>
  <c r="C38" i="23"/>
  <c r="B38" i="23"/>
  <c r="E37" i="23"/>
  <c r="D37" i="23" s="1"/>
  <c r="C37" i="23"/>
  <c r="B37" i="23"/>
  <c r="B36" i="23" s="1"/>
  <c r="E48" i="23"/>
  <c r="D48" i="23" s="1"/>
  <c r="C48" i="23"/>
  <c r="B48" i="23"/>
  <c r="E47" i="23"/>
  <c r="D47" i="23" s="1"/>
  <c r="C47" i="23"/>
  <c r="B47" i="23"/>
  <c r="E46" i="23"/>
  <c r="D46" i="23" s="1"/>
  <c r="C46" i="23"/>
  <c r="B46" i="23"/>
  <c r="E45" i="23"/>
  <c r="D45" i="23" s="1"/>
  <c r="C45" i="23"/>
  <c r="B45" i="23"/>
  <c r="E44" i="23"/>
  <c r="D44" i="23" s="1"/>
  <c r="C44" i="23"/>
  <c r="B44" i="23"/>
  <c r="B43" i="23" s="1"/>
  <c r="E55" i="23"/>
  <c r="D55" i="23" s="1"/>
  <c r="C55" i="23"/>
  <c r="B55" i="23"/>
  <c r="E54" i="23"/>
  <c r="D54" i="23" s="1"/>
  <c r="C54" i="23"/>
  <c r="B54" i="23"/>
  <c r="E53" i="23"/>
  <c r="D53" i="23" s="1"/>
  <c r="C53" i="23"/>
  <c r="B53" i="23"/>
  <c r="E52" i="23"/>
  <c r="D52" i="23" s="1"/>
  <c r="C52" i="23"/>
  <c r="B52" i="23"/>
  <c r="E51" i="23"/>
  <c r="D51" i="23" s="1"/>
  <c r="D50" i="23" s="1"/>
  <c r="C51" i="23"/>
  <c r="B51" i="23"/>
  <c r="E62" i="23"/>
  <c r="D62" i="23"/>
  <c r="C62" i="23"/>
  <c r="B62" i="23"/>
  <c r="E61" i="23"/>
  <c r="D61" i="23"/>
  <c r="C61" i="23"/>
  <c r="B61" i="23"/>
  <c r="E60" i="23"/>
  <c r="D60" i="23"/>
  <c r="C60" i="23"/>
  <c r="B60" i="23"/>
  <c r="E59" i="23"/>
  <c r="D59" i="23"/>
  <c r="C59" i="23"/>
  <c r="B59" i="23"/>
  <c r="E58" i="23"/>
  <c r="D58" i="23"/>
  <c r="C58" i="23"/>
  <c r="B58" i="23"/>
  <c r="B99" i="23"/>
  <c r="AD111" i="23"/>
  <c r="Z111" i="23"/>
  <c r="Y111" i="23"/>
  <c r="V111" i="23"/>
  <c r="R111" i="23"/>
  <c r="Q111" i="23"/>
  <c r="N111" i="23"/>
  <c r="M111" i="23"/>
  <c r="J111" i="23"/>
  <c r="I111" i="23"/>
  <c r="AE111" i="23"/>
  <c r="AA111" i="23"/>
  <c r="W111" i="23"/>
  <c r="S111" i="23"/>
  <c r="P111" i="23"/>
  <c r="L111" i="23"/>
  <c r="H111" i="23"/>
  <c r="E111" i="23"/>
  <c r="AE105" i="23"/>
  <c r="AD105" i="23"/>
  <c r="AC105" i="23"/>
  <c r="AB105" i="23"/>
  <c r="AA105" i="23"/>
  <c r="Z105" i="23"/>
  <c r="Y105" i="23"/>
  <c r="X105" i="23"/>
  <c r="W105" i="23"/>
  <c r="V105" i="23"/>
  <c r="U105" i="23"/>
  <c r="T105" i="23"/>
  <c r="S105" i="23"/>
  <c r="R105" i="23"/>
  <c r="Q105" i="23"/>
  <c r="P105" i="23"/>
  <c r="O105" i="23"/>
  <c r="N105" i="23"/>
  <c r="M105" i="23"/>
  <c r="L105" i="23"/>
  <c r="K105" i="23"/>
  <c r="J105" i="23"/>
  <c r="I105" i="23"/>
  <c r="H105" i="23"/>
  <c r="E105" i="23"/>
  <c r="D105" i="23"/>
  <c r="C105" i="23"/>
  <c r="B105" i="23"/>
  <c r="AE99" i="23"/>
  <c r="AD99" i="23"/>
  <c r="AC99" i="23"/>
  <c r="AB99" i="23"/>
  <c r="AA99" i="23"/>
  <c r="Z99" i="23"/>
  <c r="Y99" i="23"/>
  <c r="X99" i="23"/>
  <c r="W99" i="23"/>
  <c r="V99" i="23"/>
  <c r="U99" i="23"/>
  <c r="T99" i="23"/>
  <c r="S99" i="23"/>
  <c r="R99" i="23"/>
  <c r="Q99" i="23"/>
  <c r="P99" i="23"/>
  <c r="O99" i="23"/>
  <c r="N99" i="23"/>
  <c r="M99" i="23"/>
  <c r="L99" i="23"/>
  <c r="K99" i="23"/>
  <c r="J99" i="23"/>
  <c r="I99" i="23"/>
  <c r="H99" i="23"/>
  <c r="E99" i="23"/>
  <c r="D99" i="23"/>
  <c r="C99" i="23"/>
  <c r="AE92" i="23"/>
  <c r="AD92" i="23"/>
  <c r="AC92" i="23"/>
  <c r="AB92" i="23"/>
  <c r="AA92" i="23"/>
  <c r="Z92" i="23"/>
  <c r="Y92" i="23"/>
  <c r="X92" i="23"/>
  <c r="W92" i="23"/>
  <c r="V92" i="23"/>
  <c r="U92" i="23"/>
  <c r="T92" i="23"/>
  <c r="S92" i="23"/>
  <c r="R92" i="23"/>
  <c r="Q92" i="23"/>
  <c r="P92" i="23"/>
  <c r="O92" i="23"/>
  <c r="N92" i="23"/>
  <c r="M92" i="23"/>
  <c r="L92" i="23"/>
  <c r="K92" i="23"/>
  <c r="J92" i="23"/>
  <c r="I92" i="23"/>
  <c r="H92" i="23"/>
  <c r="E92" i="23"/>
  <c r="D92" i="23"/>
  <c r="C92" i="23"/>
  <c r="B92" i="23"/>
  <c r="AE85" i="23"/>
  <c r="AD85" i="23"/>
  <c r="AC85" i="23"/>
  <c r="AB85" i="23"/>
  <c r="AA85" i="23"/>
  <c r="Z85" i="23"/>
  <c r="Y85" i="23"/>
  <c r="X85" i="23"/>
  <c r="W85" i="23"/>
  <c r="V85" i="23"/>
  <c r="U85" i="23"/>
  <c r="T85" i="23"/>
  <c r="S85" i="23"/>
  <c r="R85" i="23"/>
  <c r="Q85" i="23"/>
  <c r="P85" i="23"/>
  <c r="O85" i="23"/>
  <c r="N85" i="23"/>
  <c r="M85" i="23"/>
  <c r="L85" i="23"/>
  <c r="K85" i="23"/>
  <c r="J85" i="23"/>
  <c r="I85" i="23"/>
  <c r="H85" i="23"/>
  <c r="G85" i="23"/>
  <c r="D85" i="23"/>
  <c r="C85" i="23"/>
  <c r="B85" i="23"/>
  <c r="AE78" i="23"/>
  <c r="AD78" i="23"/>
  <c r="AC78" i="23"/>
  <c r="AB78" i="23"/>
  <c r="AA78" i="23"/>
  <c r="Z78" i="23"/>
  <c r="Y78" i="23"/>
  <c r="X78" i="23"/>
  <c r="W78" i="23"/>
  <c r="V78" i="23"/>
  <c r="U78" i="23"/>
  <c r="T78" i="23"/>
  <c r="S78" i="23"/>
  <c r="R78" i="23"/>
  <c r="Q78" i="23"/>
  <c r="P78" i="23"/>
  <c r="O78" i="23"/>
  <c r="N78" i="23"/>
  <c r="M78" i="23"/>
  <c r="L78" i="23"/>
  <c r="K78" i="23"/>
  <c r="J78" i="23"/>
  <c r="I78" i="23"/>
  <c r="H78" i="23"/>
  <c r="E78" i="23"/>
  <c r="D78" i="23"/>
  <c r="C78" i="23"/>
  <c r="G78" i="23" s="1"/>
  <c r="B78" i="23"/>
  <c r="F78" i="23" s="1"/>
  <c r="AE64" i="23"/>
  <c r="AD64" i="23"/>
  <c r="AC64" i="23"/>
  <c r="AB64" i="23"/>
  <c r="AA64" i="23"/>
  <c r="Z64" i="23"/>
  <c r="Y64" i="23"/>
  <c r="X64" i="23"/>
  <c r="W64" i="23"/>
  <c r="V64" i="23"/>
  <c r="U64" i="23"/>
  <c r="T64" i="23"/>
  <c r="S64" i="23"/>
  <c r="R64" i="23"/>
  <c r="Q64" i="23"/>
  <c r="P64" i="23"/>
  <c r="O64" i="23"/>
  <c r="N64" i="23"/>
  <c r="M64" i="23"/>
  <c r="L64" i="23"/>
  <c r="K64" i="23"/>
  <c r="J64" i="23"/>
  <c r="I64" i="23"/>
  <c r="H64" i="23"/>
  <c r="E64" i="23"/>
  <c r="D64" i="23"/>
  <c r="C64" i="23"/>
  <c r="G64" i="23" s="1"/>
  <c r="B64" i="23"/>
  <c r="F64" i="23" s="1"/>
  <c r="AE57" i="23"/>
  <c r="AD57" i="23"/>
  <c r="AC57" i="23"/>
  <c r="AB57" i="23"/>
  <c r="AA57" i="23"/>
  <c r="Z57" i="23"/>
  <c r="Y57" i="23"/>
  <c r="X57" i="23"/>
  <c r="W57" i="23"/>
  <c r="V57" i="23"/>
  <c r="U57" i="23"/>
  <c r="T57" i="23"/>
  <c r="S57" i="23"/>
  <c r="R57" i="23"/>
  <c r="Q57" i="23"/>
  <c r="P57" i="23"/>
  <c r="O57" i="23"/>
  <c r="N57" i="23"/>
  <c r="M57" i="23"/>
  <c r="L57" i="23"/>
  <c r="K57" i="23"/>
  <c r="J57" i="23"/>
  <c r="I57" i="23"/>
  <c r="H57" i="23"/>
  <c r="E57" i="23"/>
  <c r="D57" i="23"/>
  <c r="C57" i="23"/>
  <c r="B57" i="23"/>
  <c r="F57" i="23" s="1"/>
  <c r="AE50" i="23"/>
  <c r="AD50" i="23"/>
  <c r="AC50" i="23"/>
  <c r="AB50" i="23"/>
  <c r="AA50" i="23"/>
  <c r="Z50" i="23"/>
  <c r="Y50" i="23"/>
  <c r="X50" i="23"/>
  <c r="W50" i="23"/>
  <c r="V50" i="23"/>
  <c r="U50" i="23"/>
  <c r="T50" i="23"/>
  <c r="S50" i="23"/>
  <c r="R50" i="23"/>
  <c r="Q50" i="23"/>
  <c r="P50" i="23"/>
  <c r="O50" i="23"/>
  <c r="N50" i="23"/>
  <c r="M50" i="23"/>
  <c r="L50" i="23"/>
  <c r="K50" i="23"/>
  <c r="J50" i="23"/>
  <c r="I50" i="23"/>
  <c r="H50" i="23"/>
  <c r="E50" i="23"/>
  <c r="C50" i="23"/>
  <c r="B50" i="23"/>
  <c r="AE43" i="23"/>
  <c r="AD43" i="23"/>
  <c r="AC43" i="23"/>
  <c r="AB43" i="23"/>
  <c r="AA43" i="23"/>
  <c r="Z43" i="23"/>
  <c r="Y43" i="23"/>
  <c r="X43" i="23"/>
  <c r="W43" i="23"/>
  <c r="V43" i="23"/>
  <c r="U43" i="23"/>
  <c r="T43" i="23"/>
  <c r="S43" i="23"/>
  <c r="R43" i="23"/>
  <c r="Q43" i="23"/>
  <c r="P43" i="23"/>
  <c r="O43" i="23"/>
  <c r="N43" i="23"/>
  <c r="M43" i="23"/>
  <c r="L43" i="23"/>
  <c r="K43" i="23"/>
  <c r="J43" i="23"/>
  <c r="I43" i="23"/>
  <c r="H43" i="23"/>
  <c r="C43" i="23"/>
  <c r="AE36" i="23"/>
  <c r="AD36" i="23"/>
  <c r="AC36" i="23"/>
  <c r="AB36" i="23"/>
  <c r="AA36" i="23"/>
  <c r="Z36" i="23"/>
  <c r="Y36" i="23"/>
  <c r="X36" i="23"/>
  <c r="W36" i="23"/>
  <c r="V36" i="23"/>
  <c r="U36" i="23"/>
  <c r="T36" i="23"/>
  <c r="S36" i="23"/>
  <c r="R36" i="23"/>
  <c r="Q36" i="23"/>
  <c r="P36" i="23"/>
  <c r="O36" i="23"/>
  <c r="N36" i="23"/>
  <c r="M36" i="23"/>
  <c r="L36" i="23"/>
  <c r="K36" i="23"/>
  <c r="J36" i="23"/>
  <c r="I36" i="23"/>
  <c r="H36" i="23"/>
  <c r="E36" i="23"/>
  <c r="C36" i="23"/>
  <c r="AE29" i="23"/>
  <c r="AD29" i="23"/>
  <c r="AC29" i="23"/>
  <c r="AB29" i="23"/>
  <c r="AA29" i="23"/>
  <c r="Z29" i="23"/>
  <c r="Y29" i="23"/>
  <c r="X29" i="23"/>
  <c r="W29" i="23"/>
  <c r="V29" i="23"/>
  <c r="U29" i="23"/>
  <c r="T29" i="23"/>
  <c r="S29" i="23"/>
  <c r="R29" i="23"/>
  <c r="Q29" i="23"/>
  <c r="P29" i="23"/>
  <c r="O29" i="23"/>
  <c r="N29" i="23"/>
  <c r="M29" i="23"/>
  <c r="L29" i="23"/>
  <c r="K29" i="23"/>
  <c r="J29" i="23"/>
  <c r="I29" i="23"/>
  <c r="H29" i="23"/>
  <c r="E29" i="23"/>
  <c r="AE22" i="23"/>
  <c r="AD22" i="23"/>
  <c r="AC22" i="23"/>
  <c r="AB22" i="23"/>
  <c r="AA22" i="23"/>
  <c r="Z22" i="23"/>
  <c r="Y22" i="23"/>
  <c r="X22" i="23"/>
  <c r="W22" i="23"/>
  <c r="V22" i="23"/>
  <c r="U22" i="23"/>
  <c r="T22" i="23"/>
  <c r="S22" i="23"/>
  <c r="R22" i="23"/>
  <c r="Q22" i="23"/>
  <c r="P22" i="23"/>
  <c r="O22" i="23"/>
  <c r="N22" i="23"/>
  <c r="M22" i="23"/>
  <c r="L22" i="23"/>
  <c r="K22" i="23"/>
  <c r="J22" i="23"/>
  <c r="I22" i="23"/>
  <c r="H22" i="23"/>
  <c r="E22" i="23"/>
  <c r="C22" i="23"/>
  <c r="G22" i="23" s="1"/>
  <c r="B22" i="23"/>
  <c r="F22" i="23" s="1"/>
  <c r="AE15" i="23"/>
  <c r="AD15" i="23"/>
  <c r="AC15" i="23"/>
  <c r="AB15" i="23"/>
  <c r="AA15" i="23"/>
  <c r="Z15" i="23"/>
  <c r="Y15" i="23"/>
  <c r="X15" i="23"/>
  <c r="W15" i="23"/>
  <c r="V15" i="23"/>
  <c r="U15" i="23"/>
  <c r="T15" i="23"/>
  <c r="S15" i="23"/>
  <c r="R15" i="23"/>
  <c r="Q15" i="23"/>
  <c r="P15" i="23"/>
  <c r="O15" i="23"/>
  <c r="N15" i="23"/>
  <c r="M15" i="23"/>
  <c r="L15" i="23"/>
  <c r="K15" i="23"/>
  <c r="J15" i="23"/>
  <c r="I15" i="23"/>
  <c r="H15" i="23"/>
  <c r="E15" i="23"/>
  <c r="D15" i="23"/>
  <c r="C15" i="23"/>
  <c r="B111" i="23" l="1"/>
  <c r="F111" i="23" s="1"/>
  <c r="G15" i="23"/>
  <c r="D22" i="23"/>
  <c r="F36" i="23"/>
  <c r="D36" i="23"/>
  <c r="G36" i="23"/>
  <c r="D43" i="23"/>
  <c r="E43" i="23"/>
  <c r="F50" i="23"/>
  <c r="G50" i="23"/>
  <c r="G57" i="23"/>
  <c r="C111" i="23"/>
  <c r="F15" i="23"/>
  <c r="L104" i="11"/>
  <c r="B106" i="11"/>
  <c r="B99" i="11"/>
  <c r="B93" i="11"/>
  <c r="B90" i="11"/>
  <c r="B108" i="11"/>
  <c r="B80" i="11"/>
  <c r="AD61" i="11"/>
  <c r="AD58" i="11"/>
  <c r="C58" i="11" s="1"/>
  <c r="E73" i="11"/>
  <c r="B67" i="11"/>
  <c r="E61" i="11"/>
  <c r="C47" i="11"/>
  <c r="C27" i="11"/>
  <c r="C15" i="11"/>
  <c r="Q104" i="11"/>
  <c r="Q103" i="11"/>
  <c r="Q109" i="11"/>
  <c r="Q106" i="11"/>
  <c r="Q78" i="11"/>
  <c r="E99" i="11"/>
  <c r="C99" i="11"/>
  <c r="AE96" i="11"/>
  <c r="B91" i="11"/>
  <c r="E81" i="11"/>
  <c r="E109" i="11" s="1"/>
  <c r="AE90" i="11"/>
  <c r="E87" i="11"/>
  <c r="AE84" i="11"/>
  <c r="AE70" i="11"/>
  <c r="AE61" i="11"/>
  <c r="AE58" i="11" s="1"/>
  <c r="AE57" i="11" s="1"/>
  <c r="AD64" i="11"/>
  <c r="AE64" i="11"/>
  <c r="AE43" i="11"/>
  <c r="C21" i="11"/>
  <c r="E21" i="11"/>
  <c r="AE18" i="11"/>
  <c r="E108" i="7" l="1"/>
  <c r="D43" i="7"/>
  <c r="B87" i="11"/>
  <c r="B81" i="11" s="1"/>
  <c r="C87" i="11"/>
  <c r="C81" i="11" s="1"/>
  <c r="C104" i="11" s="1"/>
  <c r="C43" i="7"/>
  <c r="C42" i="7"/>
  <c r="D42" i="7"/>
  <c r="C31" i="18" l="1"/>
  <c r="C30" i="18"/>
  <c r="C27" i="18"/>
  <c r="C26" i="18"/>
  <c r="C22" i="18"/>
  <c r="C23" i="18"/>
  <c r="C16" i="18"/>
  <c r="E24" i="3" l="1"/>
  <c r="D24" i="3" s="1"/>
  <c r="D23" i="3" s="1"/>
  <c r="C24" i="3"/>
  <c r="C23" i="3" s="1"/>
  <c r="F17" i="3"/>
  <c r="C15" i="3"/>
  <c r="C12" i="3" s="1"/>
  <c r="B15" i="3"/>
  <c r="B12" i="3" s="1"/>
  <c r="B11" i="3" s="1"/>
  <c r="C102" i="17" l="1"/>
  <c r="C103" i="17"/>
  <c r="C104" i="17"/>
  <c r="C101" i="17"/>
  <c r="C96" i="17"/>
  <c r="C97" i="17"/>
  <c r="C98" i="17"/>
  <c r="C95" i="17"/>
  <c r="C90" i="17"/>
  <c r="C91" i="17"/>
  <c r="C92" i="17"/>
  <c r="C89" i="17"/>
  <c r="C81" i="17"/>
  <c r="C82" i="17"/>
  <c r="C83" i="17"/>
  <c r="C84" i="17"/>
  <c r="C76" i="17"/>
  <c r="C77" i="17"/>
  <c r="C78" i="17"/>
  <c r="C75" i="17"/>
  <c r="C70" i="17"/>
  <c r="C71" i="17"/>
  <c r="C72" i="17"/>
  <c r="C69" i="17"/>
  <c r="C63" i="17"/>
  <c r="C64" i="17"/>
  <c r="C65" i="17"/>
  <c r="C66" i="17"/>
  <c r="C62" i="17"/>
  <c r="C54" i="17"/>
  <c r="C55" i="17"/>
  <c r="C56" i="17"/>
  <c r="C57" i="17"/>
  <c r="C53" i="17"/>
  <c r="C48" i="17"/>
  <c r="C49" i="17"/>
  <c r="C50" i="17"/>
  <c r="C47" i="17"/>
  <c r="C41" i="17"/>
  <c r="C42" i="17"/>
  <c r="C43" i="17"/>
  <c r="C44" i="17"/>
  <c r="C40" i="17"/>
  <c r="C34" i="17"/>
  <c r="C35" i="17"/>
  <c r="C36" i="17"/>
  <c r="C37" i="17"/>
  <c r="C33" i="17"/>
  <c r="C27" i="17"/>
  <c r="C28" i="17"/>
  <c r="C29" i="17"/>
  <c r="C30" i="17"/>
  <c r="C26" i="17"/>
  <c r="C13" i="17"/>
  <c r="AB49" i="19" l="1"/>
  <c r="Z49" i="19"/>
  <c r="W49" i="19"/>
  <c r="AC62" i="19"/>
  <c r="C27" i="19"/>
  <c r="C41" i="19" s="1"/>
  <c r="C38" i="19" s="1"/>
  <c r="E27" i="19"/>
  <c r="D27" i="19" s="1"/>
  <c r="D41" i="19" s="1"/>
  <c r="X344" i="14" l="1"/>
  <c r="E137" i="14" l="1"/>
  <c r="E131" i="14"/>
  <c r="AB106" i="14" l="1"/>
  <c r="C107" i="14"/>
  <c r="E58" i="14"/>
  <c r="D21" i="22" l="1"/>
  <c r="E21" i="22"/>
  <c r="H21" i="22"/>
  <c r="I21" i="22"/>
  <c r="J21" i="22"/>
  <c r="K21" i="22"/>
  <c r="L21" i="22"/>
  <c r="M21" i="22"/>
  <c r="N21" i="22"/>
  <c r="O21" i="22"/>
  <c r="R21" i="22"/>
  <c r="S21" i="22"/>
  <c r="T21" i="22"/>
  <c r="U21" i="22"/>
  <c r="V21" i="22"/>
  <c r="W21" i="22"/>
  <c r="X21" i="22"/>
  <c r="Y21" i="22"/>
  <c r="Z21" i="22"/>
  <c r="AA21" i="22"/>
  <c r="AB21" i="22"/>
  <c r="AC21" i="22"/>
  <c r="AD21" i="22"/>
  <c r="AE21" i="22"/>
  <c r="H16" i="21"/>
  <c r="L16" i="21"/>
  <c r="AB108" i="22" l="1"/>
  <c r="AB105" i="22" s="1"/>
  <c r="G88" i="22"/>
  <c r="F88" i="22"/>
  <c r="AC70" i="11"/>
  <c r="AC84" i="11"/>
  <c r="AA84" i="11"/>
  <c r="AC96" i="11"/>
  <c r="AC90" i="11"/>
  <c r="AC64" i="11"/>
  <c r="F22" i="22"/>
  <c r="F24" i="22"/>
  <c r="B10" i="23"/>
  <c r="C15" i="20" l="1"/>
  <c r="C82" i="20"/>
  <c r="C79" i="20"/>
  <c r="AD71" i="20"/>
  <c r="AD70" i="20"/>
  <c r="AD69" i="20"/>
  <c r="B58" i="20"/>
  <c r="AD55" i="20"/>
  <c r="Y60" i="20"/>
  <c r="B58" i="6"/>
  <c r="B26" i="6"/>
  <c r="B41" i="6"/>
  <c r="B55" i="6"/>
  <c r="B54" i="6"/>
  <c r="B53" i="6"/>
  <c r="B61" i="6"/>
  <c r="B60" i="6"/>
  <c r="B59" i="6"/>
  <c r="B13" i="6"/>
  <c r="B130" i="6"/>
  <c r="AC95" i="6"/>
  <c r="AC15" i="6"/>
  <c r="B23" i="4" l="1"/>
  <c r="E54" i="4" l="1"/>
  <c r="D54" i="4"/>
  <c r="C54" i="4"/>
  <c r="E14" i="4"/>
  <c r="D14" i="4"/>
  <c r="C14" i="4"/>
  <c r="D50" i="4"/>
  <c r="C50" i="4"/>
  <c r="E31" i="4"/>
  <c r="D31" i="4"/>
  <c r="C31" i="4"/>
  <c r="E11" i="4"/>
  <c r="C28" i="3" l="1"/>
  <c r="C36" i="3" l="1"/>
  <c r="C40" i="3" s="1"/>
  <c r="C32" i="3"/>
  <c r="D11" i="4"/>
  <c r="C11" i="4"/>
  <c r="C34" i="4" l="1"/>
  <c r="D34" i="4"/>
  <c r="I144" i="8" l="1"/>
  <c r="K144" i="8"/>
  <c r="M144" i="8"/>
  <c r="O144" i="8"/>
  <c r="P144" i="8"/>
  <c r="Q144" i="8"/>
  <c r="S144" i="8"/>
  <c r="T144" i="8"/>
  <c r="U144" i="8"/>
  <c r="V144" i="8"/>
  <c r="W144" i="8"/>
  <c r="X144" i="8"/>
  <c r="Y144" i="8"/>
  <c r="Z144" i="8"/>
  <c r="AA144" i="8"/>
  <c r="AB144" i="8"/>
  <c r="AC144" i="8"/>
  <c r="AD144" i="8"/>
  <c r="AE144" i="8"/>
  <c r="D144" i="8"/>
  <c r="H147" i="8"/>
  <c r="J147" i="8"/>
  <c r="L144" i="8"/>
  <c r="N147" i="8"/>
  <c r="N144" i="8" s="1"/>
  <c r="R147" i="8"/>
  <c r="R144" i="8" s="1"/>
  <c r="H152" i="8"/>
  <c r="I152" i="8"/>
  <c r="J152" i="8"/>
  <c r="K152" i="8"/>
  <c r="L152" i="8"/>
  <c r="M152" i="8"/>
  <c r="N152" i="8"/>
  <c r="O152" i="8"/>
  <c r="P152" i="8"/>
  <c r="Q152" i="8"/>
  <c r="R152" i="8"/>
  <c r="S152" i="8"/>
  <c r="T152" i="8"/>
  <c r="U152" i="8"/>
  <c r="V152" i="8"/>
  <c r="W152" i="8"/>
  <c r="X152" i="8"/>
  <c r="Y152" i="8"/>
  <c r="Z152" i="8"/>
  <c r="AA152" i="8"/>
  <c r="AB152" i="8"/>
  <c r="AC152" i="8"/>
  <c r="AD152" i="8"/>
  <c r="AE152" i="8"/>
  <c r="B153" i="8"/>
  <c r="C153" i="8"/>
  <c r="E153" i="8"/>
  <c r="D153" i="8" s="1"/>
  <c r="B154" i="8"/>
  <c r="C154" i="8"/>
  <c r="E154" i="8"/>
  <c r="D154" i="8" s="1"/>
  <c r="B155" i="8"/>
  <c r="C155" i="8"/>
  <c r="E155" i="8"/>
  <c r="G155" i="8" s="1"/>
  <c r="B156" i="8"/>
  <c r="C156" i="8"/>
  <c r="E156" i="8"/>
  <c r="B166" i="8"/>
  <c r="D166" i="8"/>
  <c r="E166" i="8"/>
  <c r="H166" i="8"/>
  <c r="I166" i="8"/>
  <c r="J166" i="8"/>
  <c r="J160" i="8" s="1"/>
  <c r="K166" i="8"/>
  <c r="K160" i="8" s="1"/>
  <c r="L166" i="8"/>
  <c r="L160" i="8" s="1"/>
  <c r="M166" i="8"/>
  <c r="N166" i="8"/>
  <c r="O166" i="8"/>
  <c r="O160" i="8" s="1"/>
  <c r="P166" i="8"/>
  <c r="P160" i="8" s="1"/>
  <c r="Q166" i="8"/>
  <c r="R166" i="8"/>
  <c r="R160" i="8" s="1"/>
  <c r="R290" i="8" s="1"/>
  <c r="S166" i="8"/>
  <c r="S160" i="8" s="1"/>
  <c r="T166" i="8"/>
  <c r="T160" i="8" s="1"/>
  <c r="U166" i="8"/>
  <c r="V166" i="8"/>
  <c r="W166" i="8"/>
  <c r="W160" i="8" s="1"/>
  <c r="X166" i="8"/>
  <c r="X160" i="8" s="1"/>
  <c r="Y166" i="8"/>
  <c r="Z166" i="8"/>
  <c r="Z160" i="8" s="1"/>
  <c r="AA166" i="8"/>
  <c r="AA160" i="8" s="1"/>
  <c r="AB166" i="8"/>
  <c r="AB160" i="8" s="1"/>
  <c r="AC166" i="8"/>
  <c r="AD166" i="8"/>
  <c r="AE166" i="8"/>
  <c r="AE160" i="8" s="1"/>
  <c r="H168" i="8"/>
  <c r="H162" i="8" s="1"/>
  <c r="I168" i="8"/>
  <c r="I162" i="8" s="1"/>
  <c r="J168" i="8"/>
  <c r="J162" i="8" s="1"/>
  <c r="K168" i="8"/>
  <c r="K162" i="8" s="1"/>
  <c r="L168" i="8"/>
  <c r="M168" i="8"/>
  <c r="M162" i="8" s="1"/>
  <c r="N168" i="8"/>
  <c r="N162" i="8" s="1"/>
  <c r="O168" i="8"/>
  <c r="O162" i="8" s="1"/>
  <c r="P168" i="8"/>
  <c r="P162" i="8" s="1"/>
  <c r="Q168" i="8"/>
  <c r="Q162" i="8" s="1"/>
  <c r="R168" i="8"/>
  <c r="R162" i="8" s="1"/>
  <c r="S168" i="8"/>
  <c r="S162" i="8" s="1"/>
  <c r="T168" i="8"/>
  <c r="U168" i="8"/>
  <c r="U162" i="8" s="1"/>
  <c r="V168" i="8"/>
  <c r="W168" i="8"/>
  <c r="X168" i="8"/>
  <c r="Y168" i="8"/>
  <c r="Z168" i="8"/>
  <c r="Z162" i="8" s="1"/>
  <c r="AA168" i="8"/>
  <c r="AA162" i="8" s="1"/>
  <c r="AB168" i="8"/>
  <c r="AB162" i="8" s="1"/>
  <c r="AC168" i="8"/>
  <c r="AC162" i="8" s="1"/>
  <c r="AD168" i="8"/>
  <c r="AE168" i="8"/>
  <c r="B169" i="8"/>
  <c r="D169" i="8"/>
  <c r="H169" i="8"/>
  <c r="I169" i="8"/>
  <c r="J169" i="8"/>
  <c r="J163" i="8" s="1"/>
  <c r="K169" i="8"/>
  <c r="K163" i="8" s="1"/>
  <c r="L169" i="8"/>
  <c r="M169" i="8"/>
  <c r="N169" i="8"/>
  <c r="O169" i="8"/>
  <c r="P169" i="8"/>
  <c r="Q169" i="8"/>
  <c r="R169" i="8"/>
  <c r="S169" i="8"/>
  <c r="T169" i="8"/>
  <c r="U169" i="8"/>
  <c r="V169" i="8"/>
  <c r="W169" i="8"/>
  <c r="X169" i="8"/>
  <c r="Y169" i="8"/>
  <c r="Z169" i="8"/>
  <c r="AA169" i="8"/>
  <c r="AB169" i="8"/>
  <c r="AC169" i="8"/>
  <c r="AD169" i="8"/>
  <c r="AE169" i="8"/>
  <c r="H172" i="8"/>
  <c r="I172" i="8"/>
  <c r="J172" i="8"/>
  <c r="K172" i="8"/>
  <c r="L172" i="8"/>
  <c r="M172" i="8"/>
  <c r="N172" i="8"/>
  <c r="O172" i="8"/>
  <c r="P172" i="8"/>
  <c r="Q172" i="8"/>
  <c r="R172" i="8"/>
  <c r="S172" i="8"/>
  <c r="T172" i="8"/>
  <c r="U172" i="8"/>
  <c r="V172" i="8"/>
  <c r="W172" i="8"/>
  <c r="X172" i="8"/>
  <c r="Y172" i="8"/>
  <c r="Z172" i="8"/>
  <c r="AA172" i="8"/>
  <c r="AB172" i="8"/>
  <c r="AC172" i="8"/>
  <c r="AD172" i="8"/>
  <c r="AE172" i="8"/>
  <c r="B175" i="8"/>
  <c r="H178" i="8"/>
  <c r="I178" i="8"/>
  <c r="J178" i="8"/>
  <c r="K178" i="8"/>
  <c r="L178" i="8"/>
  <c r="M178" i="8"/>
  <c r="N178" i="8"/>
  <c r="O178" i="8"/>
  <c r="P178" i="8"/>
  <c r="Q178" i="8"/>
  <c r="R178" i="8"/>
  <c r="S178" i="8"/>
  <c r="T178" i="8"/>
  <c r="U178" i="8"/>
  <c r="V178" i="8"/>
  <c r="W178" i="8"/>
  <c r="X178" i="8"/>
  <c r="Y178" i="8"/>
  <c r="Z178" i="8"/>
  <c r="AA178" i="8"/>
  <c r="AB178" i="8"/>
  <c r="AC178" i="8"/>
  <c r="AD178" i="8"/>
  <c r="AE178" i="8"/>
  <c r="B181" i="8"/>
  <c r="H184" i="8"/>
  <c r="I184" i="8"/>
  <c r="J184" i="8"/>
  <c r="K184" i="8"/>
  <c r="L184" i="8"/>
  <c r="M184" i="8"/>
  <c r="N184" i="8"/>
  <c r="O184" i="8"/>
  <c r="P184" i="8"/>
  <c r="Q184" i="8"/>
  <c r="R184" i="8"/>
  <c r="S184" i="8"/>
  <c r="T184" i="8"/>
  <c r="U184" i="8"/>
  <c r="V184" i="8"/>
  <c r="W184" i="8"/>
  <c r="X184" i="8"/>
  <c r="Y184" i="8"/>
  <c r="Z184" i="8"/>
  <c r="AA184" i="8"/>
  <c r="AB184" i="8"/>
  <c r="AC184" i="8"/>
  <c r="AD184" i="8"/>
  <c r="AE184" i="8"/>
  <c r="B187" i="8"/>
  <c r="C184" i="8"/>
  <c r="D184" i="8"/>
  <c r="H190" i="8"/>
  <c r="I190" i="8"/>
  <c r="J190" i="8"/>
  <c r="K190" i="8"/>
  <c r="L190" i="8"/>
  <c r="M190" i="8"/>
  <c r="N190" i="8"/>
  <c r="O190" i="8"/>
  <c r="P190" i="8"/>
  <c r="Q190" i="8"/>
  <c r="R190" i="8"/>
  <c r="S190" i="8"/>
  <c r="T190" i="8"/>
  <c r="U190" i="8"/>
  <c r="V190" i="8"/>
  <c r="W190" i="8"/>
  <c r="X190" i="8"/>
  <c r="Y190" i="8"/>
  <c r="Z190" i="8"/>
  <c r="AA190" i="8"/>
  <c r="AB190" i="8"/>
  <c r="AC190" i="8"/>
  <c r="AD190" i="8"/>
  <c r="AE190" i="8"/>
  <c r="B191" i="8"/>
  <c r="C191" i="8"/>
  <c r="E191" i="8"/>
  <c r="K304" i="8" l="1"/>
  <c r="K292" i="8"/>
  <c r="E292" i="8" s="1"/>
  <c r="G191" i="8"/>
  <c r="B178" i="8"/>
  <c r="J144" i="8"/>
  <c r="B147" i="8"/>
  <c r="B144" i="8" s="1"/>
  <c r="B172" i="8"/>
  <c r="H160" i="8"/>
  <c r="C166" i="8"/>
  <c r="G156" i="8"/>
  <c r="H144" i="8"/>
  <c r="C147" i="8"/>
  <c r="G147" i="8" s="1"/>
  <c r="AB163" i="8"/>
  <c r="X163" i="8"/>
  <c r="R163" i="8"/>
  <c r="AE163" i="8"/>
  <c r="AC163" i="8"/>
  <c r="AA163" i="8"/>
  <c r="Y163" i="8"/>
  <c r="W163" i="8"/>
  <c r="U163" i="8"/>
  <c r="S163" i="8"/>
  <c r="Q163" i="8"/>
  <c r="O163" i="8"/>
  <c r="M163" i="8"/>
  <c r="I163" i="8"/>
  <c r="Y162" i="8"/>
  <c r="W162" i="8"/>
  <c r="AD163" i="8"/>
  <c r="Z163" i="8"/>
  <c r="V163" i="8"/>
  <c r="T163" i="8"/>
  <c r="P163" i="8"/>
  <c r="N163" i="8"/>
  <c r="L163" i="8"/>
  <c r="H163" i="8"/>
  <c r="X162" i="8"/>
  <c r="V162" i="8"/>
  <c r="T165" i="8"/>
  <c r="L165" i="8"/>
  <c r="AE162" i="8"/>
  <c r="AD162" i="8"/>
  <c r="C168" i="8"/>
  <c r="G168" i="8" s="1"/>
  <c r="B184" i="8"/>
  <c r="B168" i="8"/>
  <c r="F168" i="8" s="1"/>
  <c r="E178" i="8"/>
  <c r="D178" i="8"/>
  <c r="F156" i="8"/>
  <c r="D191" i="8"/>
  <c r="D160" i="8" s="1"/>
  <c r="G181" i="8"/>
  <c r="D156" i="8"/>
  <c r="C152" i="8"/>
  <c r="Q165" i="8"/>
  <c r="AD165" i="8"/>
  <c r="V165" i="8"/>
  <c r="N165" i="8"/>
  <c r="F153" i="8"/>
  <c r="I165" i="8"/>
  <c r="AC165" i="8"/>
  <c r="U165" i="8"/>
  <c r="M165" i="8"/>
  <c r="E144" i="8"/>
  <c r="G187" i="8"/>
  <c r="Y165" i="8"/>
  <c r="E184" i="8"/>
  <c r="D175" i="8"/>
  <c r="D168" i="8" s="1"/>
  <c r="G175" i="8"/>
  <c r="E172" i="8"/>
  <c r="F155" i="8"/>
  <c r="E152" i="8"/>
  <c r="D155" i="8"/>
  <c r="D152" i="8" s="1"/>
  <c r="G169" i="8"/>
  <c r="F169" i="8"/>
  <c r="AB159" i="8"/>
  <c r="P159" i="8"/>
  <c r="H159" i="8"/>
  <c r="AE159" i="8"/>
  <c r="AA159" i="8"/>
  <c r="W159" i="8"/>
  <c r="S159" i="8"/>
  <c r="O159" i="8"/>
  <c r="K159" i="8"/>
  <c r="X159" i="8"/>
  <c r="Z159" i="8"/>
  <c r="R159" i="8"/>
  <c r="J159" i="8"/>
  <c r="F191" i="8"/>
  <c r="F187" i="8"/>
  <c r="F181" i="8"/>
  <c r="F175" i="8"/>
  <c r="F166" i="8"/>
  <c r="AB165" i="8"/>
  <c r="P165" i="8"/>
  <c r="H165" i="8"/>
  <c r="T162" i="8"/>
  <c r="T159" i="8" s="1"/>
  <c r="AD160" i="8"/>
  <c r="V160" i="8"/>
  <c r="V159" i="8" s="1"/>
  <c r="N160" i="8"/>
  <c r="N159" i="8" s="1"/>
  <c r="B160" i="8"/>
  <c r="C178" i="8"/>
  <c r="G178" i="8" s="1"/>
  <c r="G166" i="8"/>
  <c r="AE165" i="8"/>
  <c r="AA165" i="8"/>
  <c r="W165" i="8"/>
  <c r="S165" i="8"/>
  <c r="O165" i="8"/>
  <c r="K165" i="8"/>
  <c r="AC160" i="8"/>
  <c r="AC159" i="8" s="1"/>
  <c r="Y160" i="8"/>
  <c r="Y159" i="8" s="1"/>
  <c r="U160" i="8"/>
  <c r="U159" i="8" s="1"/>
  <c r="Q160" i="8"/>
  <c r="Q159" i="8" s="1"/>
  <c r="M160" i="8"/>
  <c r="M159" i="8" s="1"/>
  <c r="I160" i="8"/>
  <c r="E160" i="8"/>
  <c r="X165" i="8"/>
  <c r="L162" i="8"/>
  <c r="L159" i="8" s="1"/>
  <c r="Z165" i="8"/>
  <c r="R165" i="8"/>
  <c r="J165" i="8"/>
  <c r="B152" i="8"/>
  <c r="G153" i="8"/>
  <c r="AA96" i="11"/>
  <c r="AA90" i="11"/>
  <c r="G87" i="11"/>
  <c r="AA70" i="11"/>
  <c r="Y70" i="11"/>
  <c r="AA64" i="11"/>
  <c r="Z50" i="11"/>
  <c r="Z49" i="11" s="1"/>
  <c r="Z44" i="11"/>
  <c r="Z43" i="11" s="1"/>
  <c r="Y43" i="11"/>
  <c r="B165" i="8" l="1"/>
  <c r="F152" i="8"/>
  <c r="I159" i="8"/>
  <c r="F147" i="8"/>
  <c r="AD159" i="8"/>
  <c r="C165" i="8"/>
  <c r="F184" i="8"/>
  <c r="F178" i="8"/>
  <c r="F144" i="8"/>
  <c r="G152" i="8"/>
  <c r="G184" i="8"/>
  <c r="E165" i="8"/>
  <c r="F172" i="8"/>
  <c r="D172" i="8"/>
  <c r="C144" i="8"/>
  <c r="G144" i="8" s="1"/>
  <c r="F160" i="8"/>
  <c r="C160" i="8"/>
  <c r="G172" i="8"/>
  <c r="Y11" i="15"/>
  <c r="F165" i="8" l="1"/>
  <c r="G165" i="8"/>
  <c r="D165" i="8"/>
  <c r="G160" i="8"/>
  <c r="C111" i="18" l="1"/>
  <c r="Z92" i="14" l="1"/>
  <c r="Z86" i="14" s="1"/>
  <c r="E98" i="14"/>
  <c r="E331" i="14"/>
  <c r="AB258" i="14" l="1"/>
  <c r="Z258" i="14"/>
  <c r="AB240" i="14"/>
  <c r="Z240" i="14"/>
  <c r="AD240" i="14"/>
  <c r="E240" i="14"/>
  <c r="C228" i="14"/>
  <c r="AB196" i="14"/>
  <c r="Z196" i="14"/>
  <c r="Z151" i="14"/>
  <c r="E151" i="14"/>
  <c r="D137" i="14"/>
  <c r="X131" i="14"/>
  <c r="B131" i="14"/>
  <c r="B118" i="6" l="1"/>
  <c r="AB117" i="14" l="1"/>
  <c r="X117" i="14"/>
  <c r="V106" i="14"/>
  <c r="AA106" i="14"/>
  <c r="Y107" i="14"/>
  <c r="X107" i="14"/>
  <c r="B107" i="14"/>
  <c r="Z107" i="14"/>
  <c r="AA107" i="14"/>
  <c r="E107" i="14" s="1"/>
  <c r="G107" i="14" l="1"/>
  <c r="F107" i="14"/>
  <c r="Z12" i="3" l="1"/>
  <c r="Z27" i="3" s="1"/>
  <c r="X45" i="20" l="1"/>
  <c r="Z58" i="20"/>
  <c r="AA58" i="20"/>
  <c r="B51" i="5" l="1"/>
  <c r="B11" i="5"/>
  <c r="E51" i="5"/>
  <c r="E40" i="5"/>
  <c r="E25" i="5"/>
  <c r="C14" i="5"/>
  <c r="Q81" i="6" l="1"/>
  <c r="Q80" i="6" s="1"/>
  <c r="X81" i="6"/>
  <c r="X80" i="6" s="1"/>
  <c r="W78" i="6"/>
  <c r="V78" i="6"/>
  <c r="V77" i="6" s="1"/>
  <c r="U78" i="6"/>
  <c r="T78" i="6"/>
  <c r="T77" i="6" s="1"/>
  <c r="S78" i="6"/>
  <c r="S77" i="6" s="1"/>
  <c r="R78" i="6"/>
  <c r="R77" i="6" s="1"/>
  <c r="Q78" i="6"/>
  <c r="P78" i="6"/>
  <c r="P77" i="6" s="1"/>
  <c r="O78" i="6"/>
  <c r="N78" i="6"/>
  <c r="N77" i="6" s="1"/>
  <c r="M78" i="6"/>
  <c r="M77" i="6" s="1"/>
  <c r="L78" i="6"/>
  <c r="L77" i="6" s="1"/>
  <c r="K78" i="6"/>
  <c r="K77" i="6" s="1"/>
  <c r="J78" i="6"/>
  <c r="J77" i="6" s="1"/>
  <c r="I78" i="6"/>
  <c r="H78" i="6"/>
  <c r="W77" i="6"/>
  <c r="U77" i="6"/>
  <c r="Q77" i="6"/>
  <c r="O77" i="6"/>
  <c r="I77" i="6"/>
  <c r="H77" i="6"/>
  <c r="Y86" i="6"/>
  <c r="X86" i="6"/>
  <c r="I56" i="2" l="1"/>
  <c r="J56" i="2"/>
  <c r="K56" i="2"/>
  <c r="L56" i="2"/>
  <c r="M56" i="2"/>
  <c r="N56" i="2"/>
  <c r="O56" i="2"/>
  <c r="P56" i="2"/>
  <c r="Q56" i="2"/>
  <c r="R56" i="2"/>
  <c r="S56" i="2"/>
  <c r="T56" i="2"/>
  <c r="U56" i="2"/>
  <c r="V56" i="2"/>
  <c r="W56" i="2"/>
  <c r="X56" i="2"/>
  <c r="Y56" i="2"/>
  <c r="Z56" i="2"/>
  <c r="AA56" i="2"/>
  <c r="AB56" i="2"/>
  <c r="AC56" i="2"/>
  <c r="AD56" i="2"/>
  <c r="AE56" i="2"/>
  <c r="H56" i="2"/>
  <c r="D56" i="2"/>
  <c r="B49" i="2" l="1"/>
  <c r="B48" i="2"/>
  <c r="B55" i="2" s="1"/>
  <c r="B47" i="2" l="1"/>
  <c r="D47" i="2"/>
  <c r="I47" i="2"/>
  <c r="J47" i="2"/>
  <c r="K47" i="2"/>
  <c r="L47" i="2"/>
  <c r="M47" i="2"/>
  <c r="N47" i="2"/>
  <c r="O47" i="2"/>
  <c r="P47" i="2"/>
  <c r="Q47" i="2"/>
  <c r="R47" i="2"/>
  <c r="S47" i="2"/>
  <c r="T47" i="2"/>
  <c r="U47" i="2"/>
  <c r="V47" i="2"/>
  <c r="W47" i="2"/>
  <c r="X47" i="2"/>
  <c r="Y47" i="2"/>
  <c r="Z47" i="2"/>
  <c r="AA47" i="2"/>
  <c r="AB47" i="2"/>
  <c r="AC47" i="2"/>
  <c r="AD47" i="2"/>
  <c r="AE47" i="2"/>
  <c r="H47" i="2"/>
  <c r="E49" i="2"/>
  <c r="F49" i="2" l="1"/>
  <c r="G49" i="2"/>
  <c r="C56" i="2" l="1"/>
  <c r="C47" i="2"/>
  <c r="C49" i="19" l="1"/>
  <c r="C63" i="19"/>
  <c r="X289" i="14" l="1"/>
  <c r="C296" i="14"/>
  <c r="Q294" i="14"/>
  <c r="P294" i="14"/>
  <c r="AE92" i="14"/>
  <c r="AD92" i="14"/>
  <c r="AC92" i="14"/>
  <c r="AB92" i="14"/>
  <c r="AA92" i="14"/>
  <c r="Y92" i="14"/>
  <c r="X92" i="14"/>
  <c r="W92" i="14"/>
  <c r="V92" i="14"/>
  <c r="U92" i="14"/>
  <c r="T92" i="14"/>
  <c r="S92" i="14"/>
  <c r="R92" i="14"/>
  <c r="Q92" i="14"/>
  <c r="P92" i="14"/>
  <c r="O92" i="14"/>
  <c r="N92" i="14"/>
  <c r="M92" i="14"/>
  <c r="L92" i="14"/>
  <c r="K92" i="14"/>
  <c r="J92" i="14"/>
  <c r="I92" i="14"/>
  <c r="H92" i="14"/>
  <c r="C92" i="14"/>
  <c r="E122" i="14"/>
  <c r="B122" i="14"/>
  <c r="C121" i="14"/>
  <c r="Z103" i="14"/>
  <c r="C356" i="14"/>
  <c r="X331" i="14"/>
  <c r="Z332" i="14"/>
  <c r="X332" i="14"/>
  <c r="Z333" i="14"/>
  <c r="X333" i="14"/>
  <c r="V321" i="14"/>
  <c r="C321" i="14" s="1"/>
  <c r="V309" i="14"/>
  <c r="Z297" i="14"/>
  <c r="X297" i="14"/>
  <c r="AD264" i="14"/>
  <c r="V264" i="14"/>
  <c r="V258" i="14"/>
  <c r="D122" i="14" l="1"/>
  <c r="E92" i="14"/>
  <c r="D121" i="14"/>
  <c r="F122" i="14"/>
  <c r="E121" i="14"/>
  <c r="G122" i="14"/>
  <c r="B121" i="14"/>
  <c r="E111" i="22"/>
  <c r="D111" i="22" s="1"/>
  <c r="C111" i="22"/>
  <c r="B111" i="22"/>
  <c r="E110" i="22"/>
  <c r="D110" i="22" s="1"/>
  <c r="C110" i="22"/>
  <c r="B110" i="22"/>
  <c r="G109" i="22"/>
  <c r="F109" i="22"/>
  <c r="E107" i="22"/>
  <c r="C107" i="22"/>
  <c r="B107" i="22"/>
  <c r="AE106" i="22"/>
  <c r="AE105" i="22" s="1"/>
  <c r="AC106" i="22"/>
  <c r="AC105" i="22" s="1"/>
  <c r="Y106" i="22"/>
  <c r="Y105" i="22" s="1"/>
  <c r="X106" i="22"/>
  <c r="X105" i="22" s="1"/>
  <c r="S106" i="22"/>
  <c r="R106" i="22"/>
  <c r="O106" i="22"/>
  <c r="O105" i="22" s="1"/>
  <c r="N106" i="22"/>
  <c r="N105" i="22" s="1"/>
  <c r="K106" i="22"/>
  <c r="K105" i="22" s="1"/>
  <c r="J106" i="22"/>
  <c r="G106" i="22"/>
  <c r="F106" i="22"/>
  <c r="F115" i="22"/>
  <c r="F113" i="22"/>
  <c r="O112" i="22"/>
  <c r="N112" i="22"/>
  <c r="K112" i="22"/>
  <c r="J112" i="22"/>
  <c r="F112" i="22"/>
  <c r="F105" i="22"/>
  <c r="J105" i="22"/>
  <c r="B103" i="22"/>
  <c r="C103" i="22"/>
  <c r="E103" i="22"/>
  <c r="AA75" i="22"/>
  <c r="V75" i="22" s="1"/>
  <c r="Q75" i="22" s="1"/>
  <c r="L75" i="22" s="1"/>
  <c r="G75" i="22" s="1"/>
  <c r="Z75" i="22"/>
  <c r="U75" i="22" s="1"/>
  <c r="P75" i="22" s="1"/>
  <c r="K75" i="22" s="1"/>
  <c r="F75" i="22" s="1"/>
  <c r="Y75" i="22"/>
  <c r="T75" i="22" s="1"/>
  <c r="O75" i="22" s="1"/>
  <c r="J75" i="22" s="1"/>
  <c r="E75" i="22" s="1"/>
  <c r="X75" i="22"/>
  <c r="S75" i="22" s="1"/>
  <c r="N75" i="22" s="1"/>
  <c r="I75" i="22" s="1"/>
  <c r="D75" i="22" s="1"/>
  <c r="R75" i="22"/>
  <c r="H75" i="22"/>
  <c r="C75" i="22" s="1"/>
  <c r="G73" i="22"/>
  <c r="F73" i="22"/>
  <c r="E72" i="22"/>
  <c r="C72" i="22"/>
  <c r="B72" i="22"/>
  <c r="AC70" i="22"/>
  <c r="AA70" i="22"/>
  <c r="X70" i="22"/>
  <c r="R70" i="22"/>
  <c r="O70" i="22"/>
  <c r="N70" i="22"/>
  <c r="K70" i="22"/>
  <c r="J70" i="22"/>
  <c r="G70" i="22"/>
  <c r="F70" i="22"/>
  <c r="AA68" i="22"/>
  <c r="V68" i="22" s="1"/>
  <c r="Q68" i="22" s="1"/>
  <c r="L68" i="22" s="1"/>
  <c r="G68" i="22" s="1"/>
  <c r="Z68" i="22"/>
  <c r="U68" i="22" s="1"/>
  <c r="P68" i="22" s="1"/>
  <c r="K68" i="22" s="1"/>
  <c r="F68" i="22" s="1"/>
  <c r="Y68" i="22"/>
  <c r="T68" i="22" s="1"/>
  <c r="O68" i="22" s="1"/>
  <c r="J68" i="22" s="1"/>
  <c r="E68" i="22" s="1"/>
  <c r="X68" i="22"/>
  <c r="S68" i="22" s="1"/>
  <c r="N68" i="22" s="1"/>
  <c r="I68" i="22" s="1"/>
  <c r="D68" i="22" s="1"/>
  <c r="R68" i="22"/>
  <c r="H68" i="22"/>
  <c r="C68" i="22" s="1"/>
  <c r="G66" i="22"/>
  <c r="F66" i="22"/>
  <c r="E65" i="22"/>
  <c r="C65" i="22"/>
  <c r="B65" i="22"/>
  <c r="AE63" i="22"/>
  <c r="AC63" i="22"/>
  <c r="AA63" i="22"/>
  <c r="X63" i="22"/>
  <c r="R63" i="22"/>
  <c r="O63" i="22"/>
  <c r="N63" i="22"/>
  <c r="K63" i="22"/>
  <c r="J63" i="22"/>
  <c r="G63" i="22"/>
  <c r="F63" i="22"/>
  <c r="X196" i="14"/>
  <c r="Y195" i="14"/>
  <c r="AB195" i="14"/>
  <c r="X195" i="14"/>
  <c r="Y197" i="14"/>
  <c r="X197" i="14"/>
  <c r="AA62" i="22"/>
  <c r="V62" i="22" s="1"/>
  <c r="Q62" i="22" s="1"/>
  <c r="L62" i="22" s="1"/>
  <c r="G62" i="22" s="1"/>
  <c r="Z62" i="22"/>
  <c r="U62" i="22" s="1"/>
  <c r="P62" i="22" s="1"/>
  <c r="K62" i="22" s="1"/>
  <c r="F62" i="22" s="1"/>
  <c r="Y62" i="22"/>
  <c r="T62" i="22" s="1"/>
  <c r="O62" i="22" s="1"/>
  <c r="J62" i="22" s="1"/>
  <c r="E62" i="22" s="1"/>
  <c r="X62" i="22"/>
  <c r="S62" i="22" s="1"/>
  <c r="N62" i="22" s="1"/>
  <c r="I62" i="22" s="1"/>
  <c r="D62" i="22" s="1"/>
  <c r="R62" i="22"/>
  <c r="H62" i="22"/>
  <c r="C62" i="22" s="1"/>
  <c r="E61" i="22"/>
  <c r="C61" i="22"/>
  <c r="B61" i="22"/>
  <c r="G60" i="22"/>
  <c r="F60" i="22"/>
  <c r="E59" i="22"/>
  <c r="C59" i="22"/>
  <c r="B59" i="22"/>
  <c r="E58" i="22"/>
  <c r="D58" i="22" s="1"/>
  <c r="C58" i="22"/>
  <c r="B58" i="22"/>
  <c r="AC57" i="22"/>
  <c r="AA57" i="22"/>
  <c r="X57" i="22"/>
  <c r="R57" i="22"/>
  <c r="O57" i="22"/>
  <c r="N57" i="22"/>
  <c r="K57" i="22"/>
  <c r="J57" i="22"/>
  <c r="G57" i="22"/>
  <c r="F57" i="22"/>
  <c r="X137" i="14"/>
  <c r="G67" i="22" l="1"/>
  <c r="G107" i="22"/>
  <c r="F108" i="22"/>
  <c r="G59" i="22"/>
  <c r="G121" i="14"/>
  <c r="F121" i="14"/>
  <c r="F61" i="22"/>
  <c r="F67" i="22"/>
  <c r="G108" i="22"/>
  <c r="F110" i="22"/>
  <c r="F72" i="22"/>
  <c r="G74" i="22"/>
  <c r="F74" i="22"/>
  <c r="F59" i="22"/>
  <c r="G65" i="22"/>
  <c r="F65" i="22"/>
  <c r="G72" i="22"/>
  <c r="F103" i="22"/>
  <c r="D107" i="22"/>
  <c r="G110" i="22"/>
  <c r="G61" i="22"/>
  <c r="D72" i="22"/>
  <c r="G111" i="22"/>
  <c r="F107" i="22"/>
  <c r="F111" i="22"/>
  <c r="D103" i="22"/>
  <c r="G103" i="22"/>
  <c r="F71" i="22"/>
  <c r="G71" i="22"/>
  <c r="F64" i="22"/>
  <c r="D65" i="22"/>
  <c r="G64" i="22"/>
  <c r="F58" i="22"/>
  <c r="D59" i="22"/>
  <c r="D61" i="22"/>
  <c r="G58" i="22"/>
  <c r="C51" i="20" l="1"/>
  <c r="E63" i="20" l="1"/>
  <c r="E61" i="20" s="1"/>
  <c r="C63" i="20"/>
  <c r="C69" i="20" s="1"/>
  <c r="Y106" i="14"/>
  <c r="AD103" i="14"/>
  <c r="S76" i="14"/>
  <c r="C61" i="20" l="1"/>
  <c r="C60" i="20" s="1"/>
  <c r="G61" i="20"/>
  <c r="G63" i="20"/>
  <c r="B95" i="14"/>
  <c r="D63" i="20"/>
  <c r="D61" i="20" s="1"/>
  <c r="B70" i="14"/>
  <c r="Y70" i="14"/>
  <c r="E34" i="5" l="1"/>
  <c r="C34" i="5"/>
  <c r="D34" i="5" s="1"/>
  <c r="E31" i="5"/>
  <c r="D28" i="5"/>
  <c r="D11" i="5"/>
  <c r="E47" i="11" l="1"/>
  <c r="D47" i="11" s="1"/>
  <c r="Y22" i="11"/>
  <c r="X22" i="11"/>
  <c r="Y21" i="11"/>
  <c r="X21" i="11"/>
  <c r="Y20" i="11"/>
  <c r="X20" i="11"/>
  <c r="Y19" i="11"/>
  <c r="X19" i="11"/>
  <c r="C33" i="11"/>
  <c r="X84" i="11"/>
  <c r="V84" i="11"/>
  <c r="Y84" i="11"/>
  <c r="Y96" i="11"/>
  <c r="Y90" i="11"/>
  <c r="Y64" i="11"/>
  <c r="D81" i="11" l="1"/>
  <c r="E117" i="6" l="1"/>
  <c r="E11" i="6"/>
  <c r="V116" i="6"/>
  <c r="C50" i="18" l="1"/>
  <c r="C51" i="18"/>
  <c r="C106" i="18"/>
  <c r="C105" i="18"/>
  <c r="C107" i="18"/>
  <c r="C52" i="18"/>
  <c r="I58" i="8" l="1"/>
  <c r="C117" i="6"/>
  <c r="C125" i="6" s="1"/>
  <c r="C258" i="8" l="1"/>
  <c r="E195" i="14"/>
  <c r="D195" i="14" s="1"/>
  <c r="E98" i="11" l="1"/>
  <c r="E92" i="11"/>
  <c r="D93" i="11"/>
  <c r="E33" i="11"/>
  <c r="E30" i="11" s="1"/>
  <c r="E29" i="11" s="1"/>
  <c r="F99" i="11"/>
  <c r="F96" i="11" s="1"/>
  <c r="P96" i="11"/>
  <c r="V96" i="11"/>
  <c r="B86" i="11"/>
  <c r="W80" i="11"/>
  <c r="W82" i="11"/>
  <c r="W81" i="11"/>
  <c r="V102" i="11"/>
  <c r="E86" i="11"/>
  <c r="E84" i="11" s="1"/>
  <c r="C86" i="11"/>
  <c r="C92" i="11"/>
  <c r="C98" i="11"/>
  <c r="B92" i="11"/>
  <c r="W96" i="11"/>
  <c r="W70" i="11"/>
  <c r="W64" i="11"/>
  <c r="B19" i="11"/>
  <c r="W15" i="11"/>
  <c r="W12" i="11" s="1"/>
  <c r="W11" i="11" s="1"/>
  <c r="V15" i="11"/>
  <c r="W29" i="11"/>
  <c r="V29" i="11"/>
  <c r="B33" i="11"/>
  <c r="B30" i="11" s="1"/>
  <c r="B29" i="11" s="1"/>
  <c r="V44" i="11"/>
  <c r="W44" i="11"/>
  <c r="W43" i="11" s="1"/>
  <c r="D33" i="11" l="1"/>
  <c r="D30" i="11" s="1"/>
  <c r="D29" i="11" s="1"/>
  <c r="E58" i="11"/>
  <c r="E64" i="11"/>
  <c r="B116" i="8"/>
  <c r="B3" i="8" s="1"/>
  <c r="E258" i="14" l="1"/>
  <c r="C210" i="14"/>
  <c r="E197" i="14"/>
  <c r="D197" i="14" s="1"/>
  <c r="B149" i="14"/>
  <c r="V151" i="14"/>
  <c r="U157" i="14"/>
  <c r="E157" i="14" s="1"/>
  <c r="V157" i="14"/>
  <c r="E117" i="14"/>
  <c r="D117" i="14" s="1"/>
  <c r="T111" i="14"/>
  <c r="D107" i="14"/>
  <c r="B151" i="14" l="1"/>
  <c r="C151" i="14"/>
  <c r="E70" i="14"/>
  <c r="C58" i="14"/>
  <c r="AD46" i="14"/>
  <c r="AD40" i="14"/>
  <c r="C41" i="14"/>
  <c r="E21" i="14"/>
  <c r="D21" i="14" s="1"/>
  <c r="R21" i="14"/>
  <c r="C21" i="14" s="1"/>
  <c r="E35" i="8" l="1"/>
  <c r="D35" i="8" s="1"/>
  <c r="C35" i="8"/>
  <c r="B35" i="8"/>
  <c r="E34" i="8"/>
  <c r="B34" i="8"/>
  <c r="E33" i="8"/>
  <c r="E32" i="8"/>
  <c r="D32" i="8" s="1"/>
  <c r="C32" i="8"/>
  <c r="B32" i="8"/>
  <c r="AE31" i="8"/>
  <c r="AD31" i="8"/>
  <c r="AC31" i="8"/>
  <c r="AB31" i="8"/>
  <c r="AA31" i="8"/>
  <c r="Z31" i="8"/>
  <c r="Y31" i="8"/>
  <c r="X31" i="8"/>
  <c r="W31" i="8"/>
  <c r="V31" i="8"/>
  <c r="U31" i="8"/>
  <c r="T31" i="8"/>
  <c r="S31" i="8"/>
  <c r="R31" i="8"/>
  <c r="Q31" i="8"/>
  <c r="P31" i="8"/>
  <c r="O31" i="8"/>
  <c r="N31" i="8"/>
  <c r="M31" i="8"/>
  <c r="L31" i="8"/>
  <c r="K31" i="8"/>
  <c r="J31" i="8"/>
  <c r="I31" i="8"/>
  <c r="H31" i="8"/>
  <c r="E28" i="8"/>
  <c r="D28" i="8" s="1"/>
  <c r="C28" i="8"/>
  <c r="B28" i="8"/>
  <c r="E27" i="8"/>
  <c r="B27" i="8"/>
  <c r="E26" i="8"/>
  <c r="E25" i="8"/>
  <c r="D25" i="8" s="1"/>
  <c r="C25" i="8"/>
  <c r="B25" i="8"/>
  <c r="AE24" i="8"/>
  <c r="AD24" i="8"/>
  <c r="AC24" i="8"/>
  <c r="AB24" i="8"/>
  <c r="AA24" i="8"/>
  <c r="Z24" i="8"/>
  <c r="Y24" i="8"/>
  <c r="X24" i="8"/>
  <c r="W24" i="8"/>
  <c r="V24" i="8"/>
  <c r="U24" i="8"/>
  <c r="T24" i="8"/>
  <c r="S24" i="8"/>
  <c r="R24" i="8"/>
  <c r="Q24" i="8"/>
  <c r="P24" i="8"/>
  <c r="O24" i="8"/>
  <c r="N24" i="8"/>
  <c r="M24" i="8"/>
  <c r="L24" i="8"/>
  <c r="K24" i="8"/>
  <c r="J24" i="8"/>
  <c r="I24" i="8"/>
  <c r="H24" i="8"/>
  <c r="F33" i="8" l="1"/>
  <c r="D34" i="8"/>
  <c r="F34" i="8"/>
  <c r="D26" i="8"/>
  <c r="D27" i="8"/>
  <c r="F27" i="8"/>
  <c r="E31" i="8"/>
  <c r="G26" i="8"/>
  <c r="G25" i="8"/>
  <c r="F26" i="8"/>
  <c r="D33" i="8"/>
  <c r="D31" i="8" s="1"/>
  <c r="G34" i="8"/>
  <c r="E24" i="8"/>
  <c r="G27" i="8"/>
  <c r="G32" i="8"/>
  <c r="G33" i="8"/>
  <c r="F25" i="8"/>
  <c r="F32" i="8"/>
  <c r="B24" i="8"/>
  <c r="B31" i="8"/>
  <c r="F35" i="8"/>
  <c r="C24" i="8"/>
  <c r="G28" i="8"/>
  <c r="C31" i="8"/>
  <c r="G35" i="8"/>
  <c r="F28" i="8"/>
  <c r="D24" i="8" l="1"/>
  <c r="G31" i="8"/>
  <c r="G24" i="8"/>
  <c r="F31" i="8"/>
  <c r="F24" i="8"/>
  <c r="I10" i="5" l="1"/>
  <c r="I9" i="5" s="1"/>
  <c r="J10" i="5"/>
  <c r="J9" i="5" s="1"/>
  <c r="K10" i="5"/>
  <c r="K9" i="5" s="1"/>
  <c r="L10" i="5"/>
  <c r="L9" i="5" s="1"/>
  <c r="M10" i="5"/>
  <c r="M9" i="5" s="1"/>
  <c r="N10" i="5"/>
  <c r="N9" i="5" s="1"/>
  <c r="O10" i="5"/>
  <c r="O9" i="5" s="1"/>
  <c r="P10" i="5"/>
  <c r="P9" i="5" s="1"/>
  <c r="Q10" i="5"/>
  <c r="Q9" i="5" s="1"/>
  <c r="R10" i="5"/>
  <c r="R9" i="5" s="1"/>
  <c r="S10" i="5"/>
  <c r="S9" i="5" s="1"/>
  <c r="T10" i="5"/>
  <c r="T9" i="5" s="1"/>
  <c r="U10" i="5"/>
  <c r="U9" i="5" s="1"/>
  <c r="V10" i="5"/>
  <c r="V9" i="5" s="1"/>
  <c r="W10" i="5"/>
  <c r="W9" i="5" s="1"/>
  <c r="X10" i="5"/>
  <c r="X9" i="5" s="1"/>
  <c r="Y10" i="5"/>
  <c r="Y9" i="5" s="1"/>
  <c r="Z10" i="5"/>
  <c r="Z9" i="5" s="1"/>
  <c r="AA10" i="5"/>
  <c r="AA9" i="5" s="1"/>
  <c r="AB10" i="5"/>
  <c r="AB9" i="5" s="1"/>
  <c r="AC10" i="5"/>
  <c r="AC9" i="5" s="1"/>
  <c r="AD10" i="5"/>
  <c r="AD9" i="5" s="1"/>
  <c r="AE10" i="5"/>
  <c r="AE9" i="5" s="1"/>
  <c r="H10" i="5"/>
  <c r="H9" i="5" s="1"/>
  <c r="I33" i="5"/>
  <c r="J33" i="5"/>
  <c r="K33" i="5"/>
  <c r="L33" i="5"/>
  <c r="M33" i="5"/>
  <c r="N33" i="5"/>
  <c r="O33" i="5"/>
  <c r="P33" i="5"/>
  <c r="Q33" i="5"/>
  <c r="R33" i="5"/>
  <c r="S33" i="5"/>
  <c r="T33" i="5"/>
  <c r="U33" i="5"/>
  <c r="V33" i="5"/>
  <c r="W33" i="5"/>
  <c r="X33" i="5"/>
  <c r="Y33" i="5"/>
  <c r="Z33" i="5"/>
  <c r="AA33" i="5"/>
  <c r="AB33" i="5"/>
  <c r="AC33" i="5"/>
  <c r="AD33" i="5"/>
  <c r="AE33" i="5"/>
  <c r="H33" i="5"/>
  <c r="D61" i="5"/>
  <c r="H14" i="5"/>
  <c r="I14" i="5"/>
  <c r="J14" i="5"/>
  <c r="K14" i="5"/>
  <c r="L14" i="5"/>
  <c r="M14" i="5"/>
  <c r="N14" i="5"/>
  <c r="O14" i="5"/>
  <c r="P14" i="5"/>
  <c r="Q14" i="5"/>
  <c r="R14" i="5"/>
  <c r="S14" i="5"/>
  <c r="T14" i="5"/>
  <c r="U14" i="5"/>
  <c r="V14" i="5"/>
  <c r="W14" i="5"/>
  <c r="X14" i="5"/>
  <c r="Y14" i="5"/>
  <c r="Z14" i="5"/>
  <c r="AA14" i="5"/>
  <c r="AB14" i="5"/>
  <c r="AC14" i="5"/>
  <c r="AD14" i="5"/>
  <c r="AE14" i="5"/>
  <c r="B25" i="5" l="1"/>
  <c r="D28" i="3" l="1"/>
  <c r="D36" i="3" s="1"/>
  <c r="D40" i="3" s="1"/>
  <c r="B24" i="3"/>
  <c r="E21" i="3"/>
  <c r="C21" i="3"/>
  <c r="C20" i="3" s="1"/>
  <c r="C18" i="3"/>
  <c r="E18" i="3"/>
  <c r="D18" i="3" s="1"/>
  <c r="D17" i="3" s="1"/>
  <c r="E15" i="3"/>
  <c r="E14" i="3" s="1"/>
  <c r="B14" i="3"/>
  <c r="D15" i="3" l="1"/>
  <c r="D32" i="3"/>
  <c r="C27" i="3"/>
  <c r="E28" i="3"/>
  <c r="E36" i="3" s="1"/>
  <c r="E40" i="3" s="1"/>
  <c r="E23" i="3"/>
  <c r="U23" i="3"/>
  <c r="T11" i="3"/>
  <c r="E32" i="3" l="1"/>
  <c r="C26" i="3"/>
  <c r="C31" i="3"/>
  <c r="C35" i="3"/>
  <c r="C34" i="3" s="1"/>
  <c r="G23" i="3"/>
  <c r="D14" i="3"/>
  <c r="C11" i="3"/>
  <c r="N14" i="3"/>
  <c r="N12" i="3" s="1"/>
  <c r="C14" i="3"/>
  <c r="G27" i="19" l="1"/>
  <c r="P81" i="11"/>
  <c r="H81" i="11"/>
  <c r="Q80" i="11"/>
  <c r="X15" i="11"/>
  <c r="E80" i="11" l="1"/>
  <c r="C30" i="11"/>
  <c r="C29" i="11" s="1"/>
  <c r="E90" i="11"/>
  <c r="E103" i="11" l="1"/>
  <c r="E108" i="11"/>
  <c r="C76" i="18"/>
  <c r="C77" i="18"/>
  <c r="C75" i="18"/>
  <c r="R34" i="22" l="1"/>
  <c r="AA33" i="22"/>
  <c r="V33" i="22" s="1"/>
  <c r="Q33" i="22" s="1"/>
  <c r="L33" i="22" s="1"/>
  <c r="G33" i="22" s="1"/>
  <c r="AA32" i="22"/>
  <c r="V32" i="22" s="1"/>
  <c r="Q32" i="22" s="1"/>
  <c r="L32" i="22" s="1"/>
  <c r="G32" i="22" s="1"/>
  <c r="B32" i="22" s="1"/>
  <c r="AA31" i="22"/>
  <c r="V31" i="22" s="1"/>
  <c r="Q31" i="22" s="1"/>
  <c r="L31" i="22" s="1"/>
  <c r="AA30" i="22"/>
  <c r="V30" i="22"/>
  <c r="Q30" i="22" s="1"/>
  <c r="L30" i="22" s="1"/>
  <c r="G30" i="22" s="1"/>
  <c r="B30" i="22" s="1"/>
  <c r="AA29" i="22"/>
  <c r="V29" i="22" s="1"/>
  <c r="Q29" i="22" s="1"/>
  <c r="L29" i="22" s="1"/>
  <c r="G29" i="22" s="1"/>
  <c r="B29" i="22" s="1"/>
  <c r="AA28" i="22"/>
  <c r="V28" i="22" s="1"/>
  <c r="Q28" i="22" s="1"/>
  <c r="L28" i="22" s="1"/>
  <c r="P33" i="22"/>
  <c r="K33" i="22" s="1"/>
  <c r="F33" i="22" s="1"/>
  <c r="AE32" i="22"/>
  <c r="Z32" i="22" s="1"/>
  <c r="U32" i="22" s="1"/>
  <c r="P32" i="22" s="1"/>
  <c r="K32" i="22" s="1"/>
  <c r="F32" i="22" s="1"/>
  <c r="AE30" i="22"/>
  <c r="Z30" i="22" s="1"/>
  <c r="U30" i="22" s="1"/>
  <c r="P30" i="22" s="1"/>
  <c r="K30" i="22" s="1"/>
  <c r="F30" i="22" s="1"/>
  <c r="AE29" i="22"/>
  <c r="Z29" i="22" s="1"/>
  <c r="U29" i="22" s="1"/>
  <c r="P29" i="22" s="1"/>
  <c r="K29" i="22" s="1"/>
  <c r="F29" i="22" s="1"/>
  <c r="P28" i="22"/>
  <c r="K28" i="22" s="1"/>
  <c r="AC28" i="22"/>
  <c r="X28" i="22" s="1"/>
  <c r="S28" i="22" s="1"/>
  <c r="N28" i="22" s="1"/>
  <c r="I28" i="22" s="1"/>
  <c r="AB28" i="22"/>
  <c r="W28" i="22" s="1"/>
  <c r="R28" i="22" s="1"/>
  <c r="M28" i="22" s="1"/>
  <c r="H28" i="22" s="1"/>
  <c r="AB29" i="22"/>
  <c r="W29" i="22" s="1"/>
  <c r="R29" i="22" s="1"/>
  <c r="M29" i="22" s="1"/>
  <c r="H29" i="22" s="1"/>
  <c r="C29" i="22" s="1"/>
  <c r="AB31" i="22"/>
  <c r="W31" i="22" s="1"/>
  <c r="R31" i="22" s="1"/>
  <c r="M31" i="22" s="1"/>
  <c r="H31" i="22" s="1"/>
  <c r="AB30" i="22"/>
  <c r="W30" i="22" s="1"/>
  <c r="R30" i="22" s="1"/>
  <c r="M30" i="22" s="1"/>
  <c r="H30" i="22" s="1"/>
  <c r="C30" i="22" s="1"/>
  <c r="AB32" i="22"/>
  <c r="W32" i="22" s="1"/>
  <c r="R32" i="22" s="1"/>
  <c r="M32" i="22" s="1"/>
  <c r="H32" i="22" s="1"/>
  <c r="C32" i="22" s="1"/>
  <c r="AB33" i="22"/>
  <c r="W33" i="22" s="1"/>
  <c r="R33" i="22" s="1"/>
  <c r="M33" i="22" s="1"/>
  <c r="H33" i="22" s="1"/>
  <c r="AC33" i="22"/>
  <c r="X33" i="22" s="1"/>
  <c r="S33" i="22" s="1"/>
  <c r="N33" i="22" s="1"/>
  <c r="I33" i="22" s="1"/>
  <c r="AC32" i="22"/>
  <c r="X32" i="22" s="1"/>
  <c r="S32" i="22" s="1"/>
  <c r="N32" i="22" s="1"/>
  <c r="I32" i="22" s="1"/>
  <c r="D32" i="22" s="1"/>
  <c r="AC31" i="22"/>
  <c r="X31" i="22" s="1"/>
  <c r="S31" i="22" s="1"/>
  <c r="N31" i="22" s="1"/>
  <c r="I31" i="22" s="1"/>
  <c r="AC30" i="22"/>
  <c r="X30" i="22" s="1"/>
  <c r="S30" i="22" s="1"/>
  <c r="N30" i="22" s="1"/>
  <c r="I30" i="22" s="1"/>
  <c r="D30" i="22" s="1"/>
  <c r="AC29" i="22"/>
  <c r="X29" i="22" s="1"/>
  <c r="S29" i="22" s="1"/>
  <c r="N29" i="22" s="1"/>
  <c r="I29" i="22" s="1"/>
  <c r="D29" i="22" s="1"/>
  <c r="AD29" i="22"/>
  <c r="Y29" i="22" s="1"/>
  <c r="T29" i="22" s="1"/>
  <c r="O29" i="22" s="1"/>
  <c r="J29" i="22" s="1"/>
  <c r="E29" i="22" s="1"/>
  <c r="AD30" i="22"/>
  <c r="Y30" i="22" s="1"/>
  <c r="T30" i="22" s="1"/>
  <c r="O30" i="22" s="1"/>
  <c r="J30" i="22" s="1"/>
  <c r="E30" i="22" s="1"/>
  <c r="AD32" i="22"/>
  <c r="Y32" i="22" s="1"/>
  <c r="T32" i="22" s="1"/>
  <c r="O32" i="22" s="1"/>
  <c r="J32" i="22" s="1"/>
  <c r="E32" i="22" s="1"/>
  <c r="J28" i="22"/>
  <c r="J33" i="22"/>
  <c r="AC83" i="22"/>
  <c r="AD83" i="22"/>
  <c r="Y83" i="22" s="1"/>
  <c r="T83" i="22" s="1"/>
  <c r="O83" i="22" s="1"/>
  <c r="J83" i="22" s="1"/>
  <c r="AE83" i="22"/>
  <c r="X83" i="22"/>
  <c r="S83" i="22" s="1"/>
  <c r="N83" i="22" s="1"/>
  <c r="I83" i="22" s="1"/>
  <c r="R83" i="22"/>
  <c r="M83" i="22" s="1"/>
  <c r="H83" i="22" s="1"/>
  <c r="R55" i="22"/>
  <c r="H55" i="22" s="1"/>
  <c r="AA55" i="22"/>
  <c r="V55" i="22" s="1"/>
  <c r="Q55" i="22" s="1"/>
  <c r="L55" i="22" s="1"/>
  <c r="G55" i="22" s="1"/>
  <c r="Z55" i="22"/>
  <c r="U55" i="22" s="1"/>
  <c r="P55" i="22" s="1"/>
  <c r="K55" i="22" s="1"/>
  <c r="F55" i="22" s="1"/>
  <c r="Y55" i="22"/>
  <c r="T55" i="22" s="1"/>
  <c r="O55" i="22" s="1"/>
  <c r="J55" i="22" s="1"/>
  <c r="E55" i="22" s="1"/>
  <c r="X55" i="22"/>
  <c r="S55" i="22" s="1"/>
  <c r="N55" i="22" s="1"/>
  <c r="I55" i="22" s="1"/>
  <c r="D55" i="22" s="1"/>
  <c r="B34" i="4" l="1"/>
  <c r="S33" i="4"/>
  <c r="S32" i="4" s="1"/>
  <c r="T33" i="4"/>
  <c r="T32" i="4" s="1"/>
  <c r="E34" i="4"/>
  <c r="U33" i="4"/>
  <c r="U32" i="4" s="1"/>
  <c r="U13" i="4"/>
  <c r="C13" i="23" l="1"/>
  <c r="B13" i="23"/>
  <c r="B12" i="23"/>
  <c r="C9" i="23"/>
  <c r="AE13" i="23"/>
  <c r="AD13" i="23"/>
  <c r="AC13" i="23"/>
  <c r="AB13" i="23"/>
  <c r="AA13" i="23"/>
  <c r="Z13" i="23"/>
  <c r="Y13" i="23"/>
  <c r="X13" i="23"/>
  <c r="W13" i="23"/>
  <c r="V13" i="23"/>
  <c r="U13" i="23"/>
  <c r="T13" i="23"/>
  <c r="S13" i="23"/>
  <c r="R13" i="23"/>
  <c r="Q13" i="23"/>
  <c r="P13" i="23"/>
  <c r="O13" i="23"/>
  <c r="N13" i="23"/>
  <c r="M13" i="23"/>
  <c r="L13" i="23"/>
  <c r="K13" i="23"/>
  <c r="J13" i="23"/>
  <c r="I13" i="23"/>
  <c r="H13" i="23"/>
  <c r="AE12" i="23"/>
  <c r="AD12" i="23"/>
  <c r="AC12" i="23"/>
  <c r="AB12" i="23"/>
  <c r="AA12" i="23"/>
  <c r="Z12" i="23"/>
  <c r="Y12" i="23"/>
  <c r="X12" i="23"/>
  <c r="W12" i="23"/>
  <c r="V12" i="23"/>
  <c r="U12" i="23"/>
  <c r="T12" i="23"/>
  <c r="S12" i="23"/>
  <c r="R12" i="23"/>
  <c r="Q12" i="23"/>
  <c r="P12" i="23"/>
  <c r="O12" i="23"/>
  <c r="N12" i="23"/>
  <c r="M12" i="23"/>
  <c r="L12" i="23"/>
  <c r="K12" i="23"/>
  <c r="J12" i="23"/>
  <c r="I12" i="23"/>
  <c r="H12" i="23"/>
  <c r="E12" i="23"/>
  <c r="AE10" i="23"/>
  <c r="AD10" i="23"/>
  <c r="AC10" i="23"/>
  <c r="AB10" i="23"/>
  <c r="AA10" i="23"/>
  <c r="Z10" i="23"/>
  <c r="Y10" i="23"/>
  <c r="X10" i="23"/>
  <c r="W10" i="23"/>
  <c r="V10" i="23"/>
  <c r="U10" i="23"/>
  <c r="T10" i="23"/>
  <c r="S10" i="23"/>
  <c r="R10" i="23"/>
  <c r="Q10" i="23"/>
  <c r="P10" i="23"/>
  <c r="O10" i="23"/>
  <c r="N10" i="23"/>
  <c r="M10" i="23"/>
  <c r="L10" i="23"/>
  <c r="K10" i="23"/>
  <c r="J10" i="23"/>
  <c r="I10" i="23"/>
  <c r="H10" i="23"/>
  <c r="AE9" i="23"/>
  <c r="AD9" i="23"/>
  <c r="AC9" i="23"/>
  <c r="AB9" i="23"/>
  <c r="AA9" i="23"/>
  <c r="Z9" i="23"/>
  <c r="Y9" i="23"/>
  <c r="X9" i="23"/>
  <c r="W9" i="23"/>
  <c r="V9" i="23"/>
  <c r="U9" i="23"/>
  <c r="T9" i="23"/>
  <c r="S9" i="23"/>
  <c r="R9" i="23"/>
  <c r="Q9" i="23"/>
  <c r="P9" i="23"/>
  <c r="O9" i="23"/>
  <c r="N9" i="23"/>
  <c r="M9" i="23"/>
  <c r="L9" i="23"/>
  <c r="K9" i="23"/>
  <c r="J9" i="23"/>
  <c r="I9" i="23"/>
  <c r="H9" i="23"/>
  <c r="W11" i="23" l="1"/>
  <c r="AA11" i="23"/>
  <c r="AE11" i="23"/>
  <c r="E10" i="23"/>
  <c r="F10" i="23" s="1"/>
  <c r="T11" i="23"/>
  <c r="X11" i="23"/>
  <c r="AB11" i="23"/>
  <c r="C12" i="23"/>
  <c r="D12" i="23"/>
  <c r="F12" i="23"/>
  <c r="V11" i="23"/>
  <c r="AD11" i="23"/>
  <c r="C10" i="23"/>
  <c r="U11" i="23"/>
  <c r="Y11" i="23"/>
  <c r="B9" i="23"/>
  <c r="Z11" i="23"/>
  <c r="E9" i="23"/>
  <c r="E13" i="23"/>
  <c r="B63" i="20"/>
  <c r="X61" i="20"/>
  <c r="X60" i="20"/>
  <c r="AD46" i="20"/>
  <c r="T58" i="20"/>
  <c r="B57" i="20"/>
  <c r="D56" i="20"/>
  <c r="B56" i="20"/>
  <c r="AE55" i="20"/>
  <c r="AC55" i="20"/>
  <c r="AB55" i="20"/>
  <c r="AA55" i="20"/>
  <c r="Z55" i="20"/>
  <c r="Y55" i="20"/>
  <c r="X55" i="20"/>
  <c r="W55" i="20"/>
  <c r="V55" i="20"/>
  <c r="U55" i="20"/>
  <c r="T55" i="20"/>
  <c r="S55" i="20"/>
  <c r="R55" i="20"/>
  <c r="Q55" i="20"/>
  <c r="P55" i="20"/>
  <c r="O55" i="20"/>
  <c r="N55" i="20"/>
  <c r="M55" i="20"/>
  <c r="L55" i="20"/>
  <c r="K55" i="20"/>
  <c r="J55" i="20"/>
  <c r="I55" i="20"/>
  <c r="H55" i="20"/>
  <c r="AB54" i="20"/>
  <c r="T54" i="20"/>
  <c r="D53" i="20"/>
  <c r="B53" i="20"/>
  <c r="E52" i="20"/>
  <c r="C52" i="20"/>
  <c r="B52" i="20"/>
  <c r="E51" i="20"/>
  <c r="B51" i="20"/>
  <c r="E50" i="20"/>
  <c r="C50" i="20"/>
  <c r="B50" i="20"/>
  <c r="AE49" i="20"/>
  <c r="AD49" i="20"/>
  <c r="AC49" i="20"/>
  <c r="AB49" i="20"/>
  <c r="AA49" i="20"/>
  <c r="Z49" i="20"/>
  <c r="Y49" i="20"/>
  <c r="X49" i="20"/>
  <c r="W49" i="20"/>
  <c r="V49" i="20"/>
  <c r="U49" i="20"/>
  <c r="T49" i="20"/>
  <c r="S49" i="20"/>
  <c r="R49" i="20"/>
  <c r="Q49" i="20"/>
  <c r="P49" i="20"/>
  <c r="O49" i="20"/>
  <c r="N49" i="20"/>
  <c r="M49" i="20"/>
  <c r="L49" i="20"/>
  <c r="K49" i="20"/>
  <c r="J49" i="20"/>
  <c r="I49" i="20"/>
  <c r="H49" i="20"/>
  <c r="AE47" i="20"/>
  <c r="AD47" i="20"/>
  <c r="AC47" i="20"/>
  <c r="AC71" i="20" s="1"/>
  <c r="AB47" i="20"/>
  <c r="AB71" i="20" s="1"/>
  <c r="AA47" i="20"/>
  <c r="AA71" i="20" s="1"/>
  <c r="Z47" i="20"/>
  <c r="Z71" i="20" s="1"/>
  <c r="Y47" i="20"/>
  <c r="Y71" i="20" s="1"/>
  <c r="X47" i="20"/>
  <c r="X71" i="20" s="1"/>
  <c r="W47" i="20"/>
  <c r="W71" i="20" s="1"/>
  <c r="V47" i="20"/>
  <c r="V71" i="20" s="1"/>
  <c r="U47" i="20"/>
  <c r="U71" i="20" s="1"/>
  <c r="T47" i="20"/>
  <c r="T71" i="20" s="1"/>
  <c r="S47" i="20"/>
  <c r="S71" i="20" s="1"/>
  <c r="R47" i="20"/>
  <c r="R71" i="20" s="1"/>
  <c r="Q47" i="20"/>
  <c r="Q71" i="20" s="1"/>
  <c r="P47" i="20"/>
  <c r="P71" i="20" s="1"/>
  <c r="O47" i="20"/>
  <c r="O71" i="20" s="1"/>
  <c r="N47" i="20"/>
  <c r="N71" i="20" s="1"/>
  <c r="M47" i="20"/>
  <c r="M71" i="20" s="1"/>
  <c r="L47" i="20"/>
  <c r="L71" i="20" s="1"/>
  <c r="K47" i="20"/>
  <c r="K71" i="20" s="1"/>
  <c r="J47" i="20"/>
  <c r="J71" i="20" s="1"/>
  <c r="I47" i="20"/>
  <c r="I71" i="20" s="1"/>
  <c r="H47" i="20"/>
  <c r="AE70" i="20"/>
  <c r="AC46" i="20"/>
  <c r="AC70" i="20" s="1"/>
  <c r="AB46" i="20"/>
  <c r="AB70" i="20" s="1"/>
  <c r="AA46" i="20"/>
  <c r="AA70" i="20" s="1"/>
  <c r="Z46" i="20"/>
  <c r="Z70" i="20" s="1"/>
  <c r="Y46" i="20"/>
  <c r="Y70" i="20" s="1"/>
  <c r="X46" i="20"/>
  <c r="X70" i="20" s="1"/>
  <c r="W46" i="20"/>
  <c r="W70" i="20" s="1"/>
  <c r="V46" i="20"/>
  <c r="V70" i="20" s="1"/>
  <c r="U46" i="20"/>
  <c r="U70" i="20" s="1"/>
  <c r="S46" i="20"/>
  <c r="S70" i="20" s="1"/>
  <c r="R46" i="20"/>
  <c r="R70" i="20" s="1"/>
  <c r="Q46" i="20"/>
  <c r="Q70" i="20" s="1"/>
  <c r="P46" i="20"/>
  <c r="P70" i="20" s="1"/>
  <c r="O46" i="20"/>
  <c r="O70" i="20" s="1"/>
  <c r="N46" i="20"/>
  <c r="N70" i="20" s="1"/>
  <c r="M46" i="20"/>
  <c r="M70" i="20" s="1"/>
  <c r="L46" i="20"/>
  <c r="L70" i="20" s="1"/>
  <c r="K46" i="20"/>
  <c r="K70" i="20" s="1"/>
  <c r="J46" i="20"/>
  <c r="I46" i="20"/>
  <c r="I70" i="20" s="1"/>
  <c r="H46" i="20"/>
  <c r="AE69" i="20"/>
  <c r="AD45" i="20"/>
  <c r="AC45" i="20"/>
  <c r="AC69" i="20" s="1"/>
  <c r="AB45" i="20"/>
  <c r="AB69" i="20" s="1"/>
  <c r="AA45" i="20"/>
  <c r="AA69" i="20" s="1"/>
  <c r="Z45" i="20"/>
  <c r="Z69" i="20" s="1"/>
  <c r="Y45" i="20"/>
  <c r="Y69" i="20" s="1"/>
  <c r="X69" i="20"/>
  <c r="W45" i="20"/>
  <c r="W69" i="20" s="1"/>
  <c r="V45" i="20"/>
  <c r="V69" i="20" s="1"/>
  <c r="U45" i="20"/>
  <c r="U69" i="20" s="1"/>
  <c r="T45" i="20"/>
  <c r="T69" i="20" s="1"/>
  <c r="S45" i="20"/>
  <c r="S69" i="20" s="1"/>
  <c r="R45" i="20"/>
  <c r="R69" i="20" s="1"/>
  <c r="Q45" i="20"/>
  <c r="Q69" i="20" s="1"/>
  <c r="P45" i="20"/>
  <c r="P69" i="20" s="1"/>
  <c r="O45" i="20"/>
  <c r="O69" i="20" s="1"/>
  <c r="N45" i="20"/>
  <c r="N69" i="20" s="1"/>
  <c r="M45" i="20"/>
  <c r="M69" i="20" s="1"/>
  <c r="L45" i="20"/>
  <c r="L69" i="20" s="1"/>
  <c r="K45" i="20"/>
  <c r="K69" i="20" s="1"/>
  <c r="J45" i="20"/>
  <c r="J69" i="20" s="1"/>
  <c r="I45" i="20"/>
  <c r="E45" i="20" s="1"/>
  <c r="H45" i="20"/>
  <c r="AD44" i="20"/>
  <c r="AD68" i="20" s="1"/>
  <c r="AD67" i="20" s="1"/>
  <c r="AC44" i="20"/>
  <c r="AB44" i="20"/>
  <c r="AA44" i="20"/>
  <c r="Z44" i="20"/>
  <c r="Y44" i="20"/>
  <c r="X44" i="20"/>
  <c r="W44" i="20"/>
  <c r="V44" i="20"/>
  <c r="V68" i="20" s="1"/>
  <c r="U44" i="20"/>
  <c r="U43" i="20" s="1"/>
  <c r="T44" i="20"/>
  <c r="S44" i="20"/>
  <c r="R44" i="20"/>
  <c r="R68" i="20" s="1"/>
  <c r="Q44" i="20"/>
  <c r="P44" i="20"/>
  <c r="O44" i="20"/>
  <c r="N44" i="20"/>
  <c r="N68" i="20" s="1"/>
  <c r="M44" i="20"/>
  <c r="M43" i="20" s="1"/>
  <c r="L44" i="20"/>
  <c r="K44" i="20"/>
  <c r="J44" i="20"/>
  <c r="J68" i="20" s="1"/>
  <c r="I44" i="20"/>
  <c r="H44" i="20"/>
  <c r="D39" i="20"/>
  <c r="E33" i="20"/>
  <c r="C33" i="20"/>
  <c r="B33" i="20"/>
  <c r="E32" i="20"/>
  <c r="D32" i="20" s="1"/>
  <c r="C32" i="20"/>
  <c r="B32" i="20"/>
  <c r="E31" i="20"/>
  <c r="D31" i="20" s="1"/>
  <c r="C31" i="20"/>
  <c r="B31" i="20"/>
  <c r="B25" i="20" s="1"/>
  <c r="E30" i="20"/>
  <c r="D30" i="20" s="1"/>
  <c r="C30" i="20"/>
  <c r="B30" i="20"/>
  <c r="AC29" i="20"/>
  <c r="AB29" i="20"/>
  <c r="AA29" i="20"/>
  <c r="Z29" i="20"/>
  <c r="Y29" i="20"/>
  <c r="X29" i="20"/>
  <c r="W29" i="20"/>
  <c r="V29" i="20"/>
  <c r="U29" i="20"/>
  <c r="T29" i="20"/>
  <c r="S29" i="20"/>
  <c r="R29" i="20"/>
  <c r="Q29" i="20"/>
  <c r="P29" i="20"/>
  <c r="O29" i="20"/>
  <c r="N29" i="20"/>
  <c r="M29" i="20"/>
  <c r="L29" i="20"/>
  <c r="K29" i="20"/>
  <c r="J29" i="20"/>
  <c r="I29" i="20"/>
  <c r="H29" i="20"/>
  <c r="AE27" i="20"/>
  <c r="AE39" i="20" s="1"/>
  <c r="AD27" i="20"/>
  <c r="AD39" i="20" s="1"/>
  <c r="AC27" i="20"/>
  <c r="AC39" i="20" s="1"/>
  <c r="AB27" i="20"/>
  <c r="AA27" i="20"/>
  <c r="AA39" i="20" s="1"/>
  <c r="Z27" i="20"/>
  <c r="Z39" i="20" s="1"/>
  <c r="Y27" i="20"/>
  <c r="Y39" i="20" s="1"/>
  <c r="X27" i="20"/>
  <c r="X39" i="20" s="1"/>
  <c r="W27" i="20"/>
  <c r="W39" i="20" s="1"/>
  <c r="V27" i="20"/>
  <c r="V39" i="20" s="1"/>
  <c r="U27" i="20"/>
  <c r="U39" i="20" s="1"/>
  <c r="U76" i="20" s="1"/>
  <c r="U82" i="20" s="1"/>
  <c r="T27" i="20"/>
  <c r="S27" i="20"/>
  <c r="S39" i="20" s="1"/>
  <c r="R27" i="20"/>
  <c r="R39" i="20" s="1"/>
  <c r="Q27" i="20"/>
  <c r="Q39" i="20" s="1"/>
  <c r="P27" i="20"/>
  <c r="P39" i="20" s="1"/>
  <c r="O27" i="20"/>
  <c r="O39" i="20" s="1"/>
  <c r="N27" i="20"/>
  <c r="N39" i="20" s="1"/>
  <c r="M27" i="20"/>
  <c r="M39" i="20" s="1"/>
  <c r="M76" i="20" s="1"/>
  <c r="M82" i="20" s="1"/>
  <c r="L27" i="20"/>
  <c r="K27" i="20"/>
  <c r="K39" i="20" s="1"/>
  <c r="J27" i="20"/>
  <c r="J39" i="20" s="1"/>
  <c r="I27" i="20"/>
  <c r="I39" i="20" s="1"/>
  <c r="H27" i="20"/>
  <c r="H39" i="20" s="1"/>
  <c r="AE26" i="20"/>
  <c r="AD26" i="20"/>
  <c r="AD38" i="20" s="1"/>
  <c r="AC26" i="20"/>
  <c r="AC38" i="20" s="1"/>
  <c r="AB26" i="20"/>
  <c r="AB38" i="20" s="1"/>
  <c r="AA26" i="20"/>
  <c r="AA38" i="20" s="1"/>
  <c r="Z26" i="20"/>
  <c r="Z38" i="20" s="1"/>
  <c r="Y26" i="20"/>
  <c r="Y38" i="20" s="1"/>
  <c r="X26" i="20"/>
  <c r="X38" i="20" s="1"/>
  <c r="W26" i="20"/>
  <c r="W38" i="20" s="1"/>
  <c r="V26" i="20"/>
  <c r="V38" i="20" s="1"/>
  <c r="U26" i="20"/>
  <c r="U38" i="20" s="1"/>
  <c r="T26" i="20"/>
  <c r="T38" i="20" s="1"/>
  <c r="S26" i="20"/>
  <c r="S38" i="20" s="1"/>
  <c r="R26" i="20"/>
  <c r="R38" i="20" s="1"/>
  <c r="Q26" i="20"/>
  <c r="Q38" i="20" s="1"/>
  <c r="P26" i="20"/>
  <c r="P38" i="20" s="1"/>
  <c r="O26" i="20"/>
  <c r="O38" i="20" s="1"/>
  <c r="N26" i="20"/>
  <c r="N38" i="20" s="1"/>
  <c r="M26" i="20"/>
  <c r="M38" i="20" s="1"/>
  <c r="L26" i="20"/>
  <c r="L38" i="20" s="1"/>
  <c r="K26" i="20"/>
  <c r="K38" i="20" s="1"/>
  <c r="J26" i="20"/>
  <c r="J38" i="20" s="1"/>
  <c r="I26" i="20"/>
  <c r="I38" i="20" s="1"/>
  <c r="H26" i="20"/>
  <c r="B26" i="20"/>
  <c r="AE25" i="20"/>
  <c r="D25" i="20" s="1"/>
  <c r="E25" i="20" s="1"/>
  <c r="AD25" i="20"/>
  <c r="AD37" i="20" s="1"/>
  <c r="AC25" i="20"/>
  <c r="AC37" i="20" s="1"/>
  <c r="AB25" i="20"/>
  <c r="AB37" i="20" s="1"/>
  <c r="AA25" i="20"/>
  <c r="Z25" i="20"/>
  <c r="Z37" i="20" s="1"/>
  <c r="Y25" i="20"/>
  <c r="Y37" i="20" s="1"/>
  <c r="X25" i="20"/>
  <c r="X37" i="20" s="1"/>
  <c r="W25" i="20"/>
  <c r="V25" i="20"/>
  <c r="V37" i="20" s="1"/>
  <c r="U25" i="20"/>
  <c r="U37" i="20" s="1"/>
  <c r="T25" i="20"/>
  <c r="T37" i="20" s="1"/>
  <c r="S25" i="20"/>
  <c r="S37" i="20" s="1"/>
  <c r="R25" i="20"/>
  <c r="R37" i="20" s="1"/>
  <c r="Q25" i="20"/>
  <c r="Q37" i="20" s="1"/>
  <c r="P25" i="20"/>
  <c r="P37" i="20" s="1"/>
  <c r="O25" i="20"/>
  <c r="N25" i="20"/>
  <c r="N37" i="20" s="1"/>
  <c r="M25" i="20"/>
  <c r="M37" i="20" s="1"/>
  <c r="L25" i="20"/>
  <c r="L37" i="20" s="1"/>
  <c r="K25" i="20"/>
  <c r="J25" i="20"/>
  <c r="J37" i="20" s="1"/>
  <c r="I25" i="20"/>
  <c r="H25" i="20"/>
  <c r="H37" i="20" s="1"/>
  <c r="AE24" i="20"/>
  <c r="D24" i="20" s="1"/>
  <c r="E24" i="20" s="1"/>
  <c r="AD24" i="20"/>
  <c r="AD36" i="20" s="1"/>
  <c r="AC24" i="20"/>
  <c r="AB24" i="20"/>
  <c r="AB36" i="20" s="1"/>
  <c r="AA24" i="20"/>
  <c r="AA36" i="20" s="1"/>
  <c r="Z24" i="20"/>
  <c r="Z36" i="20" s="1"/>
  <c r="Y24" i="20"/>
  <c r="X24" i="20"/>
  <c r="X36" i="20" s="1"/>
  <c r="W24" i="20"/>
  <c r="W36" i="20" s="1"/>
  <c r="V24" i="20"/>
  <c r="U24" i="20"/>
  <c r="U36" i="20" s="1"/>
  <c r="T24" i="20"/>
  <c r="T36" i="20" s="1"/>
  <c r="S24" i="20"/>
  <c r="S36" i="20" s="1"/>
  <c r="R24" i="20"/>
  <c r="R36" i="20" s="1"/>
  <c r="Q24" i="20"/>
  <c r="P24" i="20"/>
  <c r="P36" i="20" s="1"/>
  <c r="O24" i="20"/>
  <c r="O36" i="20" s="1"/>
  <c r="N24" i="20"/>
  <c r="N36" i="20" s="1"/>
  <c r="M24" i="20"/>
  <c r="L24" i="20"/>
  <c r="L36" i="20" s="1"/>
  <c r="K24" i="20"/>
  <c r="K36" i="20" s="1"/>
  <c r="J24" i="20"/>
  <c r="J36" i="20" s="1"/>
  <c r="I24" i="20"/>
  <c r="H24" i="20"/>
  <c r="E15" i="20"/>
  <c r="D15" i="20" s="1"/>
  <c r="C14" i="20"/>
  <c r="B15" i="20"/>
  <c r="B14" i="20" s="1"/>
  <c r="AE14" i="20"/>
  <c r="AD14" i="20"/>
  <c r="AC14" i="20"/>
  <c r="AB14" i="20"/>
  <c r="AA14" i="20"/>
  <c r="Z14" i="20"/>
  <c r="Y14" i="20"/>
  <c r="X14" i="20"/>
  <c r="W14" i="20"/>
  <c r="V14" i="20"/>
  <c r="U14" i="20"/>
  <c r="T14" i="20"/>
  <c r="S14" i="20"/>
  <c r="R14" i="20"/>
  <c r="Q14" i="20"/>
  <c r="P14" i="20"/>
  <c r="O14" i="20"/>
  <c r="N14" i="20"/>
  <c r="M14" i="20"/>
  <c r="L14" i="20"/>
  <c r="K14" i="20"/>
  <c r="J14" i="20"/>
  <c r="I14" i="20"/>
  <c r="H14" i="20"/>
  <c r="E12" i="20"/>
  <c r="C12" i="20"/>
  <c r="B12" i="20"/>
  <c r="AE11" i="20"/>
  <c r="AD11" i="20"/>
  <c r="AC11" i="20"/>
  <c r="AB11" i="20"/>
  <c r="AA11" i="20"/>
  <c r="Z11" i="20"/>
  <c r="Y11" i="20"/>
  <c r="X11" i="20"/>
  <c r="W11" i="20"/>
  <c r="V11" i="20"/>
  <c r="U11" i="20"/>
  <c r="T11" i="20"/>
  <c r="S11" i="20"/>
  <c r="R11" i="20"/>
  <c r="Q11" i="20"/>
  <c r="P11" i="20"/>
  <c r="O11" i="20"/>
  <c r="N11" i="20"/>
  <c r="M11" i="20"/>
  <c r="L11" i="20"/>
  <c r="K11" i="20"/>
  <c r="J11" i="20"/>
  <c r="I11" i="20"/>
  <c r="H11" i="20"/>
  <c r="AE9" i="20"/>
  <c r="AE19" i="20" s="1"/>
  <c r="AE18" i="20" s="1"/>
  <c r="AD9" i="20"/>
  <c r="AD8" i="20" s="1"/>
  <c r="AC9" i="20"/>
  <c r="AC8" i="20" s="1"/>
  <c r="AB9" i="20"/>
  <c r="AB19" i="20" s="1"/>
  <c r="AB18" i="20" s="1"/>
  <c r="AA9" i="20"/>
  <c r="AA19" i="20" s="1"/>
  <c r="AA18" i="20" s="1"/>
  <c r="Z9" i="20"/>
  <c r="Y9" i="20"/>
  <c r="Y8" i="20" s="1"/>
  <c r="X9" i="20"/>
  <c r="W9" i="20"/>
  <c r="W19" i="20" s="1"/>
  <c r="W18" i="20" s="1"/>
  <c r="V9" i="20"/>
  <c r="V8" i="20" s="1"/>
  <c r="U9" i="20"/>
  <c r="U8" i="20" s="1"/>
  <c r="T9" i="20"/>
  <c r="S9" i="20"/>
  <c r="S19" i="20" s="1"/>
  <c r="S18" i="20" s="1"/>
  <c r="R9" i="20"/>
  <c r="R19" i="20" s="1"/>
  <c r="R18" i="20" s="1"/>
  <c r="Q9" i="20"/>
  <c r="Q8" i="20" s="1"/>
  <c r="P9" i="20"/>
  <c r="O9" i="20"/>
  <c r="O19" i="20" s="1"/>
  <c r="O18" i="20" s="1"/>
  <c r="N9" i="20"/>
  <c r="N8" i="20" s="1"/>
  <c r="M9" i="20"/>
  <c r="M8" i="20" s="1"/>
  <c r="L9" i="20"/>
  <c r="L19" i="20" s="1"/>
  <c r="L18" i="20" s="1"/>
  <c r="K9" i="20"/>
  <c r="K19" i="20" s="1"/>
  <c r="K18" i="20" s="1"/>
  <c r="J9" i="20"/>
  <c r="J19" i="20" s="1"/>
  <c r="I9" i="20"/>
  <c r="I8" i="20" s="1"/>
  <c r="H9" i="20"/>
  <c r="H19" i="20" s="1"/>
  <c r="AE8" i="20"/>
  <c r="AE38" i="20" l="1"/>
  <c r="E38" i="20" s="1"/>
  <c r="D38" i="20" s="1"/>
  <c r="D26" i="20"/>
  <c r="E26" i="20" s="1"/>
  <c r="AE71" i="20"/>
  <c r="E47" i="20"/>
  <c r="D47" i="20" s="1"/>
  <c r="AE43" i="20"/>
  <c r="D10" i="23"/>
  <c r="L8" i="20"/>
  <c r="AB8" i="20"/>
  <c r="C37" i="20"/>
  <c r="B61" i="20"/>
  <c r="F63" i="20"/>
  <c r="W8" i="20"/>
  <c r="G33" i="20"/>
  <c r="J43" i="20"/>
  <c r="K8" i="20"/>
  <c r="C11" i="20"/>
  <c r="C9" i="20"/>
  <c r="B45" i="20"/>
  <c r="B69" i="20" s="1"/>
  <c r="O8" i="20"/>
  <c r="T46" i="20"/>
  <c r="T70" i="20" s="1"/>
  <c r="AA8" i="20"/>
  <c r="Z19" i="20"/>
  <c r="Z18" i="20" s="1"/>
  <c r="Z76" i="20"/>
  <c r="Z82" i="20" s="1"/>
  <c r="E69" i="20"/>
  <c r="D55" i="20"/>
  <c r="D54" i="20" s="1"/>
  <c r="G57" i="20"/>
  <c r="Z43" i="20"/>
  <c r="B49" i="20"/>
  <c r="Z8" i="20"/>
  <c r="J35" i="20"/>
  <c r="N35" i="20"/>
  <c r="R35" i="20"/>
  <c r="V23" i="20"/>
  <c r="Z35" i="20"/>
  <c r="AD35" i="20"/>
  <c r="AA75" i="20"/>
  <c r="AA81" i="20" s="1"/>
  <c r="R43" i="20"/>
  <c r="F51" i="20"/>
  <c r="N43" i="20"/>
  <c r="AD43" i="20"/>
  <c r="F12" i="20"/>
  <c r="X23" i="20"/>
  <c r="G32" i="20"/>
  <c r="V43" i="20"/>
  <c r="Q19" i="20"/>
  <c r="Q18" i="20" s="1"/>
  <c r="E9" i="20"/>
  <c r="E80" i="20" s="1"/>
  <c r="N23" i="20"/>
  <c r="C27" i="20"/>
  <c r="F33" i="20"/>
  <c r="H69" i="20"/>
  <c r="H74" i="20" s="1"/>
  <c r="H80" i="20" s="1"/>
  <c r="J8" i="20"/>
  <c r="S8" i="20"/>
  <c r="S23" i="20"/>
  <c r="H23" i="20"/>
  <c r="O23" i="20"/>
  <c r="S35" i="20"/>
  <c r="W23" i="20"/>
  <c r="AE23" i="20"/>
  <c r="D27" i="20"/>
  <c r="F32" i="20"/>
  <c r="W37" i="20"/>
  <c r="G51" i="20"/>
  <c r="G12" i="23"/>
  <c r="P19" i="20"/>
  <c r="P18" i="20" s="1"/>
  <c r="P8" i="20"/>
  <c r="T19" i="20"/>
  <c r="T18" i="20" s="1"/>
  <c r="T8" i="20"/>
  <c r="F52" i="20"/>
  <c r="H8" i="20"/>
  <c r="AD23" i="20"/>
  <c r="I37" i="20"/>
  <c r="K23" i="20"/>
  <c r="AA37" i="20"/>
  <c r="AA35" i="20" s="1"/>
  <c r="AA23" i="20"/>
  <c r="E27" i="20"/>
  <c r="E39" i="20" s="1"/>
  <c r="O37" i="20"/>
  <c r="O74" i="20" s="1"/>
  <c r="O80" i="20" s="1"/>
  <c r="AE35" i="20"/>
  <c r="I68" i="20"/>
  <c r="I43" i="20"/>
  <c r="Q68" i="20"/>
  <c r="Q67" i="20" s="1"/>
  <c r="Q43" i="20"/>
  <c r="Y68" i="20"/>
  <c r="Y43" i="20"/>
  <c r="AC68" i="20"/>
  <c r="AC67" i="20" s="1"/>
  <c r="AC43" i="20"/>
  <c r="G52" i="20"/>
  <c r="F58" i="20"/>
  <c r="B55" i="20"/>
  <c r="M68" i="20"/>
  <c r="X19" i="20"/>
  <c r="X18" i="20" s="1"/>
  <c r="X8" i="20"/>
  <c r="F30" i="20"/>
  <c r="B29" i="20"/>
  <c r="G31" i="20"/>
  <c r="D71" i="20"/>
  <c r="D76" i="20" s="1"/>
  <c r="M19" i="20"/>
  <c r="M18" i="20" s="1"/>
  <c r="AC19" i="20"/>
  <c r="AC18" i="20" s="1"/>
  <c r="I23" i="20"/>
  <c r="M23" i="20"/>
  <c r="Q23" i="20"/>
  <c r="U23" i="20"/>
  <c r="W35" i="20"/>
  <c r="Y23" i="20"/>
  <c r="AC23" i="20"/>
  <c r="L23" i="20"/>
  <c r="T23" i="20"/>
  <c r="AB23" i="20"/>
  <c r="C29" i="20"/>
  <c r="M36" i="20"/>
  <c r="M73" i="20" s="1"/>
  <c r="AC36" i="20"/>
  <c r="AC35" i="20" s="1"/>
  <c r="N67" i="20"/>
  <c r="R67" i="20"/>
  <c r="B70" i="20"/>
  <c r="B81" i="20" s="1"/>
  <c r="AA76" i="20"/>
  <c r="AA82" i="20" s="1"/>
  <c r="C55" i="20"/>
  <c r="C54" i="20" s="1"/>
  <c r="J70" i="20"/>
  <c r="J75" i="20" s="1"/>
  <c r="J81" i="20" s="1"/>
  <c r="F13" i="23"/>
  <c r="D13" i="23"/>
  <c r="G13" i="23"/>
  <c r="F9" i="23"/>
  <c r="D9" i="23"/>
  <c r="G9" i="23"/>
  <c r="G10" i="23"/>
  <c r="P35" i="20"/>
  <c r="C39" i="20"/>
  <c r="J74" i="20"/>
  <c r="J80" i="20" s="1"/>
  <c r="J67" i="20"/>
  <c r="J18" i="20"/>
  <c r="X35" i="20"/>
  <c r="V19" i="20"/>
  <c r="V18" i="20" s="1"/>
  <c r="U35" i="20"/>
  <c r="V36" i="20"/>
  <c r="V35" i="20" s="1"/>
  <c r="O68" i="20"/>
  <c r="O43" i="20"/>
  <c r="R75" i="20"/>
  <c r="R81" i="20" s="1"/>
  <c r="Z75" i="20"/>
  <c r="Z81" i="20" s="1"/>
  <c r="X76" i="20"/>
  <c r="X82" i="20" s="1"/>
  <c r="R8" i="20"/>
  <c r="B11" i="20"/>
  <c r="G12" i="20"/>
  <c r="E11" i="20"/>
  <c r="I19" i="20"/>
  <c r="I75" i="20" s="1"/>
  <c r="I81" i="20" s="1"/>
  <c r="N19" i="20"/>
  <c r="Y19" i="20"/>
  <c r="Y18" i="20" s="1"/>
  <c r="AD19" i="20"/>
  <c r="AD18" i="20" s="1"/>
  <c r="P23" i="20"/>
  <c r="B24" i="20"/>
  <c r="F24" i="20" s="1"/>
  <c r="H36" i="20"/>
  <c r="G24" i="20"/>
  <c r="O75" i="20"/>
  <c r="O81" i="20" s="1"/>
  <c r="E29" i="20"/>
  <c r="D29" i="20" s="1"/>
  <c r="F31" i="20"/>
  <c r="I36" i="20"/>
  <c r="Q36" i="20"/>
  <c r="Q35" i="20" s="1"/>
  <c r="Y36" i="20"/>
  <c r="Y35" i="20" s="1"/>
  <c r="K37" i="20"/>
  <c r="K35" i="20" s="1"/>
  <c r="L39" i="20"/>
  <c r="L76" i="20" s="1"/>
  <c r="L82" i="20" s="1"/>
  <c r="T39" i="20"/>
  <c r="T35" i="20" s="1"/>
  <c r="AB39" i="20"/>
  <c r="AB35" i="20" s="1"/>
  <c r="B44" i="20"/>
  <c r="B79" i="20" s="1"/>
  <c r="H43" i="20"/>
  <c r="L43" i="20"/>
  <c r="L68" i="20"/>
  <c r="P68" i="20"/>
  <c r="P43" i="20"/>
  <c r="U68" i="20"/>
  <c r="T68" i="20"/>
  <c r="T43" i="20"/>
  <c r="X68" i="20"/>
  <c r="X43" i="20"/>
  <c r="AB43" i="20"/>
  <c r="I69" i="20"/>
  <c r="E70" i="20"/>
  <c r="E81" i="20" s="1"/>
  <c r="D81" i="20" s="1"/>
  <c r="Q76" i="20"/>
  <c r="Q82" i="20" s="1"/>
  <c r="AC76" i="20"/>
  <c r="AC82" i="20" s="1"/>
  <c r="F53" i="20"/>
  <c r="G53" i="20"/>
  <c r="E49" i="20"/>
  <c r="D49" i="20" s="1"/>
  <c r="R73" i="20"/>
  <c r="G15" i="20"/>
  <c r="E14" i="20"/>
  <c r="E44" i="20"/>
  <c r="E79" i="20" s="1"/>
  <c r="J73" i="20"/>
  <c r="V67" i="20"/>
  <c r="Q75" i="20"/>
  <c r="Q81" i="20" s="1"/>
  <c r="C49" i="20"/>
  <c r="G50" i="20"/>
  <c r="E55" i="20"/>
  <c r="G56" i="20"/>
  <c r="F56" i="20"/>
  <c r="S74" i="20"/>
  <c r="S80" i="20" s="1"/>
  <c r="B9" i="20"/>
  <c r="F15" i="20"/>
  <c r="J23" i="20"/>
  <c r="Z23" i="20"/>
  <c r="Z68" i="20" s="1"/>
  <c r="G30" i="20"/>
  <c r="B37" i="20"/>
  <c r="K68" i="20"/>
  <c r="K43" i="20"/>
  <c r="S68" i="20"/>
  <c r="S43" i="20"/>
  <c r="W68" i="20"/>
  <c r="W43" i="20"/>
  <c r="AA68" i="20"/>
  <c r="AA43" i="20"/>
  <c r="AE68" i="20"/>
  <c r="H71" i="20"/>
  <c r="H76" i="20" s="1"/>
  <c r="H82" i="20" s="1"/>
  <c r="B47" i="20"/>
  <c r="B71" i="20" s="1"/>
  <c r="P76" i="20"/>
  <c r="P82" i="20" s="1"/>
  <c r="S76" i="20"/>
  <c r="S82" i="20" s="1"/>
  <c r="H18" i="20"/>
  <c r="U19" i="20"/>
  <c r="U18" i="20" s="1"/>
  <c r="R23" i="20"/>
  <c r="G25" i="20"/>
  <c r="H38" i="20"/>
  <c r="B27" i="20"/>
  <c r="R74" i="20"/>
  <c r="R80" i="20" s="1"/>
  <c r="Z74" i="20"/>
  <c r="Z80" i="20" s="1"/>
  <c r="P75" i="20"/>
  <c r="P81" i="20" s="1"/>
  <c r="AB75" i="20"/>
  <c r="AB81" i="20" s="1"/>
  <c r="C71" i="20"/>
  <c r="R76" i="20"/>
  <c r="R82" i="20" s="1"/>
  <c r="F57" i="20"/>
  <c r="H68" i="20"/>
  <c r="AB68" i="20"/>
  <c r="L75" i="20"/>
  <c r="L81" i="20" s="1"/>
  <c r="V76" i="20"/>
  <c r="V82" i="20" s="1"/>
  <c r="Y73" i="20"/>
  <c r="Y67" i="20"/>
  <c r="W74" i="20"/>
  <c r="W80" i="20" s="1"/>
  <c r="K75" i="20"/>
  <c r="K81" i="20" s="1"/>
  <c r="S75" i="20"/>
  <c r="S81" i="20" s="1"/>
  <c r="AE75" i="20"/>
  <c r="AE81" i="20" s="1"/>
  <c r="J76" i="20"/>
  <c r="J82" i="20" s="1"/>
  <c r="AD76" i="20"/>
  <c r="AD82" i="20" s="1"/>
  <c r="F50" i="20"/>
  <c r="N73" i="20"/>
  <c r="AD73" i="20"/>
  <c r="L74" i="20"/>
  <c r="L80" i="20" s="1"/>
  <c r="P74" i="20"/>
  <c r="P80" i="20" s="1"/>
  <c r="AB74" i="20"/>
  <c r="AB80" i="20" s="1"/>
  <c r="C70" i="20"/>
  <c r="C81" i="20" s="1"/>
  <c r="H70" i="20"/>
  <c r="K76" i="20"/>
  <c r="K82" i="20" s="1"/>
  <c r="O76" i="20"/>
  <c r="O82" i="20" s="1"/>
  <c r="W76" i="20"/>
  <c r="W82" i="20" s="1"/>
  <c r="AE76" i="20"/>
  <c r="AE82" i="20" s="1"/>
  <c r="M67" i="20"/>
  <c r="N76" i="20"/>
  <c r="N82" i="20" s="1"/>
  <c r="W75" i="20"/>
  <c r="W81" i="20" s="1"/>
  <c r="I76" i="20"/>
  <c r="I82" i="20" s="1"/>
  <c r="Y76" i="20"/>
  <c r="Y82" i="20" s="1"/>
  <c r="G79" i="20" l="1"/>
  <c r="B8" i="20"/>
  <c r="B80" i="20"/>
  <c r="F55" i="20"/>
  <c r="E54" i="20"/>
  <c r="C80" i="20"/>
  <c r="C78" i="20" s="1"/>
  <c r="G81" i="20"/>
  <c r="G27" i="20"/>
  <c r="X74" i="20"/>
  <c r="X80" i="20" s="1"/>
  <c r="O35" i="20"/>
  <c r="H75" i="20"/>
  <c r="H81" i="20" s="1"/>
  <c r="Z67" i="20"/>
  <c r="Z73" i="20"/>
  <c r="Z72" i="20" s="1"/>
  <c r="C74" i="20"/>
  <c r="AE74" i="20"/>
  <c r="AE80" i="20" s="1"/>
  <c r="AC73" i="20"/>
  <c r="D43" i="20"/>
  <c r="G70" i="20"/>
  <c r="G55" i="20"/>
  <c r="C8" i="20"/>
  <c r="D70" i="20"/>
  <c r="G58" i="20"/>
  <c r="G9" i="20"/>
  <c r="Q74" i="20"/>
  <c r="Q80" i="20" s="1"/>
  <c r="AA74" i="20"/>
  <c r="AA80" i="20" s="1"/>
  <c r="AC75" i="20"/>
  <c r="AC81" i="20" s="1"/>
  <c r="I74" i="20"/>
  <c r="I80" i="20" s="1"/>
  <c r="I35" i="20"/>
  <c r="C73" i="20"/>
  <c r="C68" i="20"/>
  <c r="C67" i="20" s="1"/>
  <c r="B60" i="20"/>
  <c r="F61" i="20"/>
  <c r="D69" i="20"/>
  <c r="G69" i="20"/>
  <c r="E8" i="20"/>
  <c r="T74" i="20"/>
  <c r="T80" i="20" s="1"/>
  <c r="F27" i="20"/>
  <c r="T75" i="20"/>
  <c r="T81" i="20" s="1"/>
  <c r="Y75" i="20"/>
  <c r="Y81" i="20" s="1"/>
  <c r="Y74" i="20"/>
  <c r="Y80" i="20" s="1"/>
  <c r="M35" i="20"/>
  <c r="F46" i="20"/>
  <c r="F70" i="20" s="1"/>
  <c r="M74" i="20"/>
  <c r="M80" i="20" s="1"/>
  <c r="G39" i="20"/>
  <c r="D23" i="20"/>
  <c r="E23" i="20" s="1"/>
  <c r="M75" i="20"/>
  <c r="M81" i="20" s="1"/>
  <c r="X75" i="20"/>
  <c r="X81" i="20" s="1"/>
  <c r="U74" i="20"/>
  <c r="U80" i="20" s="1"/>
  <c r="K74" i="20"/>
  <c r="K80" i="20" s="1"/>
  <c r="C43" i="20"/>
  <c r="AB76" i="20"/>
  <c r="AB82" i="20" s="1"/>
  <c r="AD75" i="20"/>
  <c r="AD81" i="20" s="1"/>
  <c r="F9" i="20"/>
  <c r="U75" i="20"/>
  <c r="U81" i="20" s="1"/>
  <c r="AC74" i="20"/>
  <c r="AC80" i="20" s="1"/>
  <c r="F25" i="20"/>
  <c r="AB73" i="20"/>
  <c r="AB67" i="20"/>
  <c r="J72" i="20"/>
  <c r="J79" i="20"/>
  <c r="J78" i="20" s="1"/>
  <c r="N18" i="20"/>
  <c r="N74" i="20"/>
  <c r="N80" i="20" s="1"/>
  <c r="Q73" i="20"/>
  <c r="O73" i="20"/>
  <c r="O67" i="20"/>
  <c r="Y79" i="20"/>
  <c r="Y78" i="20" s="1"/>
  <c r="C76" i="20"/>
  <c r="AE67" i="20"/>
  <c r="AE73" i="20"/>
  <c r="K73" i="20"/>
  <c r="K67" i="20"/>
  <c r="E71" i="20"/>
  <c r="G47" i="20"/>
  <c r="F47" i="20"/>
  <c r="F71" i="20" s="1"/>
  <c r="B68" i="20"/>
  <c r="B43" i="20"/>
  <c r="F8" i="20"/>
  <c r="G8" i="20"/>
  <c r="B19" i="20"/>
  <c r="B18" i="20" s="1"/>
  <c r="B39" i="20"/>
  <c r="F39" i="20" s="1"/>
  <c r="N79" i="20"/>
  <c r="I67" i="20"/>
  <c r="V74" i="20"/>
  <c r="V80" i="20" s="1"/>
  <c r="C38" i="20"/>
  <c r="B38" i="20"/>
  <c r="AC79" i="20"/>
  <c r="R79" i="20"/>
  <c r="R78" i="20" s="1"/>
  <c r="R72" i="20"/>
  <c r="T73" i="20"/>
  <c r="T67" i="20"/>
  <c r="L73" i="20"/>
  <c r="L67" i="20"/>
  <c r="C23" i="20"/>
  <c r="F11" i="20"/>
  <c r="G11" i="20"/>
  <c r="T76" i="20"/>
  <c r="T82" i="20" s="1"/>
  <c r="G26" i="20"/>
  <c r="F26" i="20"/>
  <c r="AD74" i="20"/>
  <c r="AD80" i="20" s="1"/>
  <c r="F14" i="20"/>
  <c r="G14" i="20"/>
  <c r="X73" i="20"/>
  <c r="X67" i="20"/>
  <c r="B23" i="20"/>
  <c r="M79" i="20"/>
  <c r="M78" i="20" s="1"/>
  <c r="AD79" i="20"/>
  <c r="H73" i="20"/>
  <c r="H67" i="20"/>
  <c r="V75" i="20"/>
  <c r="V81" i="20" s="1"/>
  <c r="W67" i="20"/>
  <c r="W73" i="20"/>
  <c r="E68" i="20"/>
  <c r="F44" i="20"/>
  <c r="F68" i="20" s="1"/>
  <c r="G44" i="20"/>
  <c r="P67" i="20"/>
  <c r="P73" i="20"/>
  <c r="D33" i="20"/>
  <c r="I18" i="20"/>
  <c r="E19" i="20"/>
  <c r="D19" i="20"/>
  <c r="E82" i="20"/>
  <c r="G82" i="20" s="1"/>
  <c r="I73" i="20"/>
  <c r="AA73" i="20"/>
  <c r="AA67" i="20"/>
  <c r="S73" i="20"/>
  <c r="S67" i="20"/>
  <c r="C19" i="20"/>
  <c r="V73" i="20"/>
  <c r="G49" i="20"/>
  <c r="F49" i="20"/>
  <c r="G46" i="20"/>
  <c r="E43" i="20"/>
  <c r="U73" i="20"/>
  <c r="U67" i="20"/>
  <c r="G29" i="20"/>
  <c r="F29" i="20"/>
  <c r="C36" i="20"/>
  <c r="B36" i="20"/>
  <c r="H35" i="20"/>
  <c r="L35" i="20"/>
  <c r="N75" i="20"/>
  <c r="N81" i="20" s="1"/>
  <c r="G80" i="20" l="1"/>
  <c r="F54" i="20"/>
  <c r="G54" i="20"/>
  <c r="E78" i="20"/>
  <c r="Z79" i="20"/>
  <c r="Z78" i="20" s="1"/>
  <c r="E74" i="20"/>
  <c r="N72" i="20"/>
  <c r="D74" i="20"/>
  <c r="Y72" i="20"/>
  <c r="E76" i="20"/>
  <c r="G76" i="20" s="1"/>
  <c r="G71" i="20"/>
  <c r="F23" i="20"/>
  <c r="G23" i="20"/>
  <c r="B82" i="20"/>
  <c r="D68" i="20"/>
  <c r="D73" i="20" s="1"/>
  <c r="G68" i="20"/>
  <c r="AD78" i="20"/>
  <c r="AD72" i="20"/>
  <c r="AC72" i="20"/>
  <c r="AC78" i="20"/>
  <c r="F81" i="20"/>
  <c r="M72" i="20"/>
  <c r="B76" i="20"/>
  <c r="F37" i="20"/>
  <c r="E35" i="20"/>
  <c r="G37" i="20"/>
  <c r="G43" i="20"/>
  <c r="F43" i="20"/>
  <c r="C18" i="20"/>
  <c r="C72" i="20"/>
  <c r="AA79" i="20"/>
  <c r="AA78" i="20" s="1"/>
  <c r="AA72" i="20"/>
  <c r="E73" i="20"/>
  <c r="T79" i="20"/>
  <c r="T78" i="20" s="1"/>
  <c r="T72" i="20"/>
  <c r="Q72" i="20"/>
  <c r="Q79" i="20"/>
  <c r="Q78" i="20" s="1"/>
  <c r="B35" i="20"/>
  <c r="F36" i="20"/>
  <c r="G38" i="20"/>
  <c r="F38" i="20"/>
  <c r="B75" i="20"/>
  <c r="C35" i="20"/>
  <c r="G36" i="20"/>
  <c r="U79" i="20"/>
  <c r="U78" i="20" s="1"/>
  <c r="U72" i="20"/>
  <c r="V72" i="20"/>
  <c r="V79" i="20"/>
  <c r="V78" i="20" s="1"/>
  <c r="S79" i="20"/>
  <c r="S78" i="20" s="1"/>
  <c r="S72" i="20"/>
  <c r="F82" i="20"/>
  <c r="D82" i="20"/>
  <c r="G19" i="20"/>
  <c r="E18" i="20"/>
  <c r="F19" i="20"/>
  <c r="P72" i="20"/>
  <c r="P79" i="20"/>
  <c r="P78" i="20" s="1"/>
  <c r="X79" i="20"/>
  <c r="X78" i="20" s="1"/>
  <c r="X72" i="20"/>
  <c r="C75" i="20"/>
  <c r="L72" i="20"/>
  <c r="L79" i="20"/>
  <c r="L78" i="20" s="1"/>
  <c r="N78" i="20"/>
  <c r="B67" i="20"/>
  <c r="B73" i="20"/>
  <c r="K79" i="20"/>
  <c r="K78" i="20" s="1"/>
  <c r="K72" i="20"/>
  <c r="D18" i="20"/>
  <c r="D75" i="20"/>
  <c r="W79" i="20"/>
  <c r="W78" i="20" s="1"/>
  <c r="W72" i="20"/>
  <c r="B74" i="20"/>
  <c r="AE79" i="20"/>
  <c r="AE78" i="20" s="1"/>
  <c r="AE72" i="20"/>
  <c r="G45" i="20"/>
  <c r="F45" i="20"/>
  <c r="F69" i="20" s="1"/>
  <c r="I72" i="20"/>
  <c r="I79" i="20"/>
  <c r="H79" i="20"/>
  <c r="H72" i="20"/>
  <c r="O79" i="20"/>
  <c r="O78" i="20" s="1"/>
  <c r="O72" i="20"/>
  <c r="D80" i="20"/>
  <c r="AB72" i="20"/>
  <c r="AB79" i="20"/>
  <c r="AB78" i="20" s="1"/>
  <c r="G75" i="20" l="1"/>
  <c r="F76" i="20"/>
  <c r="E72" i="20"/>
  <c r="D72" i="20" s="1"/>
  <c r="G35" i="20"/>
  <c r="G72" i="20"/>
  <c r="F80" i="20"/>
  <c r="F74" i="20"/>
  <c r="F35" i="20"/>
  <c r="F75" i="20"/>
  <c r="I78" i="20"/>
  <c r="E67" i="20"/>
  <c r="D67" i="20" s="1"/>
  <c r="G73" i="20"/>
  <c r="F73" i="20"/>
  <c r="B78" i="20"/>
  <c r="H78" i="20"/>
  <c r="G74" i="20"/>
  <c r="D12" i="20"/>
  <c r="D14" i="20"/>
  <c r="B72" i="20"/>
  <c r="F18" i="20"/>
  <c r="G18" i="20"/>
  <c r="F72" i="20" l="1"/>
  <c r="D9" i="20"/>
  <c r="D8" i="20" s="1"/>
  <c r="D11" i="20"/>
  <c r="G67" i="20"/>
  <c r="F67" i="20"/>
  <c r="F79" i="20"/>
  <c r="D79" i="20"/>
  <c r="D78" i="20" s="1"/>
  <c r="F78" i="20" l="1"/>
  <c r="G78" i="20"/>
  <c r="U90" i="11" l="1"/>
  <c r="S90" i="11"/>
  <c r="P80" i="11"/>
  <c r="U50" i="11"/>
  <c r="U49" i="11" s="1"/>
  <c r="C145" i="21"/>
  <c r="C139" i="21"/>
  <c r="C133" i="21"/>
  <c r="C114" i="21"/>
  <c r="C96" i="21"/>
  <c r="C90" i="21"/>
  <c r="C102" i="21"/>
  <c r="C84" i="21"/>
  <c r="C78" i="21"/>
  <c r="C72" i="21"/>
  <c r="C66" i="21"/>
  <c r="C48" i="21"/>
  <c r="C49" i="21"/>
  <c r="C50" i="21"/>
  <c r="C47" i="21"/>
  <c r="C42" i="21"/>
  <c r="C43" i="21"/>
  <c r="C44" i="21"/>
  <c r="C41" i="21"/>
  <c r="C36" i="21"/>
  <c r="C38" i="21"/>
  <c r="C35" i="21"/>
  <c r="C30" i="21"/>
  <c r="C24" i="21"/>
  <c r="C26" i="21"/>
  <c r="C23" i="21"/>
  <c r="C12" i="21"/>
  <c r="U96" i="11" l="1"/>
  <c r="W90" i="11"/>
  <c r="U64" i="11" l="1"/>
  <c r="U70" i="11"/>
  <c r="S96" i="11"/>
  <c r="B98" i="11"/>
  <c r="Q84" i="11"/>
  <c r="P84" i="11"/>
  <c r="C85" i="11"/>
  <c r="D80" i="11"/>
  <c r="B27" i="11"/>
  <c r="C19" i="2" l="1"/>
  <c r="AD53" i="9"/>
  <c r="S64" i="8"/>
  <c r="C121" i="6"/>
  <c r="C93" i="6"/>
  <c r="R197" i="14"/>
  <c r="C87" i="6"/>
  <c r="C69" i="6"/>
  <c r="C50" i="6"/>
  <c r="C47" i="6"/>
  <c r="C35" i="6"/>
  <c r="C32" i="6"/>
  <c r="C20" i="6"/>
  <c r="C16" i="6"/>
  <c r="C13" i="6"/>
  <c r="C78" i="9" l="1"/>
  <c r="B78" i="9"/>
  <c r="C77" i="9"/>
  <c r="B77" i="9"/>
  <c r="E76" i="9"/>
  <c r="D76" i="9" s="1"/>
  <c r="C76" i="9"/>
  <c r="B76" i="9"/>
  <c r="K75" i="9"/>
  <c r="E75" i="9" s="1"/>
  <c r="E74" i="9" s="1"/>
  <c r="E73" i="9" s="1"/>
  <c r="C75" i="9"/>
  <c r="B75" i="9"/>
  <c r="AD74" i="9"/>
  <c r="AD73" i="9" s="1"/>
  <c r="AB74" i="9"/>
  <c r="AB73" i="9" s="1"/>
  <c r="Z74" i="9"/>
  <c r="Z73" i="9" s="1"/>
  <c r="X74" i="9"/>
  <c r="X73" i="9" s="1"/>
  <c r="V74" i="9"/>
  <c r="V73" i="9" s="1"/>
  <c r="T74" i="9"/>
  <c r="T73" i="9" s="1"/>
  <c r="S74" i="9"/>
  <c r="R74" i="9"/>
  <c r="R73" i="9" s="1"/>
  <c r="Q74" i="9"/>
  <c r="Q73" i="9" s="1"/>
  <c r="P74" i="9"/>
  <c r="P73" i="9" s="1"/>
  <c r="O74" i="9"/>
  <c r="N74" i="9"/>
  <c r="N73" i="9" s="1"/>
  <c r="M74" i="9"/>
  <c r="M73" i="9" s="1"/>
  <c r="L74" i="9"/>
  <c r="L73" i="9" s="1"/>
  <c r="J74" i="9"/>
  <c r="I74" i="9"/>
  <c r="I73" i="9" s="1"/>
  <c r="H74" i="9"/>
  <c r="H73" i="9" s="1"/>
  <c r="S73" i="9"/>
  <c r="O73" i="9"/>
  <c r="J73" i="9"/>
  <c r="D72" i="9"/>
  <c r="C72" i="9"/>
  <c r="B72" i="9"/>
  <c r="E71" i="9"/>
  <c r="C71" i="9"/>
  <c r="B71" i="9"/>
  <c r="E70" i="9"/>
  <c r="D70" i="9"/>
  <c r="C70" i="9"/>
  <c r="B70" i="9"/>
  <c r="D69" i="9"/>
  <c r="C69" i="9"/>
  <c r="B69" i="9"/>
  <c r="AD68" i="9"/>
  <c r="AD67" i="9" s="1"/>
  <c r="AB68" i="9"/>
  <c r="AB67" i="9" s="1"/>
  <c r="Z68" i="9"/>
  <c r="X68" i="9"/>
  <c r="X67" i="9" s="1"/>
  <c r="V68" i="9"/>
  <c r="V67" i="9" s="1"/>
  <c r="T68" i="9"/>
  <c r="T67" i="9" s="1"/>
  <c r="S68" i="9"/>
  <c r="R68" i="9"/>
  <c r="R67" i="9" s="1"/>
  <c r="Q68" i="9"/>
  <c r="Q67" i="9" s="1"/>
  <c r="P68" i="9"/>
  <c r="P67" i="9" s="1"/>
  <c r="O68" i="9"/>
  <c r="O67" i="9" s="1"/>
  <c r="N68" i="9"/>
  <c r="N67" i="9" s="1"/>
  <c r="M68" i="9"/>
  <c r="L68" i="9"/>
  <c r="L67" i="9" s="1"/>
  <c r="K68" i="9"/>
  <c r="K67" i="9" s="1"/>
  <c r="J68" i="9"/>
  <c r="J67" i="9" s="1"/>
  <c r="I68" i="9"/>
  <c r="I67" i="9" s="1"/>
  <c r="H68" i="9"/>
  <c r="H67" i="9" s="1"/>
  <c r="Z67" i="9"/>
  <c r="S67" i="9"/>
  <c r="M67" i="9"/>
  <c r="D66" i="9"/>
  <c r="C66" i="9"/>
  <c r="B66" i="9"/>
  <c r="E65" i="9"/>
  <c r="D65" i="9" s="1"/>
  <c r="C65" i="9"/>
  <c r="B65" i="9"/>
  <c r="F65" i="9" s="1"/>
  <c r="F62" i="9" s="1"/>
  <c r="D64" i="9"/>
  <c r="C64" i="9"/>
  <c r="B64" i="9"/>
  <c r="D63" i="9"/>
  <c r="C63" i="9"/>
  <c r="B63" i="9"/>
  <c r="AD62" i="9"/>
  <c r="AD61" i="9" s="1"/>
  <c r="AB62" i="9"/>
  <c r="AB61" i="9" s="1"/>
  <c r="Z62" i="9"/>
  <c r="Z61" i="9" s="1"/>
  <c r="X62" i="9"/>
  <c r="V62" i="9"/>
  <c r="V61" i="9" s="1"/>
  <c r="T62" i="9"/>
  <c r="T61" i="9" s="1"/>
  <c r="S62" i="9"/>
  <c r="S61" i="9" s="1"/>
  <c r="R62" i="9"/>
  <c r="R61" i="9" s="1"/>
  <c r="Q62" i="9"/>
  <c r="Q61" i="9" s="1"/>
  <c r="P62" i="9"/>
  <c r="P61" i="9" s="1"/>
  <c r="O62" i="9"/>
  <c r="O61" i="9" s="1"/>
  <c r="N62" i="9"/>
  <c r="M62" i="9"/>
  <c r="M61" i="9" s="1"/>
  <c r="L62" i="9"/>
  <c r="L61" i="9" s="1"/>
  <c r="K62" i="9"/>
  <c r="K61" i="9" s="1"/>
  <c r="J62" i="9"/>
  <c r="J61" i="9" s="1"/>
  <c r="I62" i="9"/>
  <c r="I61" i="9" s="1"/>
  <c r="H62" i="9"/>
  <c r="H61" i="9" s="1"/>
  <c r="E62" i="9"/>
  <c r="D62" i="9" s="1"/>
  <c r="X61" i="9"/>
  <c r="N61" i="9"/>
  <c r="D60" i="9"/>
  <c r="C60" i="9"/>
  <c r="B60" i="9"/>
  <c r="E59" i="9"/>
  <c r="E56" i="9" s="1"/>
  <c r="D56" i="9" s="1"/>
  <c r="C59" i="9"/>
  <c r="B59" i="9"/>
  <c r="D58" i="9"/>
  <c r="C58" i="9"/>
  <c r="B58" i="9"/>
  <c r="D57" i="9"/>
  <c r="C57" i="9"/>
  <c r="B57" i="9"/>
  <c r="AD56" i="9"/>
  <c r="AD55" i="9" s="1"/>
  <c r="AB56" i="9"/>
  <c r="AB55" i="9" s="1"/>
  <c r="Z56" i="9"/>
  <c r="Z55" i="9" s="1"/>
  <c r="X56" i="9"/>
  <c r="X55" i="9" s="1"/>
  <c r="V56" i="9"/>
  <c r="V55" i="9" s="1"/>
  <c r="T56" i="9"/>
  <c r="T55" i="9" s="1"/>
  <c r="S56" i="9"/>
  <c r="S55" i="9" s="1"/>
  <c r="R56" i="9"/>
  <c r="R55" i="9" s="1"/>
  <c r="Q56" i="9"/>
  <c r="Q55" i="9" s="1"/>
  <c r="P56" i="9"/>
  <c r="P55" i="9" s="1"/>
  <c r="O56" i="9"/>
  <c r="O55" i="9" s="1"/>
  <c r="N56" i="9"/>
  <c r="N55" i="9" s="1"/>
  <c r="M56" i="9"/>
  <c r="M55" i="9" s="1"/>
  <c r="L56" i="9"/>
  <c r="L55" i="9" s="1"/>
  <c r="K56" i="9"/>
  <c r="K55" i="9" s="1"/>
  <c r="J56" i="9"/>
  <c r="J55" i="9" s="1"/>
  <c r="I56" i="9"/>
  <c r="I55" i="9" s="1"/>
  <c r="H56" i="9"/>
  <c r="H55" i="9" s="1"/>
  <c r="D54" i="9"/>
  <c r="C54" i="9"/>
  <c r="B54" i="9"/>
  <c r="AD50" i="9"/>
  <c r="AD49" i="9" s="1"/>
  <c r="E53" i="9"/>
  <c r="E50" i="9" s="1"/>
  <c r="D50" i="9" s="1"/>
  <c r="C53" i="9"/>
  <c r="D52" i="9"/>
  <c r="C52" i="9"/>
  <c r="B52" i="9"/>
  <c r="D51" i="9"/>
  <c r="C51" i="9"/>
  <c r="B51" i="9"/>
  <c r="AB50" i="9"/>
  <c r="AB49" i="9" s="1"/>
  <c r="Z50" i="9"/>
  <c r="Z49" i="9" s="1"/>
  <c r="X50" i="9"/>
  <c r="X49" i="9" s="1"/>
  <c r="V50" i="9"/>
  <c r="V49" i="9" s="1"/>
  <c r="T50" i="9"/>
  <c r="T49" i="9" s="1"/>
  <c r="S50" i="9"/>
  <c r="S49" i="9" s="1"/>
  <c r="R50" i="9"/>
  <c r="R49" i="9" s="1"/>
  <c r="Q50" i="9"/>
  <c r="Q49" i="9" s="1"/>
  <c r="P50" i="9"/>
  <c r="P49" i="9" s="1"/>
  <c r="O50" i="9"/>
  <c r="O49" i="9" s="1"/>
  <c r="N50" i="9"/>
  <c r="N49" i="9" s="1"/>
  <c r="M50" i="9"/>
  <c r="M49" i="9" s="1"/>
  <c r="L50" i="9"/>
  <c r="L49" i="9" s="1"/>
  <c r="K50" i="9"/>
  <c r="K49" i="9" s="1"/>
  <c r="J50" i="9"/>
  <c r="J49" i="9" s="1"/>
  <c r="I50" i="9"/>
  <c r="I49" i="9" s="1"/>
  <c r="H50" i="9"/>
  <c r="H49" i="9" s="1"/>
  <c r="D48" i="9"/>
  <c r="C48" i="9"/>
  <c r="B48" i="9"/>
  <c r="E47" i="9"/>
  <c r="D47" i="9" s="1"/>
  <c r="C47" i="9"/>
  <c r="B47" i="9"/>
  <c r="D46" i="9"/>
  <c r="C46" i="9"/>
  <c r="B46" i="9"/>
  <c r="D45" i="9"/>
  <c r="C45" i="9"/>
  <c r="B45" i="9"/>
  <c r="AD44" i="9"/>
  <c r="AD43" i="9" s="1"/>
  <c r="AB44" i="9"/>
  <c r="AB43" i="9" s="1"/>
  <c r="Z44" i="9"/>
  <c r="Z43" i="9" s="1"/>
  <c r="X44" i="9"/>
  <c r="X43" i="9" s="1"/>
  <c r="V44" i="9"/>
  <c r="V43" i="9" s="1"/>
  <c r="T44" i="9"/>
  <c r="T43" i="9" s="1"/>
  <c r="S44" i="9"/>
  <c r="S43" i="9" s="1"/>
  <c r="R44" i="9"/>
  <c r="R43" i="9" s="1"/>
  <c r="Q44" i="9"/>
  <c r="Q43" i="9" s="1"/>
  <c r="P44" i="9"/>
  <c r="P43" i="9" s="1"/>
  <c r="O44" i="9"/>
  <c r="O43" i="9" s="1"/>
  <c r="N44" i="9"/>
  <c r="N43" i="9" s="1"/>
  <c r="M44" i="9"/>
  <c r="M43" i="9" s="1"/>
  <c r="L44" i="9"/>
  <c r="L43" i="9" s="1"/>
  <c r="K44" i="9"/>
  <c r="K43" i="9" s="1"/>
  <c r="J44" i="9"/>
  <c r="J43" i="9" s="1"/>
  <c r="I44" i="9"/>
  <c r="H44" i="9"/>
  <c r="H43" i="9" s="1"/>
  <c r="I43" i="9"/>
  <c r="D42" i="9"/>
  <c r="C42" i="9"/>
  <c r="B42" i="9"/>
  <c r="E41" i="9"/>
  <c r="E38" i="9" s="1"/>
  <c r="C41" i="9"/>
  <c r="B41" i="9"/>
  <c r="D40" i="9"/>
  <c r="C40" i="9"/>
  <c r="B40" i="9"/>
  <c r="D39" i="9"/>
  <c r="C39" i="9"/>
  <c r="B39" i="9"/>
  <c r="AD38" i="9"/>
  <c r="AD37" i="9" s="1"/>
  <c r="AB38" i="9"/>
  <c r="AB37" i="9" s="1"/>
  <c r="Z38" i="9"/>
  <c r="X38" i="9"/>
  <c r="X37" i="9" s="1"/>
  <c r="V38" i="9"/>
  <c r="V37" i="9" s="1"/>
  <c r="T38" i="9"/>
  <c r="T37" i="9" s="1"/>
  <c r="S38" i="9"/>
  <c r="S37" i="9" s="1"/>
  <c r="R38" i="9"/>
  <c r="R37" i="9" s="1"/>
  <c r="Q38" i="9"/>
  <c r="Q37" i="9" s="1"/>
  <c r="P38" i="9"/>
  <c r="P37" i="9" s="1"/>
  <c r="O38" i="9"/>
  <c r="O37" i="9" s="1"/>
  <c r="N38" i="9"/>
  <c r="N37" i="9" s="1"/>
  <c r="M38" i="9"/>
  <c r="M37" i="9" s="1"/>
  <c r="L38" i="9"/>
  <c r="L37" i="9" s="1"/>
  <c r="K38" i="9"/>
  <c r="J38" i="9"/>
  <c r="J37" i="9" s="1"/>
  <c r="I38" i="9"/>
  <c r="I37" i="9" s="1"/>
  <c r="H38" i="9"/>
  <c r="H37" i="9" s="1"/>
  <c r="Z37" i="9"/>
  <c r="K37" i="9"/>
  <c r="AD36" i="9"/>
  <c r="AB36" i="9"/>
  <c r="Z36" i="9"/>
  <c r="X36" i="9"/>
  <c r="V36" i="9"/>
  <c r="T36" i="9"/>
  <c r="S36" i="9"/>
  <c r="R36" i="9"/>
  <c r="P36" i="9"/>
  <c r="O36" i="9"/>
  <c r="N36" i="9"/>
  <c r="M36" i="9"/>
  <c r="L36" i="9"/>
  <c r="K36" i="9"/>
  <c r="J36" i="9"/>
  <c r="I36" i="9"/>
  <c r="H36" i="9"/>
  <c r="E36" i="9"/>
  <c r="D36" i="9" s="1"/>
  <c r="AD35" i="9"/>
  <c r="AB35" i="9"/>
  <c r="Z35" i="9"/>
  <c r="X35" i="9"/>
  <c r="V35" i="9"/>
  <c r="T35" i="9"/>
  <c r="S35" i="9"/>
  <c r="R35" i="9"/>
  <c r="Q35" i="9"/>
  <c r="P35" i="9"/>
  <c r="O35" i="9"/>
  <c r="N35" i="9"/>
  <c r="M35" i="9"/>
  <c r="L35" i="9"/>
  <c r="K35" i="9"/>
  <c r="J35" i="9"/>
  <c r="I35" i="9"/>
  <c r="H35" i="9"/>
  <c r="AD34" i="9"/>
  <c r="AB34" i="9"/>
  <c r="Z34" i="9"/>
  <c r="X34" i="9"/>
  <c r="V34" i="9"/>
  <c r="T34" i="9"/>
  <c r="S34" i="9"/>
  <c r="R34" i="9"/>
  <c r="Q34" i="9"/>
  <c r="P34" i="9"/>
  <c r="O34" i="9"/>
  <c r="N34" i="9"/>
  <c r="M34" i="9"/>
  <c r="L34" i="9"/>
  <c r="K34" i="9"/>
  <c r="J34" i="9"/>
  <c r="I34" i="9"/>
  <c r="H34" i="9"/>
  <c r="E34" i="9"/>
  <c r="D34" i="9" s="1"/>
  <c r="AD33" i="9"/>
  <c r="AB33" i="9"/>
  <c r="Z33" i="9"/>
  <c r="X33" i="9"/>
  <c r="V33" i="9"/>
  <c r="T33" i="9"/>
  <c r="S33" i="9"/>
  <c r="R33" i="9"/>
  <c r="Q33" i="9"/>
  <c r="P33" i="9"/>
  <c r="O33" i="9"/>
  <c r="N33" i="9"/>
  <c r="M33" i="9"/>
  <c r="L33" i="9"/>
  <c r="K33" i="9"/>
  <c r="J33" i="9"/>
  <c r="I33" i="9"/>
  <c r="H33" i="9"/>
  <c r="E33" i="9"/>
  <c r="D33" i="9" s="1"/>
  <c r="D30" i="9"/>
  <c r="B30" i="9"/>
  <c r="E29" i="9"/>
  <c r="D29" i="9" s="1"/>
  <c r="C29" i="9"/>
  <c r="C26" i="9" s="1"/>
  <c r="C25" i="9" s="1"/>
  <c r="B29" i="9"/>
  <c r="D28" i="9"/>
  <c r="B28" i="9"/>
  <c r="D27" i="9"/>
  <c r="B27" i="9"/>
  <c r="AD26" i="9"/>
  <c r="AD25" i="9" s="1"/>
  <c r="AB26" i="9"/>
  <c r="AB25" i="9" s="1"/>
  <c r="Z26" i="9"/>
  <c r="Z25" i="9" s="1"/>
  <c r="X26" i="9"/>
  <c r="X25" i="9" s="1"/>
  <c r="V26" i="9"/>
  <c r="V25" i="9" s="1"/>
  <c r="T26" i="9"/>
  <c r="T25" i="9" s="1"/>
  <c r="S26" i="9"/>
  <c r="S25" i="9" s="1"/>
  <c r="R26" i="9"/>
  <c r="R25" i="9" s="1"/>
  <c r="Q26" i="9"/>
  <c r="Q25" i="9" s="1"/>
  <c r="P26" i="9"/>
  <c r="P25" i="9" s="1"/>
  <c r="O26" i="9"/>
  <c r="O25" i="9" s="1"/>
  <c r="N26" i="9"/>
  <c r="N25" i="9" s="1"/>
  <c r="M26" i="9"/>
  <c r="M25" i="9" s="1"/>
  <c r="L26" i="9"/>
  <c r="L25" i="9" s="1"/>
  <c r="K26" i="9"/>
  <c r="K25" i="9" s="1"/>
  <c r="J26" i="9"/>
  <c r="J25" i="9" s="1"/>
  <c r="I26" i="9"/>
  <c r="I25" i="9" s="1"/>
  <c r="H26" i="9"/>
  <c r="H25" i="9" s="1"/>
  <c r="G26" i="9"/>
  <c r="F26" i="9"/>
  <c r="F25" i="9" s="1"/>
  <c r="D24" i="9"/>
  <c r="B24" i="9"/>
  <c r="E23" i="9"/>
  <c r="D23" i="9" s="1"/>
  <c r="C23" i="9"/>
  <c r="C20" i="9" s="1"/>
  <c r="C19" i="9" s="1"/>
  <c r="B23" i="9"/>
  <c r="D22" i="9"/>
  <c r="B22" i="9"/>
  <c r="D21" i="9"/>
  <c r="B21" i="9"/>
  <c r="AD20" i="9"/>
  <c r="AB20" i="9"/>
  <c r="Z20" i="9"/>
  <c r="Z19" i="9" s="1"/>
  <c r="X20" i="9"/>
  <c r="X19" i="9" s="1"/>
  <c r="V20" i="9"/>
  <c r="V19" i="9" s="1"/>
  <c r="T20" i="9"/>
  <c r="T19" i="9" s="1"/>
  <c r="S20" i="9"/>
  <c r="S19" i="9" s="1"/>
  <c r="R20" i="9"/>
  <c r="R19" i="9" s="1"/>
  <c r="Q20" i="9"/>
  <c r="Q19" i="9" s="1"/>
  <c r="P20" i="9"/>
  <c r="P19" i="9" s="1"/>
  <c r="O20" i="9"/>
  <c r="O19" i="9" s="1"/>
  <c r="N20" i="9"/>
  <c r="N19" i="9" s="1"/>
  <c r="M20" i="9"/>
  <c r="M19" i="9" s="1"/>
  <c r="L20" i="9"/>
  <c r="K20" i="9"/>
  <c r="K19" i="9" s="1"/>
  <c r="J20" i="9"/>
  <c r="J19" i="9" s="1"/>
  <c r="I20" i="9"/>
  <c r="H20" i="9"/>
  <c r="H19" i="9" s="1"/>
  <c r="G20" i="9"/>
  <c r="G19" i="9" s="1"/>
  <c r="F20" i="9"/>
  <c r="F19" i="9" s="1"/>
  <c r="AD19" i="9"/>
  <c r="AB19" i="9"/>
  <c r="L19" i="9"/>
  <c r="I19" i="9"/>
  <c r="D16" i="9"/>
  <c r="C16" i="9"/>
  <c r="B16" i="9"/>
  <c r="E15" i="9"/>
  <c r="E12" i="9" s="1"/>
  <c r="E11" i="9" s="1"/>
  <c r="C15" i="9"/>
  <c r="B15" i="9"/>
  <c r="D14" i="9"/>
  <c r="C14" i="9"/>
  <c r="B14" i="9"/>
  <c r="D13" i="9"/>
  <c r="C13" i="9"/>
  <c r="B13" i="9"/>
  <c r="AD12" i="9"/>
  <c r="AB12" i="9"/>
  <c r="AB11" i="9" s="1"/>
  <c r="Z12" i="9"/>
  <c r="Z11" i="9" s="1"/>
  <c r="X12" i="9"/>
  <c r="X11" i="9" s="1"/>
  <c r="V12" i="9"/>
  <c r="V11" i="9" s="1"/>
  <c r="T12" i="9"/>
  <c r="T11" i="9" s="1"/>
  <c r="S12" i="9"/>
  <c r="S11" i="9" s="1"/>
  <c r="R12" i="9"/>
  <c r="R11" i="9" s="1"/>
  <c r="Q12" i="9"/>
  <c r="Q11" i="9" s="1"/>
  <c r="P12" i="9"/>
  <c r="P11" i="9" s="1"/>
  <c r="O12" i="9"/>
  <c r="O11" i="9" s="1"/>
  <c r="N12" i="9"/>
  <c r="N11" i="9" s="1"/>
  <c r="M12" i="9"/>
  <c r="M11" i="9" s="1"/>
  <c r="L12" i="9"/>
  <c r="L11" i="9" s="1"/>
  <c r="K12" i="9"/>
  <c r="K11" i="9" s="1"/>
  <c r="J12" i="9"/>
  <c r="J11" i="9" s="1"/>
  <c r="I12" i="9"/>
  <c r="I11" i="9" s="1"/>
  <c r="H12" i="9"/>
  <c r="H11" i="9" s="1"/>
  <c r="G12" i="9"/>
  <c r="G11" i="9" s="1"/>
  <c r="F12" i="9"/>
  <c r="F11" i="9" s="1"/>
  <c r="AD11" i="9"/>
  <c r="B26" i="9" l="1"/>
  <c r="B25" i="9" s="1"/>
  <c r="B33" i="9"/>
  <c r="B20" i="9"/>
  <c r="B19" i="9" s="1"/>
  <c r="O32" i="9"/>
  <c r="O31" i="9" s="1"/>
  <c r="T32" i="9"/>
  <c r="T31" i="9" s="1"/>
  <c r="C50" i="9"/>
  <c r="C49" i="9" s="1"/>
  <c r="B36" i="9"/>
  <c r="I32" i="9"/>
  <c r="I31" i="9" s="1"/>
  <c r="M32" i="9"/>
  <c r="M31" i="9" s="1"/>
  <c r="Q32" i="9"/>
  <c r="Q31" i="9" s="1"/>
  <c r="B34" i="9"/>
  <c r="E44" i="9"/>
  <c r="G59" i="9"/>
  <c r="J32" i="9"/>
  <c r="J31" i="9" s="1"/>
  <c r="N32" i="9"/>
  <c r="N31" i="9" s="1"/>
  <c r="R32" i="9"/>
  <c r="R31" i="9" s="1"/>
  <c r="X32" i="9"/>
  <c r="X31" i="9" s="1"/>
  <c r="C38" i="9"/>
  <c r="C37" i="9" s="1"/>
  <c r="C68" i="9"/>
  <c r="C67" i="9" s="1"/>
  <c r="E26" i="9"/>
  <c r="E25" i="9" s="1"/>
  <c r="C56" i="9"/>
  <c r="C55" i="9" s="1"/>
  <c r="K74" i="9"/>
  <c r="K73" i="9" s="1"/>
  <c r="C74" i="9"/>
  <c r="C73" i="9" s="1"/>
  <c r="G73" i="9" s="1"/>
  <c r="AB32" i="9"/>
  <c r="AB31" i="9" s="1"/>
  <c r="G70" i="9"/>
  <c r="B12" i="9"/>
  <c r="B11" i="9" s="1"/>
  <c r="C12" i="9"/>
  <c r="C11" i="9" s="1"/>
  <c r="D15" i="9"/>
  <c r="D12" i="9" s="1"/>
  <c r="D11" i="9" s="1"/>
  <c r="K32" i="9"/>
  <c r="K31" i="9" s="1"/>
  <c r="G47" i="9"/>
  <c r="E55" i="9"/>
  <c r="D55" i="9" s="1"/>
  <c r="E61" i="9"/>
  <c r="D61" i="9" s="1"/>
  <c r="B68" i="9"/>
  <c r="B67" i="9" s="1"/>
  <c r="G71" i="9"/>
  <c r="D26" i="9"/>
  <c r="D25" i="9" s="1"/>
  <c r="V32" i="9"/>
  <c r="V31" i="9" s="1"/>
  <c r="B62" i="9"/>
  <c r="B61" i="9" s="1"/>
  <c r="B74" i="9"/>
  <c r="B73" i="9" s="1"/>
  <c r="F73" i="9" s="1"/>
  <c r="E49" i="9"/>
  <c r="D49" i="9" s="1"/>
  <c r="B53" i="9"/>
  <c r="B35" i="9" s="1"/>
  <c r="B32" i="9" s="1"/>
  <c r="B31" i="9" s="1"/>
  <c r="B56" i="9"/>
  <c r="B55" i="9" s="1"/>
  <c r="F71" i="9"/>
  <c r="S32" i="9"/>
  <c r="S31" i="9" s="1"/>
  <c r="Z32" i="9"/>
  <c r="Z31" i="9" s="1"/>
  <c r="F47" i="9"/>
  <c r="F44" i="9" s="1"/>
  <c r="F43" i="9" s="1"/>
  <c r="B44" i="9"/>
  <c r="B43" i="9" s="1"/>
  <c r="G53" i="9"/>
  <c r="C62" i="9"/>
  <c r="C61" i="9" s="1"/>
  <c r="F75" i="9"/>
  <c r="AD32" i="9"/>
  <c r="AD31" i="9" s="1"/>
  <c r="H32" i="9"/>
  <c r="H31" i="9" s="1"/>
  <c r="L32" i="9"/>
  <c r="L31" i="9" s="1"/>
  <c r="P32" i="9"/>
  <c r="P31" i="9" s="1"/>
  <c r="B38" i="9"/>
  <c r="B37" i="9" s="1"/>
  <c r="G65" i="9"/>
  <c r="E68" i="9"/>
  <c r="E67" i="9" s="1"/>
  <c r="D71" i="9"/>
  <c r="G76" i="9"/>
  <c r="D38" i="9"/>
  <c r="F41" i="9"/>
  <c r="D41" i="9"/>
  <c r="E35" i="9"/>
  <c r="E20" i="9"/>
  <c r="E19" i="9" s="1"/>
  <c r="D20" i="9"/>
  <c r="D19" i="9" s="1"/>
  <c r="E37" i="9"/>
  <c r="C33" i="9"/>
  <c r="C35" i="9"/>
  <c r="G41" i="9"/>
  <c r="C36" i="9"/>
  <c r="C44" i="9"/>
  <c r="C43" i="9" s="1"/>
  <c r="C34" i="9"/>
  <c r="D53" i="9"/>
  <c r="F59" i="9"/>
  <c r="F56" i="9" s="1"/>
  <c r="F55" i="9" s="1"/>
  <c r="D59" i="9"/>
  <c r="F70" i="9"/>
  <c r="G74" i="9"/>
  <c r="G75" i="9"/>
  <c r="F76" i="9"/>
  <c r="D75" i="9"/>
  <c r="D74" i="9" s="1"/>
  <c r="D73" i="9" s="1"/>
  <c r="C287" i="8"/>
  <c r="C284" i="8" s="1"/>
  <c r="C55" i="2"/>
  <c r="F53" i="9" l="1"/>
  <c r="F50" i="9" s="1"/>
  <c r="F49" i="9" s="1"/>
  <c r="F68" i="9"/>
  <c r="F74" i="9"/>
  <c r="G38" i="9"/>
  <c r="G50" i="9"/>
  <c r="G49" i="9" s="1"/>
  <c r="F38" i="9"/>
  <c r="E43" i="9"/>
  <c r="D43" i="9" s="1"/>
  <c r="D44" i="9"/>
  <c r="G56" i="9"/>
  <c r="G55" i="9" s="1"/>
  <c r="G44" i="9"/>
  <c r="G43" i="9" s="1"/>
  <c r="F67" i="9"/>
  <c r="G67" i="9"/>
  <c r="D67" i="9"/>
  <c r="G68" i="9"/>
  <c r="G62" i="9"/>
  <c r="D68" i="9"/>
  <c r="B50" i="9"/>
  <c r="B49" i="9" s="1"/>
  <c r="C32" i="9"/>
  <c r="C31" i="9" s="1"/>
  <c r="F37" i="9"/>
  <c r="D37" i="9"/>
  <c r="G37" i="9"/>
  <c r="G35" i="9"/>
  <c r="E32" i="9"/>
  <c r="F35" i="9"/>
  <c r="F32" i="9" s="1"/>
  <c r="F31" i="9" s="1"/>
  <c r="D35" i="9"/>
  <c r="D59" i="11"/>
  <c r="D99" i="11" l="1"/>
  <c r="D96" i="11" s="1"/>
  <c r="E96" i="11"/>
  <c r="G99" i="11"/>
  <c r="G32" i="9"/>
  <c r="G31" i="9" s="1"/>
  <c r="E31" i="9"/>
  <c r="D31" i="9" s="1"/>
  <c r="D32" i="9"/>
  <c r="S50" i="11"/>
  <c r="S49" i="11" s="1"/>
  <c r="S70" i="11"/>
  <c r="S64" i="11"/>
  <c r="D58" i="11" l="1"/>
  <c r="D57" i="11" s="1"/>
  <c r="H67" i="18"/>
  <c r="I67" i="18"/>
  <c r="J67" i="18"/>
  <c r="K67" i="18"/>
  <c r="L67" i="18"/>
  <c r="M67" i="18"/>
  <c r="N67" i="18"/>
  <c r="O67" i="18"/>
  <c r="P67" i="18"/>
  <c r="Q67" i="18"/>
  <c r="H66" i="18"/>
  <c r="I66" i="18"/>
  <c r="J66" i="18"/>
  <c r="K66" i="18"/>
  <c r="L66" i="18"/>
  <c r="M66" i="18"/>
  <c r="N66" i="18"/>
  <c r="O66" i="18"/>
  <c r="P66" i="18"/>
  <c r="Q66" i="18"/>
  <c r="H65" i="18"/>
  <c r="I65" i="18"/>
  <c r="J65" i="18"/>
  <c r="K65" i="18"/>
  <c r="L65" i="18"/>
  <c r="M65" i="18"/>
  <c r="N65" i="18"/>
  <c r="O65" i="18"/>
  <c r="P65" i="18"/>
  <c r="Q65" i="18"/>
  <c r="M29" i="18"/>
  <c r="E57" i="11" l="1"/>
  <c r="I34" i="18"/>
  <c r="I157" i="18" s="1"/>
  <c r="J34" i="18"/>
  <c r="J157" i="18" s="1"/>
  <c r="K34" i="18"/>
  <c r="K157" i="18" s="1"/>
  <c r="L34" i="18"/>
  <c r="L157" i="18" s="1"/>
  <c r="M34" i="18"/>
  <c r="M157" i="18" s="1"/>
  <c r="N34" i="18"/>
  <c r="N157" i="18" s="1"/>
  <c r="O34" i="18"/>
  <c r="O157" i="18" s="1"/>
  <c r="P34" i="18"/>
  <c r="Q34" i="18"/>
  <c r="Q157" i="18" s="1"/>
  <c r="R34" i="18"/>
  <c r="R157" i="18" s="1"/>
  <c r="S34" i="18"/>
  <c r="S157" i="18" s="1"/>
  <c r="T34" i="18"/>
  <c r="T157" i="18" s="1"/>
  <c r="U34" i="18"/>
  <c r="U157" i="18" s="1"/>
  <c r="V34" i="18"/>
  <c r="V157" i="18" s="1"/>
  <c r="W34" i="18"/>
  <c r="W157" i="18" s="1"/>
  <c r="X34" i="18"/>
  <c r="X157" i="18" s="1"/>
  <c r="Y34" i="18"/>
  <c r="Y157" i="18" s="1"/>
  <c r="Z34" i="18"/>
  <c r="Z157" i="18" s="1"/>
  <c r="AA34" i="18"/>
  <c r="AA157" i="18" s="1"/>
  <c r="AB34" i="18"/>
  <c r="AB157" i="18" s="1"/>
  <c r="AC34" i="18"/>
  <c r="AC157" i="18" s="1"/>
  <c r="AD34" i="18"/>
  <c r="AD157" i="18" s="1"/>
  <c r="AE34" i="18"/>
  <c r="AE157" i="18" s="1"/>
  <c r="H34" i="18"/>
  <c r="P157" i="18" l="1"/>
  <c r="C34" i="18"/>
  <c r="H157" i="18"/>
  <c r="I29" i="18"/>
  <c r="J29" i="18"/>
  <c r="K29" i="18"/>
  <c r="L29" i="18"/>
  <c r="N29" i="18"/>
  <c r="O29" i="18"/>
  <c r="P29" i="18"/>
  <c r="Q29" i="18"/>
  <c r="R29" i="18"/>
  <c r="S29" i="18"/>
  <c r="T29" i="18"/>
  <c r="U29" i="18"/>
  <c r="V29" i="18"/>
  <c r="W29" i="18"/>
  <c r="X29" i="18"/>
  <c r="Y29" i="18"/>
  <c r="Z29" i="18"/>
  <c r="AA29" i="18"/>
  <c r="AB29" i="18"/>
  <c r="AC29" i="18"/>
  <c r="AD29" i="18"/>
  <c r="AE29" i="18"/>
  <c r="H29" i="18"/>
  <c r="E30" i="18"/>
  <c r="D30" i="18" s="1"/>
  <c r="B30" i="18"/>
  <c r="I25" i="18"/>
  <c r="J25" i="18"/>
  <c r="K25" i="18"/>
  <c r="L25" i="18"/>
  <c r="M25" i="18"/>
  <c r="N25" i="18"/>
  <c r="O25" i="18"/>
  <c r="P25" i="18"/>
  <c r="Q25" i="18"/>
  <c r="R25" i="18"/>
  <c r="S25" i="18"/>
  <c r="T25" i="18"/>
  <c r="U25" i="18"/>
  <c r="V25" i="18"/>
  <c r="W25" i="18"/>
  <c r="X25" i="18"/>
  <c r="Y25" i="18"/>
  <c r="Z25" i="18"/>
  <c r="AA25" i="18"/>
  <c r="AB25" i="18"/>
  <c r="AC25" i="18"/>
  <c r="AD25" i="18"/>
  <c r="AE25" i="18"/>
  <c r="H25" i="18"/>
  <c r="E26" i="18"/>
  <c r="D26" i="18" s="1"/>
  <c r="B26" i="18"/>
  <c r="I21" i="18"/>
  <c r="J21" i="18"/>
  <c r="K21" i="18"/>
  <c r="L21" i="18"/>
  <c r="M21" i="18"/>
  <c r="N21" i="18"/>
  <c r="O21" i="18"/>
  <c r="P21" i="18"/>
  <c r="Q21" i="18"/>
  <c r="R21" i="18"/>
  <c r="S21" i="18"/>
  <c r="T21" i="18"/>
  <c r="U21" i="18"/>
  <c r="V21" i="18"/>
  <c r="W21" i="18"/>
  <c r="X21" i="18"/>
  <c r="Y21" i="18"/>
  <c r="Z21" i="18"/>
  <c r="AA21" i="18"/>
  <c r="AB21" i="18"/>
  <c r="AC21" i="18"/>
  <c r="AD21" i="18"/>
  <c r="AE21" i="18"/>
  <c r="H21" i="18"/>
  <c r="E22" i="18"/>
  <c r="B22" i="18"/>
  <c r="C134" i="18"/>
  <c r="C126" i="18"/>
  <c r="C127" i="18"/>
  <c r="C125" i="18"/>
  <c r="C121" i="18"/>
  <c r="C122" i="18"/>
  <c r="C120" i="18"/>
  <c r="C116" i="18"/>
  <c r="C117" i="18"/>
  <c r="C115" i="18"/>
  <c r="C112" i="18"/>
  <c r="C110" i="18"/>
  <c r="C101" i="18"/>
  <c r="C102" i="18"/>
  <c r="C100" i="18"/>
  <c r="C96" i="18"/>
  <c r="C97" i="18"/>
  <c r="C95" i="18"/>
  <c r="C91" i="18"/>
  <c r="C92" i="18"/>
  <c r="C90" i="18"/>
  <c r="C86" i="18"/>
  <c r="C87" i="18"/>
  <c r="C85" i="18"/>
  <c r="C81" i="18"/>
  <c r="C82" i="18"/>
  <c r="C80" i="18"/>
  <c r="C61" i="18"/>
  <c r="C62" i="18"/>
  <c r="C60" i="18"/>
  <c r="C29" i="18"/>
  <c r="C21" i="18"/>
  <c r="C157" i="18" l="1"/>
  <c r="G30" i="18"/>
  <c r="C67" i="18"/>
  <c r="C65" i="18"/>
  <c r="C66" i="18"/>
  <c r="B34" i="18"/>
  <c r="F30" i="18"/>
  <c r="F26" i="18"/>
  <c r="D22" i="18"/>
  <c r="E34" i="18"/>
  <c r="E157" i="18" s="1"/>
  <c r="C25" i="18"/>
  <c r="G26" i="18"/>
  <c r="G22" i="18"/>
  <c r="F22" i="18"/>
  <c r="S150" i="14"/>
  <c r="E150" i="14" s="1"/>
  <c r="E149" i="14"/>
  <c r="AH149" i="14" s="1"/>
  <c r="E152" i="14"/>
  <c r="D152" i="14" s="1"/>
  <c r="C152" i="14"/>
  <c r="C147" i="14" s="1"/>
  <c r="E106" i="14"/>
  <c r="G106" i="14" s="1"/>
  <c r="E344" i="14"/>
  <c r="N331" i="14"/>
  <c r="P332" i="14"/>
  <c r="E333" i="14"/>
  <c r="P333" i="14"/>
  <c r="R309" i="14"/>
  <c r="C309" i="14" s="1"/>
  <c r="R297" i="14"/>
  <c r="G157" i="18" l="1"/>
  <c r="B157" i="18"/>
  <c r="F157" i="18" s="1"/>
  <c r="G34" i="18"/>
  <c r="F34" i="18"/>
  <c r="D34" i="18"/>
  <c r="D157" i="18" s="1"/>
  <c r="X264" i="14"/>
  <c r="R264" i="14"/>
  <c r="R258" i="14"/>
  <c r="C234" i="14"/>
  <c r="V195" i="14"/>
  <c r="R195" i="14"/>
  <c r="R196" i="14"/>
  <c r="AD197" i="14"/>
  <c r="R157" i="14"/>
  <c r="C157" i="14" s="1"/>
  <c r="B98" i="14" l="1"/>
  <c r="B92" i="14" s="1"/>
  <c r="C194" i="14"/>
  <c r="E76" i="14"/>
  <c r="B41" i="14"/>
  <c r="E41" i="14"/>
  <c r="F41" i="14" l="1"/>
  <c r="D41" i="14"/>
  <c r="G41" i="14"/>
  <c r="I126" i="21" l="1"/>
  <c r="J126" i="21"/>
  <c r="K126" i="21"/>
  <c r="L126" i="21"/>
  <c r="M126" i="21"/>
  <c r="N126" i="21"/>
  <c r="O126" i="21"/>
  <c r="P126" i="21"/>
  <c r="Q126" i="21"/>
  <c r="R126" i="21"/>
  <c r="S126" i="21"/>
  <c r="T126" i="21"/>
  <c r="U126" i="21"/>
  <c r="V126" i="21"/>
  <c r="W126" i="21"/>
  <c r="X126" i="21"/>
  <c r="Y126" i="21"/>
  <c r="Z126" i="21"/>
  <c r="AA126" i="21"/>
  <c r="AB126" i="21"/>
  <c r="AC126" i="21"/>
  <c r="AD126" i="21"/>
  <c r="AE126" i="21"/>
  <c r="I127" i="21"/>
  <c r="J127" i="21"/>
  <c r="K127" i="21"/>
  <c r="L127" i="21"/>
  <c r="M127" i="21"/>
  <c r="N127" i="21"/>
  <c r="O127" i="21"/>
  <c r="P127" i="21"/>
  <c r="Q127" i="21"/>
  <c r="R127" i="21"/>
  <c r="S127" i="21"/>
  <c r="T127" i="21"/>
  <c r="U127" i="21"/>
  <c r="V127" i="21"/>
  <c r="W127" i="21"/>
  <c r="X127" i="21"/>
  <c r="Y127" i="21"/>
  <c r="Z127" i="21"/>
  <c r="AA127" i="21"/>
  <c r="AB127" i="21"/>
  <c r="AC127" i="21"/>
  <c r="AD127" i="21"/>
  <c r="AE127" i="21"/>
  <c r="I128" i="21"/>
  <c r="J128" i="21"/>
  <c r="K128" i="21"/>
  <c r="L128" i="21"/>
  <c r="M128" i="21"/>
  <c r="N128" i="21"/>
  <c r="O128" i="21"/>
  <c r="P128" i="21"/>
  <c r="Q128" i="21"/>
  <c r="R128" i="21"/>
  <c r="S128" i="21"/>
  <c r="T128" i="21"/>
  <c r="U128" i="21"/>
  <c r="V128" i="21"/>
  <c r="W128" i="21"/>
  <c r="X128" i="21"/>
  <c r="Y128" i="21"/>
  <c r="Z128" i="21"/>
  <c r="AA128" i="21"/>
  <c r="AB128" i="21"/>
  <c r="AC128" i="21"/>
  <c r="AD128" i="21"/>
  <c r="AE128" i="21"/>
  <c r="I129" i="21"/>
  <c r="J129" i="21"/>
  <c r="K129" i="21"/>
  <c r="L129" i="21"/>
  <c r="M129" i="21"/>
  <c r="N129" i="21"/>
  <c r="O129" i="21"/>
  <c r="P129" i="21"/>
  <c r="Q129" i="21"/>
  <c r="R129" i="21"/>
  <c r="S129" i="21"/>
  <c r="T129" i="21"/>
  <c r="U129" i="21"/>
  <c r="V129" i="21"/>
  <c r="W129" i="21"/>
  <c r="X129" i="21"/>
  <c r="Y129" i="21"/>
  <c r="Z129" i="21"/>
  <c r="AA129" i="21"/>
  <c r="AB129" i="21"/>
  <c r="AC129" i="21"/>
  <c r="AD129" i="21"/>
  <c r="AE129" i="21"/>
  <c r="H127" i="21"/>
  <c r="H128" i="21"/>
  <c r="H129" i="21"/>
  <c r="H126" i="21"/>
  <c r="C128" i="21"/>
  <c r="C129" i="21"/>
  <c r="C126" i="21"/>
  <c r="E145" i="21"/>
  <c r="D145" i="21" s="1"/>
  <c r="D143" i="21" s="1"/>
  <c r="C143" i="21"/>
  <c r="B145" i="21"/>
  <c r="B143" i="21" s="1"/>
  <c r="AE143" i="21"/>
  <c r="AD143" i="21"/>
  <c r="AC143" i="21"/>
  <c r="AB143" i="21"/>
  <c r="AA143" i="21"/>
  <c r="Z143" i="21"/>
  <c r="Y143" i="21"/>
  <c r="X143" i="21"/>
  <c r="W143" i="21"/>
  <c r="V143" i="21"/>
  <c r="U143" i="21"/>
  <c r="T143" i="21"/>
  <c r="S143" i="21"/>
  <c r="R143" i="21"/>
  <c r="Q143" i="21"/>
  <c r="P143" i="21"/>
  <c r="O143" i="21"/>
  <c r="N143" i="21"/>
  <c r="M143" i="21"/>
  <c r="L143" i="21"/>
  <c r="K143" i="21"/>
  <c r="J143" i="21"/>
  <c r="I143" i="21"/>
  <c r="H143" i="21"/>
  <c r="E143" i="21" l="1"/>
  <c r="F143" i="21" s="1"/>
  <c r="F145" i="21"/>
  <c r="G145" i="21"/>
  <c r="C127" i="21"/>
  <c r="C19" i="21"/>
  <c r="G143" i="21" l="1"/>
  <c r="C17" i="21"/>
  <c r="C20" i="21"/>
  <c r="E20" i="4" l="1"/>
  <c r="D20" i="4"/>
  <c r="Q49" i="4"/>
  <c r="S50" i="4"/>
  <c r="E50" i="4" s="1"/>
  <c r="P49" i="4" l="1"/>
  <c r="B51" i="4"/>
  <c r="B63" i="4" s="1"/>
  <c r="C51" i="4"/>
  <c r="C63" i="4" s="1"/>
  <c r="D51" i="4"/>
  <c r="D63" i="4" s="1"/>
  <c r="E51" i="4"/>
  <c r="E63" i="4" s="1"/>
  <c r="V33" i="4"/>
  <c r="V32" i="4" s="1"/>
  <c r="E49" i="4" l="1"/>
  <c r="C49" i="4"/>
  <c r="F63" i="4"/>
  <c r="D49" i="4"/>
  <c r="F51" i="4"/>
  <c r="G51" i="4"/>
  <c r="G63" i="4" s="1"/>
  <c r="E30" i="4"/>
  <c r="AA30" i="4"/>
  <c r="AA29" i="4" s="1"/>
  <c r="AB30" i="4"/>
  <c r="AB29" i="4" s="1"/>
  <c r="AC30" i="4"/>
  <c r="AC29" i="4" s="1"/>
  <c r="AD30" i="4"/>
  <c r="AD29" i="4" s="1"/>
  <c r="AE30" i="4"/>
  <c r="AE29" i="4" s="1"/>
  <c r="Z30" i="4"/>
  <c r="Z29" i="4" s="1"/>
  <c r="Y30" i="4"/>
  <c r="Y29" i="4" s="1"/>
  <c r="X30" i="4"/>
  <c r="X29" i="4" s="1"/>
  <c r="W30" i="4"/>
  <c r="W29" i="4" s="1"/>
  <c r="U30" i="4"/>
  <c r="U29" i="4" s="1"/>
  <c r="V30" i="4"/>
  <c r="V29" i="4" s="1"/>
  <c r="T30" i="4"/>
  <c r="T29" i="4" s="1"/>
  <c r="S30" i="4"/>
  <c r="S29" i="4" s="1"/>
  <c r="R30" i="4"/>
  <c r="R29" i="4" s="1"/>
  <c r="E102" i="17" l="1"/>
  <c r="T18" i="6" l="1"/>
  <c r="Q116" i="6"/>
  <c r="E19" i="6"/>
  <c r="F93" i="11" l="1"/>
  <c r="F81" i="11"/>
  <c r="F78" i="11" s="1"/>
  <c r="E102" i="22" l="1"/>
  <c r="D102" i="22" s="1"/>
  <c r="C102" i="22"/>
  <c r="B102" i="22"/>
  <c r="G101" i="22"/>
  <c r="F101" i="22"/>
  <c r="E100" i="22"/>
  <c r="D100" i="22" s="1"/>
  <c r="C100" i="22"/>
  <c r="B100" i="22"/>
  <c r="E99" i="22"/>
  <c r="D99" i="22" s="1"/>
  <c r="C99" i="22"/>
  <c r="B99" i="22"/>
  <c r="AC98" i="22"/>
  <c r="AA98" i="22"/>
  <c r="Y98" i="22"/>
  <c r="X98" i="22"/>
  <c r="S98" i="22"/>
  <c r="R98" i="22"/>
  <c r="O98" i="22"/>
  <c r="N98" i="22"/>
  <c r="K98" i="22"/>
  <c r="J98" i="22"/>
  <c r="G98" i="22"/>
  <c r="F98" i="22"/>
  <c r="E96" i="22"/>
  <c r="C96" i="22"/>
  <c r="B96" i="22"/>
  <c r="F91" i="22"/>
  <c r="G91" i="22"/>
  <c r="J91" i="22"/>
  <c r="K91" i="22"/>
  <c r="N91" i="22"/>
  <c r="O91" i="22"/>
  <c r="T91" i="22"/>
  <c r="U91" i="22"/>
  <c r="W91" i="22"/>
  <c r="X91" i="22"/>
  <c r="Y91" i="22"/>
  <c r="AB91" i="22"/>
  <c r="AC91" i="22"/>
  <c r="AE91" i="22"/>
  <c r="B92" i="22"/>
  <c r="C92" i="22"/>
  <c r="E92" i="22"/>
  <c r="B93" i="22"/>
  <c r="C93" i="22"/>
  <c r="E93" i="22"/>
  <c r="F94" i="22"/>
  <c r="G94" i="22"/>
  <c r="B95" i="22"/>
  <c r="C95" i="22"/>
  <c r="E95" i="22"/>
  <c r="F85" i="22"/>
  <c r="G85" i="22"/>
  <c r="J85" i="22"/>
  <c r="K85" i="22"/>
  <c r="L85" i="22"/>
  <c r="M85" i="22"/>
  <c r="N85" i="22"/>
  <c r="O85" i="22"/>
  <c r="R85" i="22"/>
  <c r="T85" i="22"/>
  <c r="U85" i="22"/>
  <c r="W85" i="22"/>
  <c r="X85" i="22"/>
  <c r="Y85" i="22"/>
  <c r="B86" i="22"/>
  <c r="C86" i="22"/>
  <c r="E86" i="22"/>
  <c r="D86" i="22" s="1"/>
  <c r="B87" i="22"/>
  <c r="C87" i="22"/>
  <c r="E87" i="22"/>
  <c r="B89" i="22"/>
  <c r="C89" i="22"/>
  <c r="E89" i="22"/>
  <c r="G78" i="22"/>
  <c r="H78" i="22"/>
  <c r="I78" i="22"/>
  <c r="J78" i="22"/>
  <c r="K78" i="22"/>
  <c r="N78" i="22"/>
  <c r="O78" i="22"/>
  <c r="R78" i="22"/>
  <c r="S78" i="22"/>
  <c r="T78" i="22"/>
  <c r="U78" i="22"/>
  <c r="W78" i="22"/>
  <c r="X78" i="22"/>
  <c r="AC78" i="22"/>
  <c r="B79" i="22"/>
  <c r="C79" i="22"/>
  <c r="E79" i="22"/>
  <c r="D79" i="22" s="1"/>
  <c r="B80" i="22"/>
  <c r="C80" i="22"/>
  <c r="E80" i="22"/>
  <c r="D80" i="22" s="1"/>
  <c r="F81" i="22"/>
  <c r="G81" i="22"/>
  <c r="B82" i="22"/>
  <c r="C82" i="22"/>
  <c r="E82" i="22"/>
  <c r="D82" i="22" s="1"/>
  <c r="Q26" i="22"/>
  <c r="P26" i="22"/>
  <c r="D37" i="22"/>
  <c r="D39" i="22"/>
  <c r="C40" i="22"/>
  <c r="G40" i="22" s="1"/>
  <c r="C36" i="22"/>
  <c r="G36" i="22" s="1"/>
  <c r="B36" i="22"/>
  <c r="F36" i="22" s="1"/>
  <c r="F39" i="22"/>
  <c r="B40" i="22"/>
  <c r="F40" i="22" s="1"/>
  <c r="G39" i="22"/>
  <c r="G37" i="22"/>
  <c r="F37" i="22"/>
  <c r="AE35" i="22"/>
  <c r="AD35" i="22"/>
  <c r="AB35" i="22"/>
  <c r="AA35" i="22"/>
  <c r="T35" i="22"/>
  <c r="Q35" i="22"/>
  <c r="P35" i="22"/>
  <c r="O35" i="22"/>
  <c r="N35" i="22"/>
  <c r="M35" i="22"/>
  <c r="L35" i="22"/>
  <c r="K35" i="22"/>
  <c r="J35" i="22"/>
  <c r="I35" i="22"/>
  <c r="H35" i="22"/>
  <c r="F89" i="22" l="1"/>
  <c r="G102" i="22"/>
  <c r="F82" i="22"/>
  <c r="F87" i="22"/>
  <c r="G86" i="22"/>
  <c r="D40" i="22"/>
  <c r="D36" i="22"/>
  <c r="G96" i="22"/>
  <c r="F93" i="22"/>
  <c r="F92" i="22"/>
  <c r="D92" i="22"/>
  <c r="D38" i="22"/>
  <c r="G80" i="22"/>
  <c r="G92" i="22"/>
  <c r="F99" i="22"/>
  <c r="F100" i="22"/>
  <c r="G82" i="22"/>
  <c r="F80" i="22"/>
  <c r="F95" i="22"/>
  <c r="D96" i="22"/>
  <c r="G99" i="22"/>
  <c r="F102" i="22"/>
  <c r="G100" i="22"/>
  <c r="F96" i="22"/>
  <c r="D95" i="22"/>
  <c r="D93" i="22"/>
  <c r="G95" i="22"/>
  <c r="G93" i="22"/>
  <c r="D89" i="22"/>
  <c r="D87" i="22"/>
  <c r="F86" i="22"/>
  <c r="G89" i="22"/>
  <c r="G87" i="22"/>
  <c r="G79" i="22"/>
  <c r="F79" i="22"/>
  <c r="F38" i="22" l="1"/>
  <c r="G38" i="22"/>
  <c r="D35" i="22"/>
  <c r="P141" i="8" l="1"/>
  <c r="Q217" i="8" l="1"/>
  <c r="N141" i="8" l="1"/>
  <c r="AD115" i="7" l="1"/>
  <c r="X115" i="7"/>
  <c r="V115" i="7"/>
  <c r="C79" i="7"/>
  <c r="E79" i="7"/>
  <c r="G41" i="7" l="1"/>
  <c r="Q61" i="11"/>
  <c r="P45" i="11"/>
  <c r="R45" i="11" s="1"/>
  <c r="T45" i="11" s="1"/>
  <c r="Q45" i="11"/>
  <c r="S45" i="11" s="1"/>
  <c r="U45" i="11" s="1"/>
  <c r="P46" i="11"/>
  <c r="R46" i="11" s="1"/>
  <c r="T46" i="11" s="1"/>
  <c r="Q46" i="11"/>
  <c r="S46" i="11" s="1"/>
  <c r="U46" i="11" s="1"/>
  <c r="P47" i="11"/>
  <c r="R47" i="11" s="1"/>
  <c r="Q47" i="11"/>
  <c r="S47" i="11" s="1"/>
  <c r="U47" i="11" s="1"/>
  <c r="P48" i="11"/>
  <c r="R48" i="11" s="1"/>
  <c r="T48" i="11" s="1"/>
  <c r="Q48" i="11"/>
  <c r="S48" i="11" s="1"/>
  <c r="U48" i="11" s="1"/>
  <c r="Q18" i="11"/>
  <c r="P18" i="11"/>
  <c r="R44" i="11" l="1"/>
  <c r="R43" i="11" s="1"/>
  <c r="T47" i="11"/>
  <c r="T44" i="11" s="1"/>
  <c r="T43" i="11" s="1"/>
  <c r="Q90" i="11"/>
  <c r="P90" i="11"/>
  <c r="D92" i="11"/>
  <c r="Q70" i="11"/>
  <c r="Q64" i="11"/>
  <c r="E39" i="5" l="1"/>
  <c r="E42" i="7"/>
  <c r="E43" i="7"/>
  <c r="P107" i="7"/>
  <c r="J107" i="7"/>
  <c r="W91" i="7"/>
  <c r="V91" i="7"/>
  <c r="K91" i="7"/>
  <c r="H91" i="7"/>
  <c r="L82" i="7"/>
  <c r="L81" i="7" s="1"/>
  <c r="M82" i="7"/>
  <c r="M81" i="7" s="1"/>
  <c r="N82" i="7"/>
  <c r="N81" i="7" s="1"/>
  <c r="O82" i="7"/>
  <c r="O81" i="7" s="1"/>
  <c r="P82" i="7"/>
  <c r="P81" i="7" s="1"/>
  <c r="Q82" i="7"/>
  <c r="Q81" i="7" s="1"/>
  <c r="R82" i="7"/>
  <c r="R81" i="7" s="1"/>
  <c r="S82" i="7"/>
  <c r="S81" i="7" s="1"/>
  <c r="T82" i="7"/>
  <c r="T81" i="7" s="1"/>
  <c r="U82" i="7"/>
  <c r="U81" i="7" s="1"/>
  <c r="V82" i="7"/>
  <c r="V81" i="7" s="1"/>
  <c r="W82" i="7"/>
  <c r="W81" i="7" s="1"/>
  <c r="X82" i="7"/>
  <c r="X81" i="7" s="1"/>
  <c r="Y82" i="7"/>
  <c r="Y81" i="7" s="1"/>
  <c r="Z82" i="7"/>
  <c r="AA82" i="7"/>
  <c r="AB82" i="7"/>
  <c r="AB81" i="7" s="1"/>
  <c r="AC82" i="7"/>
  <c r="AC81" i="7" s="1"/>
  <c r="AD82" i="7"/>
  <c r="AD81" i="7" s="1"/>
  <c r="AE81" i="7"/>
  <c r="K82" i="7"/>
  <c r="K81" i="7" s="1"/>
  <c r="H82" i="7"/>
  <c r="X64" i="7"/>
  <c r="P64" i="7"/>
  <c r="Q64" i="7"/>
  <c r="R64" i="7"/>
  <c r="S64" i="7"/>
  <c r="T64" i="7"/>
  <c r="U64" i="7"/>
  <c r="V64" i="7"/>
  <c r="W64" i="7"/>
  <c r="Y64" i="7"/>
  <c r="Z64" i="7"/>
  <c r="AA64" i="7"/>
  <c r="AB64" i="7"/>
  <c r="AC64" i="7"/>
  <c r="AD64" i="7"/>
  <c r="AE64" i="7"/>
  <c r="O64" i="7"/>
  <c r="N64" i="7"/>
  <c r="M64" i="7"/>
  <c r="L64" i="7"/>
  <c r="H64" i="7"/>
  <c r="J26" i="7"/>
  <c r="V102" i="21" l="1"/>
  <c r="B102" i="21" s="1"/>
  <c r="B100" i="21" s="1"/>
  <c r="E102" i="21"/>
  <c r="G102" i="21" s="1"/>
  <c r="G100" i="21" s="1"/>
  <c r="C100" i="21"/>
  <c r="AE100" i="21"/>
  <c r="AD100" i="21"/>
  <c r="AC100" i="21"/>
  <c r="AB100" i="21"/>
  <c r="AA100" i="21"/>
  <c r="Z100" i="21"/>
  <c r="Y100" i="21"/>
  <c r="X100" i="21"/>
  <c r="W100" i="21"/>
  <c r="V100" i="21"/>
  <c r="U100" i="21"/>
  <c r="T100" i="21"/>
  <c r="S100" i="21"/>
  <c r="R100" i="21"/>
  <c r="Q100" i="21"/>
  <c r="P100" i="21"/>
  <c r="O100" i="21"/>
  <c r="N100" i="21"/>
  <c r="M100" i="21"/>
  <c r="L100" i="21"/>
  <c r="K100" i="21"/>
  <c r="J100" i="21"/>
  <c r="I100" i="21"/>
  <c r="H100" i="21"/>
  <c r="E100" i="21" l="1"/>
  <c r="D102" i="21"/>
  <c r="D100" i="21" s="1"/>
  <c r="F102" i="21"/>
  <c r="F100" i="21" s="1"/>
  <c r="D31" i="2"/>
  <c r="H147" i="14" l="1"/>
  <c r="I147" i="14"/>
  <c r="J147" i="14"/>
  <c r="K147" i="14"/>
  <c r="M147" i="14"/>
  <c r="N147" i="14"/>
  <c r="O147" i="14"/>
  <c r="Q147" i="14"/>
  <c r="R147" i="14"/>
  <c r="S147" i="14"/>
  <c r="U147" i="14"/>
  <c r="W147" i="14"/>
  <c r="X147" i="14"/>
  <c r="Y147" i="14"/>
  <c r="Z147" i="14"/>
  <c r="AA147" i="14"/>
  <c r="AB147" i="14"/>
  <c r="AC147" i="14"/>
  <c r="AE147" i="14"/>
  <c r="AG148" i="14"/>
  <c r="AG149" i="14"/>
  <c r="D150" i="14"/>
  <c r="L150" i="14"/>
  <c r="P147" i="14"/>
  <c r="T147" i="14"/>
  <c r="V147" i="14"/>
  <c r="AD147" i="14"/>
  <c r="B152" i="14"/>
  <c r="AG153" i="14"/>
  <c r="H154" i="14"/>
  <c r="I154" i="14"/>
  <c r="J154" i="14"/>
  <c r="K154" i="14"/>
  <c r="L154" i="14"/>
  <c r="M154" i="14"/>
  <c r="N154" i="14"/>
  <c r="O154" i="14"/>
  <c r="P154" i="14"/>
  <c r="Q154" i="14"/>
  <c r="R154" i="14"/>
  <c r="S154" i="14"/>
  <c r="T154" i="14"/>
  <c r="U154" i="14"/>
  <c r="V154" i="14"/>
  <c r="W154" i="14"/>
  <c r="X154" i="14"/>
  <c r="Y154" i="14"/>
  <c r="Z154" i="14"/>
  <c r="AA154" i="14"/>
  <c r="AB154" i="14"/>
  <c r="AC154" i="14"/>
  <c r="AD154" i="14"/>
  <c r="AE154" i="14"/>
  <c r="AD95" i="14"/>
  <c r="B150" i="14" l="1"/>
  <c r="AG152" i="14"/>
  <c r="B147" i="14"/>
  <c r="AG150" i="14"/>
  <c r="F151" i="14"/>
  <c r="G152" i="14"/>
  <c r="D151" i="14"/>
  <c r="F149" i="14"/>
  <c r="F152" i="14"/>
  <c r="G151" i="14"/>
  <c r="D149" i="14"/>
  <c r="D147" i="14" s="1"/>
  <c r="L147" i="14"/>
  <c r="E147" i="14"/>
  <c r="G149" i="14"/>
  <c r="E43" i="8"/>
  <c r="D43" i="8"/>
  <c r="C43" i="8"/>
  <c r="B43" i="8"/>
  <c r="AG147" i="14" l="1"/>
  <c r="F150" i="14"/>
  <c r="G147" i="14"/>
  <c r="G150" i="14"/>
  <c r="E16" i="6"/>
  <c r="D16" i="6" s="1"/>
  <c r="C12" i="6"/>
  <c r="C11" i="6"/>
  <c r="N10" i="6"/>
  <c r="F147" i="14" l="1"/>
  <c r="C121" i="17" l="1"/>
  <c r="C120" i="17"/>
  <c r="C117" i="17"/>
  <c r="I121" i="17"/>
  <c r="J121" i="17"/>
  <c r="K121" i="17"/>
  <c r="L121" i="17"/>
  <c r="M121" i="17"/>
  <c r="N121" i="17"/>
  <c r="O121" i="17"/>
  <c r="P121" i="17"/>
  <c r="Q121" i="17"/>
  <c r="R121" i="17"/>
  <c r="S121" i="17"/>
  <c r="T121" i="17"/>
  <c r="U121" i="17"/>
  <c r="V121" i="17"/>
  <c r="W121" i="17"/>
  <c r="X121" i="17"/>
  <c r="Y121" i="17"/>
  <c r="Z121" i="17"/>
  <c r="AA121" i="17"/>
  <c r="AB121" i="17"/>
  <c r="AC121" i="17"/>
  <c r="AD121" i="17"/>
  <c r="AE121" i="17"/>
  <c r="I64" i="5"/>
  <c r="C105" i="8"/>
  <c r="E76" i="8"/>
  <c r="B76" i="8"/>
  <c r="AD100" i="17"/>
  <c r="D76" i="8" l="1"/>
  <c r="G76" i="8"/>
  <c r="C119" i="17"/>
  <c r="C118" i="17"/>
  <c r="C116" i="17" l="1"/>
  <c r="O81" i="11" l="1"/>
  <c r="O96" i="11" l="1"/>
  <c r="O90" i="11"/>
  <c r="O60" i="11"/>
  <c r="O59" i="11"/>
  <c r="O70" i="11"/>
  <c r="N70" i="11"/>
  <c r="O64" i="11"/>
  <c r="O44" i="11"/>
  <c r="Q44" i="11" s="1"/>
  <c r="N44" i="11"/>
  <c r="O11" i="11"/>
  <c r="O24" i="11"/>
  <c r="N24" i="11"/>
  <c r="O18" i="11"/>
  <c r="N18" i="11"/>
  <c r="O43" i="11" l="1"/>
  <c r="Q43" i="11" s="1"/>
  <c r="N43" i="11"/>
  <c r="P43" i="11" s="1"/>
  <c r="P44" i="11"/>
  <c r="G73" i="11"/>
  <c r="E339" i="14"/>
  <c r="E332" i="14"/>
  <c r="AB264" i="14" l="1"/>
  <c r="E49" i="19" l="1"/>
  <c r="D51" i="5" l="1"/>
  <c r="C154" i="14"/>
  <c r="B278" i="14"/>
  <c r="B272" i="14" s="1"/>
  <c r="H291" i="14"/>
  <c r="R332" i="14"/>
  <c r="N332" i="14"/>
  <c r="N333" i="14"/>
  <c r="G333" i="14" l="1"/>
  <c r="C129" i="8"/>
  <c r="C55" i="8"/>
  <c r="C21" i="8"/>
  <c r="C22" i="8"/>
  <c r="C20" i="8"/>
  <c r="C19" i="8"/>
  <c r="N40" i="14" l="1"/>
  <c r="N43" i="14"/>
  <c r="O67" i="14"/>
  <c r="B40" i="14" l="1"/>
  <c r="F40" i="14" s="1"/>
  <c r="R111" i="14"/>
  <c r="N111" i="14"/>
  <c r="N137" i="14"/>
  <c r="M73" i="14"/>
  <c r="E75" i="14" l="1"/>
  <c r="D75" i="14" s="1"/>
  <c r="C75" i="14"/>
  <c r="B75" i="14"/>
  <c r="E74" i="14"/>
  <c r="D74" i="14" s="1"/>
  <c r="C74" i="14"/>
  <c r="B74" i="14"/>
  <c r="E69" i="14"/>
  <c r="D69" i="14" s="1"/>
  <c r="C69" i="14"/>
  <c r="B69" i="14"/>
  <c r="E68" i="14"/>
  <c r="D68" i="14" s="1"/>
  <c r="C68" i="14"/>
  <c r="B68" i="14"/>
  <c r="E57" i="14"/>
  <c r="D57" i="14" s="1"/>
  <c r="C57" i="14"/>
  <c r="B57" i="14"/>
  <c r="E56" i="14"/>
  <c r="D56" i="14" s="1"/>
  <c r="C56" i="14"/>
  <c r="B56" i="14"/>
  <c r="E51" i="14"/>
  <c r="D51" i="14" s="1"/>
  <c r="C51" i="14"/>
  <c r="B51" i="14"/>
  <c r="E50" i="14"/>
  <c r="D50" i="14" s="1"/>
  <c r="C50" i="14"/>
  <c r="B50" i="14"/>
  <c r="B45" i="14"/>
  <c r="E45" i="14"/>
  <c r="D45" i="14" s="1"/>
  <c r="C45" i="14"/>
  <c r="E44" i="14"/>
  <c r="D44" i="14" s="1"/>
  <c r="C44" i="14"/>
  <c r="B44" i="14"/>
  <c r="M264" i="14" l="1"/>
  <c r="M294" i="14"/>
  <c r="AD272" i="14"/>
  <c r="B355" i="14"/>
  <c r="B210" i="14"/>
  <c r="L297" i="14"/>
  <c r="L34" i="14"/>
  <c r="C67" i="14" l="1"/>
  <c r="E44" i="6"/>
  <c r="E12" i="6"/>
  <c r="D12" i="6" s="1"/>
  <c r="K132" i="6" l="1"/>
  <c r="L132" i="6"/>
  <c r="M132" i="6"/>
  <c r="N132" i="6"/>
  <c r="O132" i="6"/>
  <c r="P132" i="6"/>
  <c r="Q132" i="6"/>
  <c r="R132" i="6"/>
  <c r="S132" i="6"/>
  <c r="T132" i="6"/>
  <c r="U132" i="6"/>
  <c r="V132" i="6"/>
  <c r="W132" i="6"/>
  <c r="X132" i="6"/>
  <c r="Y132" i="6"/>
  <c r="Z132" i="6"/>
  <c r="AA132" i="6"/>
  <c r="AB132" i="6"/>
  <c r="AC132" i="6"/>
  <c r="AD132" i="6"/>
  <c r="AE132" i="6"/>
  <c r="J132" i="6"/>
  <c r="B117" i="6" l="1"/>
  <c r="D90" i="6"/>
  <c r="L80" i="6"/>
  <c r="B81" i="6"/>
  <c r="B20" i="6"/>
  <c r="M102" i="6"/>
  <c r="M101" i="6" s="1"/>
  <c r="M99" i="6" s="1"/>
  <c r="M98" i="6" s="1"/>
  <c r="L102" i="6"/>
  <c r="L101" i="6" s="1"/>
  <c r="L99" i="6" s="1"/>
  <c r="L98" i="6" s="1"/>
  <c r="J102" i="6"/>
  <c r="J101" i="6" s="1"/>
  <c r="J99" i="6" s="1"/>
  <c r="J98" i="6" s="1"/>
  <c r="I98" i="6"/>
  <c r="J80" i="6" l="1"/>
  <c r="P80" i="6"/>
  <c r="K80" i="6"/>
  <c r="E121" i="6"/>
  <c r="E93" i="6"/>
  <c r="E87" i="6"/>
  <c r="E69" i="6"/>
  <c r="E50" i="6"/>
  <c r="E47" i="6"/>
  <c r="D47" i="6" s="1"/>
  <c r="D46" i="6" s="1"/>
  <c r="E35" i="6"/>
  <c r="E32" i="6"/>
  <c r="E20" i="6"/>
  <c r="D20" i="6" s="1"/>
  <c r="E13" i="6"/>
  <c r="H81" i="6"/>
  <c r="B69" i="6"/>
  <c r="C19" i="6"/>
  <c r="H80" i="6" l="1"/>
  <c r="G44" i="11"/>
  <c r="E102" i="11"/>
  <c r="F102" i="11"/>
  <c r="G102" i="11"/>
  <c r="H53" i="5" l="1"/>
  <c r="D73" i="11" l="1"/>
  <c r="E27" i="11"/>
  <c r="E15" i="11" s="1"/>
  <c r="E12" i="11" l="1"/>
  <c r="D15" i="11"/>
  <c r="AG21" i="4"/>
  <c r="AG24" i="4"/>
  <c r="AG27" i="4"/>
  <c r="AG28" i="4"/>
  <c r="AG29" i="4"/>
  <c r="AG32" i="4"/>
  <c r="AG35" i="4"/>
  <c r="AG38" i="4"/>
  <c r="AG42" i="4"/>
  <c r="AG46" i="4"/>
  <c r="AG47" i="4"/>
  <c r="AG48" i="4"/>
  <c r="AG52" i="4"/>
  <c r="AG55" i="4"/>
  <c r="AG58" i="4"/>
  <c r="E15" i="2" l="1"/>
  <c r="C56" i="6" l="1"/>
  <c r="C54" i="6" l="1"/>
  <c r="C132" i="6"/>
  <c r="C137" i="6" s="1"/>
  <c r="C10" i="6"/>
  <c r="Z18" i="6"/>
  <c r="H29" i="6" l="1"/>
  <c r="I29" i="6"/>
  <c r="J29" i="6"/>
  <c r="K29" i="6"/>
  <c r="L29" i="6"/>
  <c r="M29" i="6"/>
  <c r="N29" i="6"/>
  <c r="O29" i="6"/>
  <c r="P29" i="6"/>
  <c r="Q29" i="6"/>
  <c r="R29" i="6"/>
  <c r="S29" i="6"/>
  <c r="T29" i="6"/>
  <c r="U29" i="6"/>
  <c r="V29" i="6"/>
  <c r="W29" i="6"/>
  <c r="X29" i="6"/>
  <c r="Y29" i="6"/>
  <c r="Z29" i="6"/>
  <c r="AA29" i="6"/>
  <c r="AB29" i="6"/>
  <c r="AC23" i="6"/>
  <c r="AD23" i="6"/>
  <c r="AE23" i="6"/>
  <c r="R23" i="6"/>
  <c r="S23" i="6"/>
  <c r="T23" i="6"/>
  <c r="U23" i="6"/>
  <c r="V23" i="6"/>
  <c r="W23" i="6"/>
  <c r="X23" i="6"/>
  <c r="Y23" i="6"/>
  <c r="Z23" i="6"/>
  <c r="AA23" i="6"/>
  <c r="AB23" i="6"/>
  <c r="H23" i="6"/>
  <c r="I23" i="6"/>
  <c r="J23" i="6"/>
  <c r="K23" i="6"/>
  <c r="L23" i="6"/>
  <c r="M23" i="6"/>
  <c r="N23" i="6"/>
  <c r="O23" i="6"/>
  <c r="H38" i="6"/>
  <c r="I38" i="6"/>
  <c r="J38" i="6"/>
  <c r="K38" i="6"/>
  <c r="L38" i="6"/>
  <c r="M38" i="6"/>
  <c r="N38" i="6"/>
  <c r="O38" i="6"/>
  <c r="L44" i="6"/>
  <c r="M44" i="6"/>
  <c r="N44" i="6"/>
  <c r="O44" i="6"/>
  <c r="P44" i="6"/>
  <c r="Q44" i="6"/>
  <c r="R44" i="6"/>
  <c r="S44" i="6"/>
  <c r="T44" i="6"/>
  <c r="U44" i="6"/>
  <c r="V44" i="6"/>
  <c r="W44" i="6"/>
  <c r="X44" i="6"/>
  <c r="Y44" i="6"/>
  <c r="Z44" i="6"/>
  <c r="AA44" i="6"/>
  <c r="AB44" i="6"/>
  <c r="AC44" i="6"/>
  <c r="H75" i="6"/>
  <c r="I75" i="6"/>
  <c r="J75" i="6"/>
  <c r="K75" i="6"/>
  <c r="L75" i="6"/>
  <c r="M75" i="6"/>
  <c r="N75" i="6"/>
  <c r="O75" i="6"/>
  <c r="D96" i="6"/>
  <c r="AB96" i="6"/>
  <c r="AD96" i="6"/>
  <c r="AE96" i="6"/>
  <c r="H96" i="6"/>
  <c r="I96" i="6"/>
  <c r="J96" i="6"/>
  <c r="K96" i="6"/>
  <c r="L96" i="6"/>
  <c r="M96" i="6"/>
  <c r="N96" i="6"/>
  <c r="O96" i="6"/>
  <c r="P96" i="6"/>
  <c r="Q96" i="6"/>
  <c r="R96" i="6"/>
  <c r="S96" i="6"/>
  <c r="T96" i="6"/>
  <c r="U96" i="6"/>
  <c r="V96" i="6"/>
  <c r="W96" i="6"/>
  <c r="X96" i="6"/>
  <c r="Y96" i="6"/>
  <c r="D93" i="6"/>
  <c r="U90" i="6"/>
  <c r="H90" i="6"/>
  <c r="C90" i="6" s="1"/>
  <c r="I90" i="6"/>
  <c r="D87" i="6"/>
  <c r="AD86" i="6"/>
  <c r="AB84" i="6"/>
  <c r="AC84" i="6"/>
  <c r="AD84" i="6"/>
  <c r="AE84" i="6"/>
  <c r="I84" i="6"/>
  <c r="J84" i="6"/>
  <c r="K84" i="6"/>
  <c r="L84" i="6"/>
  <c r="M84" i="6"/>
  <c r="N84" i="6"/>
  <c r="O84" i="6"/>
  <c r="P84" i="6"/>
  <c r="Q84" i="6"/>
  <c r="R84" i="6"/>
  <c r="S84" i="6"/>
  <c r="T84" i="6"/>
  <c r="U84" i="6"/>
  <c r="V84" i="6"/>
  <c r="W84" i="6"/>
  <c r="X84" i="6"/>
  <c r="Y84" i="6"/>
  <c r="H84" i="6"/>
  <c r="I81" i="6"/>
  <c r="S81" i="6"/>
  <c r="S80" i="6" s="1"/>
  <c r="T81" i="6"/>
  <c r="T80" i="6" s="1"/>
  <c r="U81" i="6"/>
  <c r="U80" i="6" s="1"/>
  <c r="V81" i="6"/>
  <c r="V80" i="6" s="1"/>
  <c r="W81" i="6"/>
  <c r="W80" i="6" s="1"/>
  <c r="Y80" i="6"/>
  <c r="Z81" i="6"/>
  <c r="Z80" i="6" s="1"/>
  <c r="AA81" i="6"/>
  <c r="AA80" i="6" s="1"/>
  <c r="AB81" i="6"/>
  <c r="AB80" i="6" s="1"/>
  <c r="AC81" i="6"/>
  <c r="AC80" i="6" s="1"/>
  <c r="AD81" i="6"/>
  <c r="AD80" i="6" s="1"/>
  <c r="AE81" i="6"/>
  <c r="AE80" i="6" s="1"/>
  <c r="R81" i="6"/>
  <c r="R80" i="6" s="1"/>
  <c r="N81" i="6"/>
  <c r="O81" i="6"/>
  <c r="O80" i="6" s="1"/>
  <c r="M81" i="6"/>
  <c r="M68" i="6"/>
  <c r="N68" i="6"/>
  <c r="O68" i="6"/>
  <c r="P68" i="6"/>
  <c r="Q68" i="6"/>
  <c r="R68" i="6"/>
  <c r="S68" i="6"/>
  <c r="T68" i="6"/>
  <c r="U68" i="6"/>
  <c r="V68" i="6"/>
  <c r="W68" i="6"/>
  <c r="X68" i="6"/>
  <c r="Y68" i="6"/>
  <c r="Z68" i="6"/>
  <c r="AA68" i="6"/>
  <c r="AB68" i="6"/>
  <c r="AC68" i="6"/>
  <c r="AD68" i="6"/>
  <c r="AE68" i="6"/>
  <c r="D69" i="6"/>
  <c r="D35" i="6"/>
  <c r="B34" i="6"/>
  <c r="I34" i="6"/>
  <c r="J34" i="6"/>
  <c r="K34" i="6"/>
  <c r="L34" i="6"/>
  <c r="M34" i="6"/>
  <c r="N34" i="6"/>
  <c r="O34" i="6"/>
  <c r="P34" i="6"/>
  <c r="Q34" i="6"/>
  <c r="R34" i="6"/>
  <c r="S34" i="6"/>
  <c r="T34" i="6"/>
  <c r="U34" i="6"/>
  <c r="V34" i="6"/>
  <c r="W34" i="6"/>
  <c r="X34" i="6"/>
  <c r="Y34" i="6"/>
  <c r="Z34" i="6"/>
  <c r="H34" i="6"/>
  <c r="AA34" i="6"/>
  <c r="AB34" i="6"/>
  <c r="AC34" i="6"/>
  <c r="AD34" i="6"/>
  <c r="AE34" i="6"/>
  <c r="V74" i="6"/>
  <c r="D19" i="2"/>
  <c r="Y78" i="6" l="1"/>
  <c r="Y77" i="6"/>
  <c r="E78" i="6"/>
  <c r="C75" i="6"/>
  <c r="N80" i="6"/>
  <c r="C81" i="6"/>
  <c r="C84" i="6"/>
  <c r="C44" i="6"/>
  <c r="C41" i="6" s="1"/>
  <c r="C40" i="6" s="1"/>
  <c r="C96" i="6"/>
  <c r="C38" i="6"/>
  <c r="C23" i="6"/>
  <c r="C131" i="6" s="1"/>
  <c r="C29" i="6"/>
  <c r="E90" i="6"/>
  <c r="M80" i="6"/>
  <c r="D81" i="6"/>
  <c r="E75" i="6"/>
  <c r="E72" i="6" s="1"/>
  <c r="E29" i="6"/>
  <c r="E26" i="6" s="1"/>
  <c r="E25" i="6" s="1"/>
  <c r="I80" i="6"/>
  <c r="E81" i="6"/>
  <c r="E84" i="6"/>
  <c r="E96" i="6"/>
  <c r="E23" i="6"/>
  <c r="D23" i="6"/>
  <c r="D53" i="6" s="1"/>
  <c r="D75" i="6"/>
  <c r="D84" i="6"/>
  <c r="C34" i="6"/>
  <c r="AG82" i="6" l="1"/>
  <c r="E80" i="6"/>
  <c r="D121" i="6"/>
  <c r="E37" i="4" l="1"/>
  <c r="D37" i="4"/>
  <c r="C37" i="4"/>
  <c r="AH131" i="14"/>
  <c r="AG37" i="4" l="1"/>
  <c r="C41" i="4"/>
  <c r="AG50" i="4"/>
  <c r="Z331" i="14"/>
  <c r="E297" i="14"/>
  <c r="D297" i="14" s="1"/>
  <c r="E196" i="14"/>
  <c r="D196" i="14" s="1"/>
  <c r="C185" i="14"/>
  <c r="E185" i="14"/>
  <c r="D185" i="14" s="1"/>
  <c r="C144" i="14" l="1"/>
  <c r="C57" i="4"/>
  <c r="C60" i="4" s="1"/>
  <c r="AG54" i="4"/>
  <c r="B196" i="14"/>
  <c r="G196" i="14"/>
  <c r="G332" i="14"/>
  <c r="B40" i="5"/>
  <c r="B37" i="5"/>
  <c r="D37" i="5" l="1"/>
  <c r="D40" i="5"/>
  <c r="E10" i="5"/>
  <c r="Z117" i="14" l="1"/>
  <c r="R117" i="14"/>
  <c r="H117" i="14"/>
  <c r="C95" i="14"/>
  <c r="J137" i="14"/>
  <c r="B137" i="14" l="1"/>
  <c r="G131" i="14"/>
  <c r="H93" i="14"/>
  <c r="H87" i="14" s="1"/>
  <c r="G137" i="14" l="1"/>
  <c r="AH137" i="14"/>
  <c r="E12" i="21"/>
  <c r="M70" i="11" l="1"/>
  <c r="M96" i="11"/>
  <c r="M90" i="11"/>
  <c r="M84" i="11"/>
  <c r="M64" i="11"/>
  <c r="M44" i="11"/>
  <c r="M43" i="11" s="1"/>
  <c r="M50" i="11"/>
  <c r="M49" i="11" s="1"/>
  <c r="M24" i="11"/>
  <c r="M18" i="11"/>
  <c r="E46" i="14" l="1"/>
  <c r="D46" i="14" s="1"/>
  <c r="G46" i="14" l="1"/>
  <c r="G40" i="14"/>
  <c r="B21" i="3" l="1"/>
  <c r="B20" i="3" s="1"/>
  <c r="C17" i="3"/>
  <c r="B18" i="3"/>
  <c r="D21" i="3"/>
  <c r="B17" i="3" l="1"/>
  <c r="I53" i="4" l="1"/>
  <c r="I34" i="14"/>
  <c r="J34" i="14"/>
  <c r="K34" i="14"/>
  <c r="M34" i="14"/>
  <c r="N34" i="14"/>
  <c r="O34" i="14"/>
  <c r="P34" i="14"/>
  <c r="Q34" i="14"/>
  <c r="R34" i="14"/>
  <c r="S34" i="14"/>
  <c r="T34" i="14"/>
  <c r="U34" i="14"/>
  <c r="V34" i="14"/>
  <c r="W34" i="14"/>
  <c r="X34" i="14"/>
  <c r="Y34" i="14"/>
  <c r="Z34" i="14"/>
  <c r="AA34" i="14"/>
  <c r="AB34" i="14"/>
  <c r="AC34" i="14"/>
  <c r="AE34" i="14"/>
  <c r="AF34" i="14"/>
  <c r="H34" i="14"/>
  <c r="I55" i="14"/>
  <c r="J55" i="14"/>
  <c r="K55" i="14"/>
  <c r="L55" i="14"/>
  <c r="M55" i="14"/>
  <c r="N55" i="14"/>
  <c r="O55" i="14"/>
  <c r="P55" i="14"/>
  <c r="Q55" i="14"/>
  <c r="R55" i="14"/>
  <c r="S55" i="14"/>
  <c r="T55" i="14"/>
  <c r="U55" i="14"/>
  <c r="V55" i="14"/>
  <c r="W55" i="14"/>
  <c r="X55" i="14"/>
  <c r="Y55" i="14"/>
  <c r="Z55" i="14"/>
  <c r="AA55" i="14"/>
  <c r="AB55" i="14"/>
  <c r="AC55" i="14"/>
  <c r="AD55" i="14"/>
  <c r="AE55" i="14"/>
  <c r="AF55" i="14"/>
  <c r="H55" i="14"/>
  <c r="D58" i="14"/>
  <c r="D55" i="14" s="1"/>
  <c r="C55" i="14"/>
  <c r="B58" i="14"/>
  <c r="E17" i="3"/>
  <c r="F58" i="14" l="1"/>
  <c r="G58" i="14"/>
  <c r="E55" i="14"/>
  <c r="G55" i="14" s="1"/>
  <c r="B55" i="14"/>
  <c r="F55" i="14" l="1"/>
  <c r="C99" i="17"/>
  <c r="H121" i="17" l="1"/>
  <c r="B121" i="17" s="1"/>
  <c r="I119" i="17"/>
  <c r="J119" i="17"/>
  <c r="K119" i="17"/>
  <c r="L119" i="17"/>
  <c r="M119" i="17"/>
  <c r="N119" i="17"/>
  <c r="O119" i="17"/>
  <c r="P119" i="17"/>
  <c r="Q119" i="17"/>
  <c r="R119" i="17"/>
  <c r="S119" i="17"/>
  <c r="T119" i="17"/>
  <c r="U119" i="17"/>
  <c r="V119" i="17"/>
  <c r="W119" i="17"/>
  <c r="X119" i="17"/>
  <c r="Y119" i="17"/>
  <c r="Z119" i="17"/>
  <c r="AA119" i="17"/>
  <c r="AB119" i="17"/>
  <c r="AC119" i="17"/>
  <c r="AD119" i="17"/>
  <c r="AE119" i="17"/>
  <c r="H119" i="17"/>
  <c r="I118" i="17"/>
  <c r="J118" i="17"/>
  <c r="K118" i="17"/>
  <c r="L118" i="17"/>
  <c r="M118" i="17"/>
  <c r="N118" i="17"/>
  <c r="O118" i="17"/>
  <c r="P118" i="17"/>
  <c r="Q118" i="17"/>
  <c r="R118" i="17"/>
  <c r="S118" i="17"/>
  <c r="T118" i="17"/>
  <c r="U118" i="17"/>
  <c r="V118" i="17"/>
  <c r="W118" i="17"/>
  <c r="X118" i="17"/>
  <c r="Y118" i="17"/>
  <c r="Z118" i="17"/>
  <c r="AA118" i="17"/>
  <c r="AB118" i="17"/>
  <c r="AC118" i="17"/>
  <c r="AD118" i="17"/>
  <c r="AE118" i="17"/>
  <c r="H118" i="17"/>
  <c r="I117" i="17"/>
  <c r="J117" i="17"/>
  <c r="K117" i="17"/>
  <c r="L117" i="17"/>
  <c r="M117" i="17"/>
  <c r="N117" i="17"/>
  <c r="O117" i="17"/>
  <c r="P117" i="17"/>
  <c r="Q117" i="17"/>
  <c r="R117" i="17"/>
  <c r="S117" i="17"/>
  <c r="T117" i="17"/>
  <c r="T116" i="17" s="1"/>
  <c r="U117" i="17"/>
  <c r="V117" i="17"/>
  <c r="W117" i="17"/>
  <c r="X117" i="17"/>
  <c r="Y117" i="17"/>
  <c r="Z117" i="17"/>
  <c r="AA117" i="17"/>
  <c r="AB117" i="17"/>
  <c r="AC117" i="17"/>
  <c r="AD117" i="17"/>
  <c r="AE117" i="17"/>
  <c r="AE116" i="17" s="1"/>
  <c r="I110" i="17"/>
  <c r="J110" i="17"/>
  <c r="K110" i="17"/>
  <c r="L110" i="17"/>
  <c r="M110" i="17"/>
  <c r="N110" i="17"/>
  <c r="O110" i="17"/>
  <c r="P110" i="17"/>
  <c r="Q110" i="17"/>
  <c r="R110" i="17"/>
  <c r="S110" i="17"/>
  <c r="T110" i="17"/>
  <c r="U110" i="17"/>
  <c r="V110" i="17"/>
  <c r="W110" i="17"/>
  <c r="X110" i="17"/>
  <c r="Y110" i="17"/>
  <c r="Z110" i="17"/>
  <c r="AA110" i="17"/>
  <c r="AB110" i="17"/>
  <c r="AC110" i="17"/>
  <c r="AD110" i="17"/>
  <c r="AE110" i="17"/>
  <c r="I109" i="17"/>
  <c r="J109" i="17"/>
  <c r="K109" i="17"/>
  <c r="L109" i="17"/>
  <c r="M109" i="17"/>
  <c r="N109" i="17"/>
  <c r="O109" i="17"/>
  <c r="P109" i="17"/>
  <c r="Q109" i="17"/>
  <c r="R109" i="17"/>
  <c r="S109" i="17"/>
  <c r="T109" i="17"/>
  <c r="U109" i="17"/>
  <c r="V109" i="17"/>
  <c r="W109" i="17"/>
  <c r="X109" i="17"/>
  <c r="Y109" i="17"/>
  <c r="Z109" i="17"/>
  <c r="AA109" i="17"/>
  <c r="AB109" i="17"/>
  <c r="AC109" i="17"/>
  <c r="AD109" i="17"/>
  <c r="AE109" i="17"/>
  <c r="I108" i="17"/>
  <c r="J108" i="17"/>
  <c r="K108" i="17"/>
  <c r="L108" i="17"/>
  <c r="M108" i="17"/>
  <c r="N108" i="17"/>
  <c r="O108" i="17"/>
  <c r="P108" i="17"/>
  <c r="Q108" i="17"/>
  <c r="R108" i="17"/>
  <c r="S108" i="17"/>
  <c r="T108" i="17"/>
  <c r="U108" i="17"/>
  <c r="V108" i="17"/>
  <c r="W108" i="17"/>
  <c r="X108" i="17"/>
  <c r="Y108" i="17"/>
  <c r="Z108" i="17"/>
  <c r="AA108" i="17"/>
  <c r="AB108" i="17"/>
  <c r="AC108" i="17"/>
  <c r="AD108" i="17"/>
  <c r="AE108" i="17"/>
  <c r="I107" i="17"/>
  <c r="J107" i="17"/>
  <c r="K107" i="17"/>
  <c r="L107" i="17"/>
  <c r="M107" i="17"/>
  <c r="N107" i="17"/>
  <c r="O107" i="17"/>
  <c r="P107" i="17"/>
  <c r="Q107" i="17"/>
  <c r="R107" i="17"/>
  <c r="S107" i="17"/>
  <c r="T107" i="17"/>
  <c r="U107" i="17"/>
  <c r="V107" i="17"/>
  <c r="W107" i="17"/>
  <c r="X107" i="17"/>
  <c r="Y107" i="17"/>
  <c r="Z107" i="17"/>
  <c r="AA107" i="17"/>
  <c r="AB107" i="17"/>
  <c r="AC107" i="17"/>
  <c r="AD107" i="17"/>
  <c r="AE107" i="17"/>
  <c r="I106" i="17"/>
  <c r="J106" i="17"/>
  <c r="K106" i="17"/>
  <c r="L106" i="17"/>
  <c r="M106" i="17"/>
  <c r="N106" i="17"/>
  <c r="O106" i="17"/>
  <c r="P106" i="17"/>
  <c r="Q106" i="17"/>
  <c r="R106" i="17"/>
  <c r="S106" i="17"/>
  <c r="T106" i="17"/>
  <c r="U106" i="17"/>
  <c r="V106" i="17"/>
  <c r="W106" i="17"/>
  <c r="X106" i="17"/>
  <c r="Y106" i="17"/>
  <c r="Z106" i="17"/>
  <c r="AA106" i="17"/>
  <c r="AB106" i="17"/>
  <c r="AC106" i="17"/>
  <c r="AD106" i="17"/>
  <c r="AE106" i="17"/>
  <c r="H110" i="17"/>
  <c r="C109" i="17"/>
  <c r="H109" i="17"/>
  <c r="H108" i="17"/>
  <c r="H107" i="17"/>
  <c r="H106" i="17"/>
  <c r="I120" i="17"/>
  <c r="J120" i="17"/>
  <c r="K120" i="17"/>
  <c r="L120" i="17"/>
  <c r="M120" i="17"/>
  <c r="N120" i="17"/>
  <c r="O120" i="17"/>
  <c r="P120" i="17"/>
  <c r="Q120" i="17"/>
  <c r="R120" i="17"/>
  <c r="S120" i="17"/>
  <c r="T120" i="17"/>
  <c r="U120" i="17"/>
  <c r="V120" i="17"/>
  <c r="W120" i="17"/>
  <c r="X120" i="17"/>
  <c r="Y120" i="17"/>
  <c r="Z120" i="17"/>
  <c r="AA120" i="17"/>
  <c r="AB120" i="17"/>
  <c r="AC120" i="17"/>
  <c r="AD120" i="17"/>
  <c r="AE120" i="17"/>
  <c r="H120" i="17"/>
  <c r="H117" i="17"/>
  <c r="AA116" i="17" l="1"/>
  <c r="Y116" i="17"/>
  <c r="J116" i="17"/>
  <c r="Z116" i="17"/>
  <c r="W116" i="17"/>
  <c r="U116" i="17"/>
  <c r="B119" i="17"/>
  <c r="S116" i="17"/>
  <c r="V116" i="17"/>
  <c r="B118" i="17"/>
  <c r="B120" i="17"/>
  <c r="N116" i="17"/>
  <c r="O116" i="17"/>
  <c r="M116" i="17"/>
  <c r="R116" i="17"/>
  <c r="L116" i="17"/>
  <c r="X116" i="17"/>
  <c r="P116" i="17"/>
  <c r="B117" i="17"/>
  <c r="AC116" i="17"/>
  <c r="Q116" i="17"/>
  <c r="I116" i="17"/>
  <c r="K116" i="17"/>
  <c r="AB116" i="17"/>
  <c r="AD116" i="17"/>
  <c r="H116" i="17"/>
  <c r="E65" i="17"/>
  <c r="D65" i="17" s="1"/>
  <c r="B65" i="17"/>
  <c r="I52" i="17"/>
  <c r="J52" i="17"/>
  <c r="K52" i="17"/>
  <c r="L52" i="17"/>
  <c r="M52" i="17"/>
  <c r="N52" i="17"/>
  <c r="O52" i="17"/>
  <c r="P52" i="17"/>
  <c r="Q52" i="17"/>
  <c r="R52" i="17"/>
  <c r="S52" i="17"/>
  <c r="T52" i="17"/>
  <c r="U52" i="17"/>
  <c r="V52" i="17"/>
  <c r="W52" i="17"/>
  <c r="X52" i="17"/>
  <c r="Y52" i="17"/>
  <c r="Z52" i="17"/>
  <c r="AA52" i="17"/>
  <c r="AB52" i="17"/>
  <c r="AC52" i="17"/>
  <c r="AD52" i="17"/>
  <c r="AE52" i="17"/>
  <c r="H52" i="17"/>
  <c r="E54" i="17"/>
  <c r="D54" i="17" s="1"/>
  <c r="E55" i="17"/>
  <c r="G55" i="17" s="1"/>
  <c r="E56" i="17"/>
  <c r="G56" i="17" s="1"/>
  <c r="E57" i="17"/>
  <c r="G57" i="17" s="1"/>
  <c r="E53" i="17"/>
  <c r="G53" i="17" s="1"/>
  <c r="B54" i="17"/>
  <c r="B55" i="17"/>
  <c r="B56" i="17"/>
  <c r="B57" i="17"/>
  <c r="B53" i="17"/>
  <c r="E43" i="17"/>
  <c r="D43" i="17" s="1"/>
  <c r="B43" i="17"/>
  <c r="E36" i="17"/>
  <c r="B36" i="17"/>
  <c r="E29" i="17"/>
  <c r="B29" i="17"/>
  <c r="E120" i="17" l="1"/>
  <c r="F120" i="17" s="1"/>
  <c r="F55" i="17"/>
  <c r="D53" i="17"/>
  <c r="B109" i="17"/>
  <c r="F56" i="17"/>
  <c r="D56" i="17"/>
  <c r="F53" i="17"/>
  <c r="D55" i="17"/>
  <c r="D36" i="17"/>
  <c r="E109" i="17"/>
  <c r="G29" i="17"/>
  <c r="G43" i="17"/>
  <c r="F43" i="17"/>
  <c r="F65" i="17"/>
  <c r="G65" i="17"/>
  <c r="E52" i="17"/>
  <c r="D57" i="17"/>
  <c r="F57" i="17"/>
  <c r="F54" i="17"/>
  <c r="G54" i="17"/>
  <c r="C52" i="17"/>
  <c r="B52" i="17"/>
  <c r="F36" i="17"/>
  <c r="G36" i="17"/>
  <c r="D29" i="17"/>
  <c r="F29" i="17"/>
  <c r="D120" i="17" l="1"/>
  <c r="G120" i="17"/>
  <c r="D52" i="17"/>
  <c r="D109" i="17"/>
  <c r="G52" i="17"/>
  <c r="F109" i="17"/>
  <c r="G109" i="17"/>
  <c r="F52" i="17"/>
  <c r="C44" i="22" l="1"/>
  <c r="C45" i="22"/>
  <c r="C47" i="22"/>
  <c r="C48" i="22"/>
  <c r="B27" i="19" l="1"/>
  <c r="F27" i="19" s="1"/>
  <c r="C19" i="18" l="1"/>
  <c r="D28" i="2" l="1"/>
  <c r="D24" i="2"/>
  <c r="E20" i="3" l="1"/>
  <c r="C30" i="3" l="1"/>
  <c r="AH344" i="14"/>
  <c r="AD333" i="14"/>
  <c r="D333" i="14"/>
  <c r="J297" i="14"/>
  <c r="K182" i="14"/>
  <c r="J291" i="14" l="1"/>
  <c r="D344" i="14"/>
  <c r="C39" i="3"/>
  <c r="G185" i="14"/>
  <c r="K90" i="11"/>
  <c r="K96" i="11"/>
  <c r="E20" i="15" l="1"/>
  <c r="D20" i="15"/>
  <c r="C20" i="15"/>
  <c r="AH20" i="15" l="1"/>
  <c r="AH14" i="15"/>
  <c r="K61" i="11"/>
  <c r="K64" i="11"/>
  <c r="K50" i="11"/>
  <c r="K49" i="11" s="1"/>
  <c r="K24" i="11"/>
  <c r="E11" i="15" l="1"/>
  <c r="I17" i="15"/>
  <c r="H17" i="15"/>
  <c r="D70" i="14" l="1"/>
  <c r="AD34" i="14"/>
  <c r="C15" i="14"/>
  <c r="B34" i="14" l="1"/>
  <c r="C34" i="14"/>
  <c r="C59" i="21"/>
  <c r="C53" i="21" s="1"/>
  <c r="C18" i="21" l="1"/>
  <c r="B279" i="14"/>
  <c r="C252" i="14" l="1"/>
  <c r="H55" i="2" l="1"/>
  <c r="P20" i="2"/>
  <c r="D55" i="2"/>
  <c r="D59" i="2" s="1"/>
  <c r="E52" i="2"/>
  <c r="E56" i="2" s="1"/>
  <c r="B52" i="2"/>
  <c r="E48" i="2"/>
  <c r="E47" i="2" s="1"/>
  <c r="AG47" i="2" s="1"/>
  <c r="E34" i="2"/>
  <c r="AG34" i="2" s="1"/>
  <c r="E31" i="2"/>
  <c r="D30" i="2"/>
  <c r="E28" i="2"/>
  <c r="E27" i="2"/>
  <c r="E23" i="2"/>
  <c r="E24" i="2"/>
  <c r="E16" i="2"/>
  <c r="D16" i="2" s="1"/>
  <c r="D20" i="2"/>
  <c r="H19" i="2"/>
  <c r="H37" i="2" s="1"/>
  <c r="B56" i="2" l="1"/>
  <c r="B54" i="2" s="1"/>
  <c r="B51" i="2"/>
  <c r="H63" i="2"/>
  <c r="F56" i="2"/>
  <c r="G23" i="2"/>
  <c r="AG23" i="2"/>
  <c r="G15" i="2"/>
  <c r="AG15" i="2"/>
  <c r="G27" i="2"/>
  <c r="E30" i="2"/>
  <c r="G16" i="2"/>
  <c r="AG16" i="2"/>
  <c r="AG27" i="2"/>
  <c r="G34" i="2"/>
  <c r="F52" i="2"/>
  <c r="G52" i="2"/>
  <c r="AG52" i="2"/>
  <c r="E55" i="2"/>
  <c r="E59" i="2" s="1"/>
  <c r="AG48" i="2"/>
  <c r="G48" i="2"/>
  <c r="D54" i="2"/>
  <c r="B60" i="2"/>
  <c r="E54" i="2" l="1"/>
  <c r="E26" i="21"/>
  <c r="G26" i="21" s="1"/>
  <c r="AE64" i="21"/>
  <c r="AA64" i="21"/>
  <c r="D26" i="21" l="1"/>
  <c r="F31" i="15"/>
  <c r="G31" i="15"/>
  <c r="E31" i="15"/>
  <c r="R25" i="15"/>
  <c r="R30" i="15" s="1"/>
  <c r="F23" i="15"/>
  <c r="G23" i="15"/>
  <c r="H23" i="15"/>
  <c r="I23" i="15"/>
  <c r="J23" i="15"/>
  <c r="K23" i="15"/>
  <c r="L23" i="15"/>
  <c r="M23" i="15"/>
  <c r="N23" i="15"/>
  <c r="O23" i="15"/>
  <c r="P23" i="15"/>
  <c r="Q23" i="15"/>
  <c r="R23" i="15"/>
  <c r="S23" i="15"/>
  <c r="T23" i="15"/>
  <c r="U23" i="15"/>
  <c r="V23" i="15"/>
  <c r="W23" i="15"/>
  <c r="X23" i="15"/>
  <c r="Y23" i="15"/>
  <c r="Z23" i="15"/>
  <c r="AA23" i="15"/>
  <c r="AB23" i="15"/>
  <c r="AC23" i="15"/>
  <c r="AD23" i="15"/>
  <c r="AE23" i="15"/>
  <c r="F24" i="15"/>
  <c r="G24" i="15"/>
  <c r="H24" i="15"/>
  <c r="I24" i="15"/>
  <c r="J24" i="15"/>
  <c r="K24" i="15"/>
  <c r="L24" i="15"/>
  <c r="M24" i="15"/>
  <c r="N24" i="15"/>
  <c r="O24" i="15"/>
  <c r="P24" i="15"/>
  <c r="Q24" i="15"/>
  <c r="R24" i="15"/>
  <c r="S24" i="15"/>
  <c r="T24" i="15"/>
  <c r="U24" i="15"/>
  <c r="V24" i="15"/>
  <c r="W24" i="15"/>
  <c r="X24" i="15"/>
  <c r="Y24" i="15"/>
  <c r="Z24" i="15"/>
  <c r="AA24" i="15"/>
  <c r="AB24" i="15"/>
  <c r="AC24" i="15"/>
  <c r="AD24" i="15"/>
  <c r="AE24" i="15"/>
  <c r="E23" i="15"/>
  <c r="E24" i="15"/>
  <c r="E26" i="15"/>
  <c r="G26" i="15"/>
  <c r="I26" i="15"/>
  <c r="F26" i="15"/>
  <c r="L17" i="15"/>
  <c r="M17" i="15"/>
  <c r="M16" i="15" s="1"/>
  <c r="N17" i="15"/>
  <c r="O17" i="15"/>
  <c r="O16" i="15" s="1"/>
  <c r="P17" i="15"/>
  <c r="Q17" i="15"/>
  <c r="Q16" i="15" s="1"/>
  <c r="R17" i="15"/>
  <c r="S17" i="15"/>
  <c r="S16" i="15" s="1"/>
  <c r="T17" i="15"/>
  <c r="U17" i="15"/>
  <c r="U16" i="15" s="1"/>
  <c r="V17" i="15"/>
  <c r="W17" i="15"/>
  <c r="W16" i="15" s="1"/>
  <c r="X17" i="15"/>
  <c r="Y17" i="15"/>
  <c r="Y16" i="15" s="1"/>
  <c r="Z17" i="15"/>
  <c r="AA17" i="15"/>
  <c r="AA16" i="15" s="1"/>
  <c r="AB17" i="15"/>
  <c r="AC17" i="15"/>
  <c r="AC16" i="15" s="1"/>
  <c r="AD17" i="15"/>
  <c r="AE17" i="15"/>
  <c r="AE16" i="15" s="1"/>
  <c r="K17" i="15"/>
  <c r="K16" i="15" s="1"/>
  <c r="B20" i="15"/>
  <c r="B25" i="15" l="1"/>
  <c r="B30" i="15" s="1"/>
  <c r="I11" i="15"/>
  <c r="J11" i="15"/>
  <c r="K11" i="15"/>
  <c r="K10" i="15" s="1"/>
  <c r="L11" i="15"/>
  <c r="M11" i="15"/>
  <c r="M10" i="15" s="1"/>
  <c r="N11" i="15"/>
  <c r="O11" i="15"/>
  <c r="O10" i="15" s="1"/>
  <c r="P11" i="15"/>
  <c r="Q11" i="15"/>
  <c r="Q10" i="15" s="1"/>
  <c r="R11" i="15"/>
  <c r="S11" i="15"/>
  <c r="S10" i="15" s="1"/>
  <c r="T11" i="15"/>
  <c r="U11" i="15"/>
  <c r="U10" i="15" s="1"/>
  <c r="V11" i="15"/>
  <c r="W11" i="15"/>
  <c r="W10" i="15" s="1"/>
  <c r="X11" i="15"/>
  <c r="Y10" i="15"/>
  <c r="Z11" i="15"/>
  <c r="AA11" i="15"/>
  <c r="AA10" i="15" s="1"/>
  <c r="AB11" i="15"/>
  <c r="AC11" i="15"/>
  <c r="AC10" i="15" s="1"/>
  <c r="AD11" i="15"/>
  <c r="AE11" i="15"/>
  <c r="AE10" i="15" s="1"/>
  <c r="H11" i="15"/>
  <c r="H10" i="15" s="1"/>
  <c r="C15" i="15"/>
  <c r="G106" i="11" l="1"/>
  <c r="G101" i="11" s="1"/>
  <c r="I81" i="11"/>
  <c r="D27" i="11"/>
  <c r="I28" i="5"/>
  <c r="I22" i="5" s="1"/>
  <c r="I43" i="5" s="1"/>
  <c r="I46" i="5" s="1"/>
  <c r="I45" i="5" s="1"/>
  <c r="I64" i="11"/>
  <c r="E6" i="18" l="1"/>
  <c r="D6" i="18"/>
  <c r="E5" i="2"/>
  <c r="D5" i="2"/>
  <c r="E54" i="22" l="1"/>
  <c r="C54" i="22"/>
  <c r="B54" i="22"/>
  <c r="E52" i="22"/>
  <c r="C52" i="22"/>
  <c r="B52" i="22"/>
  <c r="E51" i="22"/>
  <c r="C51" i="22"/>
  <c r="B51" i="22"/>
  <c r="X50" i="22"/>
  <c r="S50" i="22"/>
  <c r="R50" i="22"/>
  <c r="O50" i="22"/>
  <c r="N50" i="22"/>
  <c r="M50" i="22"/>
  <c r="L50" i="22"/>
  <c r="K50" i="22"/>
  <c r="J50" i="22"/>
  <c r="I50" i="22"/>
  <c r="H50" i="22"/>
  <c r="E48" i="22"/>
  <c r="B48" i="22"/>
  <c r="E47" i="22"/>
  <c r="B47" i="22"/>
  <c r="E45" i="22"/>
  <c r="B45" i="22"/>
  <c r="E44" i="22"/>
  <c r="B44" i="22"/>
  <c r="AE43" i="22"/>
  <c r="AD43" i="22"/>
  <c r="AC43" i="22"/>
  <c r="AB43" i="22"/>
  <c r="AA43" i="22"/>
  <c r="Y43" i="22"/>
  <c r="X43" i="22"/>
  <c r="U43" i="22"/>
  <c r="T43" i="22"/>
  <c r="S43" i="22"/>
  <c r="R43" i="22"/>
  <c r="Q43" i="22"/>
  <c r="P43" i="22"/>
  <c r="O43" i="22"/>
  <c r="N43" i="22"/>
  <c r="M43" i="22"/>
  <c r="L43" i="22"/>
  <c r="K43" i="22"/>
  <c r="J43" i="22"/>
  <c r="I43" i="22"/>
  <c r="H43" i="22"/>
  <c r="C26" i="22"/>
  <c r="B26" i="22"/>
  <c r="B21" i="22" s="1"/>
  <c r="C11" i="22"/>
  <c r="C9" i="22"/>
  <c r="AE12" i="22"/>
  <c r="AD12" i="22"/>
  <c r="AC19" i="22"/>
  <c r="AC12" i="22" s="1"/>
  <c r="AB19" i="22"/>
  <c r="AB12" i="22" s="1"/>
  <c r="AA19" i="22"/>
  <c r="AA12" i="22" s="1"/>
  <c r="Z12" i="22"/>
  <c r="Y19" i="22"/>
  <c r="Y12" i="22" s="1"/>
  <c r="X19" i="22"/>
  <c r="X12" i="22" s="1"/>
  <c r="W19" i="22"/>
  <c r="V19" i="22"/>
  <c r="U19" i="22"/>
  <c r="U12" i="22" s="1"/>
  <c r="T19" i="22"/>
  <c r="T12" i="22" s="1"/>
  <c r="S19" i="22"/>
  <c r="R19" i="22"/>
  <c r="Q19" i="22"/>
  <c r="P19" i="22"/>
  <c r="O19" i="22"/>
  <c r="O12" i="22" s="1"/>
  <c r="N19" i="22"/>
  <c r="N12" i="22" s="1"/>
  <c r="M19" i="22"/>
  <c r="M12" i="22" s="1"/>
  <c r="L19" i="22"/>
  <c r="L12" i="22" s="1"/>
  <c r="K19" i="22"/>
  <c r="K12" i="22" s="1"/>
  <c r="J19" i="22"/>
  <c r="J12" i="22" s="1"/>
  <c r="I19" i="22"/>
  <c r="I12" i="22" s="1"/>
  <c r="H19" i="22"/>
  <c r="H12" i="22" s="1"/>
  <c r="AE18" i="22"/>
  <c r="AE11" i="22" s="1"/>
  <c r="AD18" i="22"/>
  <c r="AD11" i="22" s="1"/>
  <c r="AC18" i="22"/>
  <c r="AC11" i="22" s="1"/>
  <c r="AB18" i="22"/>
  <c r="AB11" i="22" s="1"/>
  <c r="AA18" i="22"/>
  <c r="AA11" i="22" s="1"/>
  <c r="Z18" i="22"/>
  <c r="Z11" i="22" s="1"/>
  <c r="Y18" i="22"/>
  <c r="Y11" i="22" s="1"/>
  <c r="X18" i="22"/>
  <c r="X11" i="22" s="1"/>
  <c r="W11" i="22"/>
  <c r="V11" i="22"/>
  <c r="U18" i="22"/>
  <c r="U11" i="22" s="1"/>
  <c r="T18" i="22"/>
  <c r="T11" i="22" s="1"/>
  <c r="S11" i="22"/>
  <c r="R11" i="22"/>
  <c r="Q11" i="22"/>
  <c r="P11" i="22"/>
  <c r="O18" i="22"/>
  <c r="O11" i="22" s="1"/>
  <c r="N18" i="22"/>
  <c r="N11" i="22" s="1"/>
  <c r="M18" i="22"/>
  <c r="M11" i="22" s="1"/>
  <c r="L18" i="22"/>
  <c r="L11" i="22" s="1"/>
  <c r="K18" i="22"/>
  <c r="K11" i="22" s="1"/>
  <c r="J18" i="22"/>
  <c r="J11" i="22" s="1"/>
  <c r="I18" i="22"/>
  <c r="I11" i="22" s="1"/>
  <c r="H18" i="22"/>
  <c r="H11" i="22" s="1"/>
  <c r="AE10" i="22"/>
  <c r="AD10" i="22"/>
  <c r="AC17" i="22"/>
  <c r="AC10" i="22" s="1"/>
  <c r="AB17" i="22"/>
  <c r="AB10" i="22" s="1"/>
  <c r="AA17" i="22"/>
  <c r="AA10" i="22" s="1"/>
  <c r="Z17" i="22"/>
  <c r="Z10" i="22" s="1"/>
  <c r="Y10" i="22"/>
  <c r="X17" i="22"/>
  <c r="X10" i="22" s="1"/>
  <c r="W10" i="22"/>
  <c r="V10" i="22"/>
  <c r="U17" i="22"/>
  <c r="U10" i="22" s="1"/>
  <c r="T17" i="22"/>
  <c r="T10" i="22" s="1"/>
  <c r="S10" i="22"/>
  <c r="R10" i="22"/>
  <c r="Q10" i="22"/>
  <c r="P10" i="22"/>
  <c r="O17" i="22"/>
  <c r="O10" i="22" s="1"/>
  <c r="N17" i="22"/>
  <c r="N10" i="22" s="1"/>
  <c r="M17" i="22"/>
  <c r="M10" i="22" s="1"/>
  <c r="L10" i="22"/>
  <c r="K17" i="22"/>
  <c r="K10" i="22" s="1"/>
  <c r="J17" i="22"/>
  <c r="J10" i="22" s="1"/>
  <c r="I17" i="22"/>
  <c r="I10" i="22" s="1"/>
  <c r="H17" i="22"/>
  <c r="H10" i="22" s="1"/>
  <c r="AE16" i="22"/>
  <c r="AE9" i="22" s="1"/>
  <c r="AD16" i="22"/>
  <c r="AC16" i="22"/>
  <c r="AC9" i="22" s="1"/>
  <c r="AB16" i="22"/>
  <c r="AB9" i="22" s="1"/>
  <c r="AA16" i="22"/>
  <c r="AA9" i="22" s="1"/>
  <c r="Z16" i="22"/>
  <c r="Y16" i="22"/>
  <c r="Y9" i="22" s="1"/>
  <c r="X16" i="22"/>
  <c r="X9" i="22" s="1"/>
  <c r="W9" i="22"/>
  <c r="U16" i="22"/>
  <c r="U9" i="22" s="1"/>
  <c r="T16" i="22"/>
  <c r="T9" i="22" s="1"/>
  <c r="S9" i="22"/>
  <c r="R9" i="22"/>
  <c r="Q9" i="22"/>
  <c r="P9" i="22"/>
  <c r="O16" i="22"/>
  <c r="O9" i="22" s="1"/>
  <c r="N16" i="22"/>
  <c r="N9" i="22" s="1"/>
  <c r="M16" i="22"/>
  <c r="M9" i="22" s="1"/>
  <c r="L16" i="22"/>
  <c r="L9" i="22" s="1"/>
  <c r="K16" i="22"/>
  <c r="K9" i="22" s="1"/>
  <c r="J16" i="22"/>
  <c r="J9" i="22" s="1"/>
  <c r="I16" i="22"/>
  <c r="I9" i="22" s="1"/>
  <c r="H16" i="22"/>
  <c r="H9" i="22" s="1"/>
  <c r="AE15" i="22"/>
  <c r="AD15" i="22"/>
  <c r="AC15" i="22"/>
  <c r="AB15" i="22"/>
  <c r="AB14" i="22" s="1"/>
  <c r="AA15" i="22"/>
  <c r="Z8" i="22"/>
  <c r="Y15" i="22"/>
  <c r="X15" i="22"/>
  <c r="X14" i="22" s="1"/>
  <c r="W8" i="22"/>
  <c r="V8" i="22"/>
  <c r="U15" i="22"/>
  <c r="T15" i="22"/>
  <c r="T14" i="22" s="1"/>
  <c r="S8" i="22"/>
  <c r="R8" i="22"/>
  <c r="Q8" i="22"/>
  <c r="O15" i="22"/>
  <c r="N15" i="22"/>
  <c r="M15" i="22"/>
  <c r="L15" i="22"/>
  <c r="L14" i="22" s="1"/>
  <c r="K15" i="22"/>
  <c r="J15" i="22"/>
  <c r="I15" i="22"/>
  <c r="H15" i="22"/>
  <c r="H14" i="22" s="1"/>
  <c r="E139" i="21"/>
  <c r="B139" i="21"/>
  <c r="AE137" i="21"/>
  <c r="AD137" i="21"/>
  <c r="AC137" i="21"/>
  <c r="AB137" i="21"/>
  <c r="AA137" i="21"/>
  <c r="Z137" i="21"/>
  <c r="Y137" i="21"/>
  <c r="X137" i="21"/>
  <c r="W137" i="21"/>
  <c r="V137" i="21"/>
  <c r="U137" i="21"/>
  <c r="T137" i="21"/>
  <c r="S137" i="21"/>
  <c r="R137" i="21"/>
  <c r="Q137" i="21"/>
  <c r="P137" i="21"/>
  <c r="O137" i="21"/>
  <c r="N137" i="21"/>
  <c r="M137" i="21"/>
  <c r="L137" i="21"/>
  <c r="K137" i="21"/>
  <c r="J137" i="21"/>
  <c r="I137" i="21"/>
  <c r="H137" i="21"/>
  <c r="E133" i="21"/>
  <c r="C150" i="21"/>
  <c r="B133" i="21"/>
  <c r="AE131" i="21"/>
  <c r="AD131" i="21"/>
  <c r="AC131" i="21"/>
  <c r="AB131" i="21"/>
  <c r="AA131" i="21"/>
  <c r="Z131" i="21"/>
  <c r="Y131" i="21"/>
  <c r="X131" i="21"/>
  <c r="W131" i="21"/>
  <c r="V131" i="21"/>
  <c r="U131" i="21"/>
  <c r="T131" i="21"/>
  <c r="S131" i="21"/>
  <c r="R131" i="21"/>
  <c r="Q131" i="21"/>
  <c r="P131" i="21"/>
  <c r="O131" i="21"/>
  <c r="N131" i="21"/>
  <c r="M131" i="21"/>
  <c r="L131" i="21"/>
  <c r="K131" i="21"/>
  <c r="J131" i="21"/>
  <c r="I131" i="21"/>
  <c r="H131" i="21"/>
  <c r="AE150" i="21"/>
  <c r="AD150" i="21"/>
  <c r="AC150" i="21"/>
  <c r="AB150" i="21"/>
  <c r="AA150" i="21"/>
  <c r="Z150" i="21"/>
  <c r="Y150" i="21"/>
  <c r="X150" i="21"/>
  <c r="W150" i="21"/>
  <c r="V150" i="21"/>
  <c r="U150" i="21"/>
  <c r="T150" i="21"/>
  <c r="S150" i="21"/>
  <c r="R150" i="21"/>
  <c r="Q150" i="21"/>
  <c r="P150" i="21"/>
  <c r="O150" i="21"/>
  <c r="N150" i="21"/>
  <c r="M150" i="21"/>
  <c r="L150" i="21"/>
  <c r="K150" i="21"/>
  <c r="J150" i="21"/>
  <c r="I150" i="21"/>
  <c r="E114" i="21"/>
  <c r="B114" i="21"/>
  <c r="AE112" i="21"/>
  <c r="AD112" i="21"/>
  <c r="AC112" i="21"/>
  <c r="AB112" i="21"/>
  <c r="AA112" i="21"/>
  <c r="Z112" i="21"/>
  <c r="Y112" i="21"/>
  <c r="X112" i="21"/>
  <c r="W112" i="21"/>
  <c r="V112" i="21"/>
  <c r="U112" i="21"/>
  <c r="T112" i="21"/>
  <c r="S112" i="21"/>
  <c r="R112" i="21"/>
  <c r="Q112" i="21"/>
  <c r="P112" i="21"/>
  <c r="O112" i="21"/>
  <c r="N112" i="21"/>
  <c r="M112" i="21"/>
  <c r="L112" i="21"/>
  <c r="K112" i="21"/>
  <c r="J112" i="21"/>
  <c r="I112" i="21"/>
  <c r="H112" i="21"/>
  <c r="AE108" i="21"/>
  <c r="AD108" i="21"/>
  <c r="AC108" i="21"/>
  <c r="AC106" i="21" s="1"/>
  <c r="AB108" i="21"/>
  <c r="AB106" i="21" s="1"/>
  <c r="AA108" i="21"/>
  <c r="Z108" i="21"/>
  <c r="Y108" i="21"/>
  <c r="Y106" i="21" s="1"/>
  <c r="X108" i="21"/>
  <c r="X106" i="21" s="1"/>
  <c r="W108" i="21"/>
  <c r="V108" i="21"/>
  <c r="U108" i="21"/>
  <c r="U106" i="21" s="1"/>
  <c r="T108" i="21"/>
  <c r="T106" i="21" s="1"/>
  <c r="S108" i="21"/>
  <c r="R108" i="21"/>
  <c r="Q108" i="21"/>
  <c r="Q106" i="21" s="1"/>
  <c r="P108" i="21"/>
  <c r="P106" i="21" s="1"/>
  <c r="O108" i="21"/>
  <c r="N108" i="21"/>
  <c r="M108" i="21"/>
  <c r="M106" i="21" s="1"/>
  <c r="L108" i="21"/>
  <c r="L106" i="21" s="1"/>
  <c r="K108" i="21"/>
  <c r="J108" i="21"/>
  <c r="I108" i="21"/>
  <c r="H108" i="21"/>
  <c r="E96" i="21"/>
  <c r="B96" i="21"/>
  <c r="AE94" i="21"/>
  <c r="AD94" i="21"/>
  <c r="AC94" i="21"/>
  <c r="AB94" i="21"/>
  <c r="AA94" i="21"/>
  <c r="Z94" i="21"/>
  <c r="Y94" i="21"/>
  <c r="X94" i="21"/>
  <c r="W94" i="21"/>
  <c r="V94" i="21"/>
  <c r="U94" i="21"/>
  <c r="T94" i="21"/>
  <c r="S94" i="21"/>
  <c r="R94" i="21"/>
  <c r="Q94" i="21"/>
  <c r="P94" i="21"/>
  <c r="O94" i="21"/>
  <c r="N94" i="21"/>
  <c r="M94" i="21"/>
  <c r="L94" i="21"/>
  <c r="K94" i="21"/>
  <c r="J94" i="21"/>
  <c r="I94" i="21"/>
  <c r="H94" i="21"/>
  <c r="E90" i="21"/>
  <c r="B90" i="21"/>
  <c r="AE88" i="21"/>
  <c r="AD88" i="21"/>
  <c r="AC88" i="21"/>
  <c r="AB88" i="21"/>
  <c r="AA88" i="21"/>
  <c r="Z88" i="21"/>
  <c r="Y88" i="21"/>
  <c r="X88" i="21"/>
  <c r="W88" i="21"/>
  <c r="V88" i="21"/>
  <c r="U88" i="21"/>
  <c r="T88" i="21"/>
  <c r="S88" i="21"/>
  <c r="R88" i="21"/>
  <c r="Q88" i="21"/>
  <c r="P88" i="21"/>
  <c r="O88" i="21"/>
  <c r="N88" i="21"/>
  <c r="M88" i="21"/>
  <c r="L88" i="21"/>
  <c r="K88" i="21"/>
  <c r="J88" i="21"/>
  <c r="I88" i="21"/>
  <c r="H88" i="21"/>
  <c r="E84" i="21"/>
  <c r="B84" i="21"/>
  <c r="AE82" i="21"/>
  <c r="AD82" i="21"/>
  <c r="AC82" i="21"/>
  <c r="AB82" i="21"/>
  <c r="AA82" i="21"/>
  <c r="Z82" i="21"/>
  <c r="Y82" i="21"/>
  <c r="X82" i="21"/>
  <c r="W82" i="21"/>
  <c r="V82" i="21"/>
  <c r="U82" i="21"/>
  <c r="T82" i="21"/>
  <c r="S82" i="21"/>
  <c r="R82" i="21"/>
  <c r="Q82" i="21"/>
  <c r="P82" i="21"/>
  <c r="O82" i="21"/>
  <c r="N82" i="21"/>
  <c r="M82" i="21"/>
  <c r="L82" i="21"/>
  <c r="K82" i="21"/>
  <c r="J82" i="21"/>
  <c r="I82" i="21"/>
  <c r="H82" i="21"/>
  <c r="E78" i="21"/>
  <c r="B78" i="21"/>
  <c r="AE76" i="21"/>
  <c r="AD76" i="21"/>
  <c r="AC76" i="21"/>
  <c r="AB76" i="21"/>
  <c r="AA76" i="21"/>
  <c r="Z76" i="21"/>
  <c r="Y76" i="21"/>
  <c r="X76" i="21"/>
  <c r="W76" i="21"/>
  <c r="V76" i="21"/>
  <c r="U76" i="21"/>
  <c r="T76" i="21"/>
  <c r="S76" i="21"/>
  <c r="R76" i="21"/>
  <c r="Q76" i="21"/>
  <c r="P76" i="21"/>
  <c r="O76" i="21"/>
  <c r="N76" i="21"/>
  <c r="M76" i="21"/>
  <c r="L76" i="21"/>
  <c r="K76" i="21"/>
  <c r="J76" i="21"/>
  <c r="I76" i="21"/>
  <c r="H76" i="21"/>
  <c r="E72" i="21"/>
  <c r="B72" i="21"/>
  <c r="AE70" i="21"/>
  <c r="AD70" i="21"/>
  <c r="AC70" i="21"/>
  <c r="AB70" i="21"/>
  <c r="AA70" i="21"/>
  <c r="Z70" i="21"/>
  <c r="Y70" i="21"/>
  <c r="X70" i="21"/>
  <c r="W70" i="21"/>
  <c r="V70" i="21"/>
  <c r="U70" i="21"/>
  <c r="T70" i="21"/>
  <c r="S70" i="21"/>
  <c r="R70" i="21"/>
  <c r="Q70" i="21"/>
  <c r="P70" i="21"/>
  <c r="O70" i="21"/>
  <c r="N70" i="21"/>
  <c r="M70" i="21"/>
  <c r="L70" i="21"/>
  <c r="K70" i="21"/>
  <c r="J70" i="21"/>
  <c r="I70" i="21"/>
  <c r="H70" i="21"/>
  <c r="E62" i="21"/>
  <c r="C62" i="21"/>
  <c r="E61" i="21"/>
  <c r="C61" i="21"/>
  <c r="E66" i="21"/>
  <c r="B66" i="21"/>
  <c r="AD64" i="21"/>
  <c r="AB64" i="21"/>
  <c r="Z64" i="21"/>
  <c r="Y64" i="21"/>
  <c r="X64" i="21"/>
  <c r="W64" i="21"/>
  <c r="V64" i="21"/>
  <c r="U64" i="21"/>
  <c r="T64" i="21"/>
  <c r="S64" i="21"/>
  <c r="R64" i="21"/>
  <c r="Q64" i="21"/>
  <c r="P64" i="21"/>
  <c r="O64" i="21"/>
  <c r="N64" i="21"/>
  <c r="M64" i="21"/>
  <c r="L64" i="21"/>
  <c r="K64" i="21"/>
  <c r="J64" i="21"/>
  <c r="I64" i="21"/>
  <c r="H64" i="21"/>
  <c r="AE62" i="21"/>
  <c r="AE56" i="21" s="1"/>
  <c r="AD62" i="21"/>
  <c r="AD56" i="21" s="1"/>
  <c r="AC62" i="21"/>
  <c r="AC56" i="21" s="1"/>
  <c r="AB62" i="21"/>
  <c r="AB56" i="21" s="1"/>
  <c r="AA62" i="21"/>
  <c r="AA56" i="21" s="1"/>
  <c r="Z62" i="21"/>
  <c r="Z56" i="21" s="1"/>
  <c r="Y62" i="21"/>
  <c r="Y56" i="21" s="1"/>
  <c r="X62" i="21"/>
  <c r="X56" i="21" s="1"/>
  <c r="W62" i="21"/>
  <c r="W56" i="21" s="1"/>
  <c r="V62" i="21"/>
  <c r="V56" i="21" s="1"/>
  <c r="U62" i="21"/>
  <c r="U56" i="21" s="1"/>
  <c r="T62" i="21"/>
  <c r="T56" i="21" s="1"/>
  <c r="S62" i="21"/>
  <c r="S56" i="21" s="1"/>
  <c r="R62" i="21"/>
  <c r="R56" i="21" s="1"/>
  <c r="Q62" i="21"/>
  <c r="Q56" i="21" s="1"/>
  <c r="P62" i="21"/>
  <c r="P56" i="21" s="1"/>
  <c r="O62" i="21"/>
  <c r="O56" i="21" s="1"/>
  <c r="N62" i="21"/>
  <c r="N56" i="21" s="1"/>
  <c r="M62" i="21"/>
  <c r="M56" i="21" s="1"/>
  <c r="L62" i="21"/>
  <c r="L56" i="21" s="1"/>
  <c r="K62" i="21"/>
  <c r="K56" i="21" s="1"/>
  <c r="J62" i="21"/>
  <c r="J56" i="21" s="1"/>
  <c r="I62" i="21"/>
  <c r="I56" i="21" s="1"/>
  <c r="H62" i="21"/>
  <c r="H56" i="21" s="1"/>
  <c r="AE61" i="21"/>
  <c r="AE55" i="21" s="1"/>
  <c r="AD61" i="21"/>
  <c r="AD55" i="21" s="1"/>
  <c r="AC61" i="21"/>
  <c r="AC55" i="21" s="1"/>
  <c r="AB61" i="21"/>
  <c r="AB55" i="21" s="1"/>
  <c r="AA61" i="21"/>
  <c r="AA55" i="21" s="1"/>
  <c r="Z61" i="21"/>
  <c r="Z55" i="21" s="1"/>
  <c r="Y61" i="21"/>
  <c r="Y55" i="21" s="1"/>
  <c r="X61" i="21"/>
  <c r="X55" i="21" s="1"/>
  <c r="W61" i="21"/>
  <c r="W55" i="21" s="1"/>
  <c r="V61" i="21"/>
  <c r="V55" i="21" s="1"/>
  <c r="U61" i="21"/>
  <c r="U55" i="21" s="1"/>
  <c r="T61" i="21"/>
  <c r="T55" i="21" s="1"/>
  <c r="S61" i="21"/>
  <c r="S55" i="21" s="1"/>
  <c r="R61" i="21"/>
  <c r="R55" i="21" s="1"/>
  <c r="Q61" i="21"/>
  <c r="Q55" i="21" s="1"/>
  <c r="P61" i="21"/>
  <c r="P55" i="21" s="1"/>
  <c r="O61" i="21"/>
  <c r="O55" i="21" s="1"/>
  <c r="N61" i="21"/>
  <c r="N55" i="21" s="1"/>
  <c r="M61" i="21"/>
  <c r="M55" i="21" s="1"/>
  <c r="L61" i="21"/>
  <c r="L55" i="21" s="1"/>
  <c r="K61" i="21"/>
  <c r="K55" i="21" s="1"/>
  <c r="J61" i="21"/>
  <c r="J55" i="21" s="1"/>
  <c r="I61" i="21"/>
  <c r="I55" i="21" s="1"/>
  <c r="H61" i="21"/>
  <c r="H55" i="21" s="1"/>
  <c r="AE60" i="21"/>
  <c r="AE54" i="21" s="1"/>
  <c r="AD60" i="21"/>
  <c r="AD54" i="21" s="1"/>
  <c r="AC60" i="21"/>
  <c r="AC54" i="21" s="1"/>
  <c r="AB60" i="21"/>
  <c r="AB54" i="21" s="1"/>
  <c r="AA60" i="21"/>
  <c r="AA54" i="21" s="1"/>
  <c r="Z60" i="21"/>
  <c r="Z54" i="21" s="1"/>
  <c r="Y60" i="21"/>
  <c r="Y54" i="21" s="1"/>
  <c r="X60" i="21"/>
  <c r="X54" i="21" s="1"/>
  <c r="W60" i="21"/>
  <c r="W54" i="21" s="1"/>
  <c r="V60" i="21"/>
  <c r="V54" i="21" s="1"/>
  <c r="U60" i="21"/>
  <c r="U54" i="21" s="1"/>
  <c r="T60" i="21"/>
  <c r="T54" i="21" s="1"/>
  <c r="S60" i="21"/>
  <c r="S54" i="21" s="1"/>
  <c r="R60" i="21"/>
  <c r="R54" i="21" s="1"/>
  <c r="Q60" i="21"/>
  <c r="Q54" i="21" s="1"/>
  <c r="P60" i="21"/>
  <c r="P54" i="21" s="1"/>
  <c r="O60" i="21"/>
  <c r="O54" i="21" s="1"/>
  <c r="N60" i="21"/>
  <c r="N54" i="21" s="1"/>
  <c r="M60" i="21"/>
  <c r="M54" i="21" s="1"/>
  <c r="L60" i="21"/>
  <c r="L54" i="21" s="1"/>
  <c r="K60" i="21"/>
  <c r="K54" i="21" s="1"/>
  <c r="J60" i="21"/>
  <c r="J54" i="21" s="1"/>
  <c r="I60" i="21"/>
  <c r="I54" i="21" s="1"/>
  <c r="H60" i="21"/>
  <c r="H54" i="21" s="1"/>
  <c r="C60" i="21"/>
  <c r="AE59" i="21"/>
  <c r="AE53" i="21" s="1"/>
  <c r="AD59" i="21"/>
  <c r="AD53" i="21" s="1"/>
  <c r="AC59" i="21"/>
  <c r="AC53" i="21" s="1"/>
  <c r="AB59" i="21"/>
  <c r="AB53" i="21" s="1"/>
  <c r="AA59" i="21"/>
  <c r="AA53" i="21" s="1"/>
  <c r="Z59" i="21"/>
  <c r="Z53" i="21" s="1"/>
  <c r="Y59" i="21"/>
  <c r="Y53" i="21" s="1"/>
  <c r="X59" i="21"/>
  <c r="X53" i="21" s="1"/>
  <c r="W59" i="21"/>
  <c r="W53" i="21" s="1"/>
  <c r="V59" i="21"/>
  <c r="V53" i="21" s="1"/>
  <c r="U59" i="21"/>
  <c r="U53" i="21" s="1"/>
  <c r="T59" i="21"/>
  <c r="T53" i="21" s="1"/>
  <c r="S59" i="21"/>
  <c r="S53" i="21" s="1"/>
  <c r="R59" i="21"/>
  <c r="R53" i="21" s="1"/>
  <c r="Q59" i="21"/>
  <c r="Q53" i="21" s="1"/>
  <c r="P59" i="21"/>
  <c r="P53" i="21" s="1"/>
  <c r="O59" i="21"/>
  <c r="O53" i="21" s="1"/>
  <c r="N59" i="21"/>
  <c r="N53" i="21" s="1"/>
  <c r="M59" i="21"/>
  <c r="M53" i="21" s="1"/>
  <c r="L59" i="21"/>
  <c r="L53" i="21" s="1"/>
  <c r="K59" i="21"/>
  <c r="K53" i="21" s="1"/>
  <c r="J59" i="21"/>
  <c r="J53" i="21" s="1"/>
  <c r="I59" i="21"/>
  <c r="I53" i="21" s="1"/>
  <c r="H59" i="21"/>
  <c r="H53" i="21" s="1"/>
  <c r="E50" i="21"/>
  <c r="B50" i="21"/>
  <c r="E49" i="21"/>
  <c r="B49" i="21"/>
  <c r="E48" i="21"/>
  <c r="B48" i="21"/>
  <c r="E47" i="21"/>
  <c r="B47" i="21"/>
  <c r="AE46" i="21"/>
  <c r="AD46" i="21"/>
  <c r="AC46" i="21"/>
  <c r="AB46" i="21"/>
  <c r="AA46" i="21"/>
  <c r="Z46" i="21"/>
  <c r="Y46" i="21"/>
  <c r="X46" i="21"/>
  <c r="W46" i="21"/>
  <c r="V46" i="21"/>
  <c r="U46" i="21"/>
  <c r="T46" i="21"/>
  <c r="S46" i="21"/>
  <c r="R46" i="21"/>
  <c r="Q46" i="21"/>
  <c r="P46" i="21"/>
  <c r="O46" i="21"/>
  <c r="N46" i="21"/>
  <c r="M46" i="21"/>
  <c r="L46" i="21"/>
  <c r="K46" i="21"/>
  <c r="J46" i="21"/>
  <c r="I46" i="21"/>
  <c r="H46" i="21"/>
  <c r="E44" i="21"/>
  <c r="B44" i="21"/>
  <c r="E43" i="21"/>
  <c r="B43" i="21"/>
  <c r="E42" i="21"/>
  <c r="B42" i="21"/>
  <c r="E41" i="21"/>
  <c r="B41" i="21"/>
  <c r="AE40" i="21"/>
  <c r="AD40" i="21"/>
  <c r="AC40" i="21"/>
  <c r="AB40" i="21"/>
  <c r="AA40" i="21"/>
  <c r="Z40" i="21"/>
  <c r="Y40" i="21"/>
  <c r="X40" i="21"/>
  <c r="W40" i="21"/>
  <c r="V40" i="21"/>
  <c r="U40" i="21"/>
  <c r="T40" i="21"/>
  <c r="S40" i="21"/>
  <c r="R40" i="21"/>
  <c r="Q40" i="21"/>
  <c r="P40" i="21"/>
  <c r="O40" i="21"/>
  <c r="N40" i="21"/>
  <c r="M40" i="21"/>
  <c r="L40" i="21"/>
  <c r="K40" i="21"/>
  <c r="J40" i="21"/>
  <c r="I40" i="21"/>
  <c r="H40" i="21"/>
  <c r="E38" i="21"/>
  <c r="B38" i="21"/>
  <c r="E36" i="21"/>
  <c r="B36" i="21"/>
  <c r="E35" i="21"/>
  <c r="B35" i="21"/>
  <c r="AE34" i="21"/>
  <c r="AD34" i="21"/>
  <c r="AC34" i="21"/>
  <c r="AB34" i="21"/>
  <c r="AA34" i="21"/>
  <c r="Z34" i="21"/>
  <c r="Y34" i="21"/>
  <c r="X34" i="21"/>
  <c r="W34" i="21"/>
  <c r="V34" i="21"/>
  <c r="U34" i="21"/>
  <c r="T34" i="21"/>
  <c r="S34" i="21"/>
  <c r="R34" i="21"/>
  <c r="Q34" i="21"/>
  <c r="P34" i="21"/>
  <c r="O34" i="21"/>
  <c r="N34" i="21"/>
  <c r="M34" i="21"/>
  <c r="L34" i="21"/>
  <c r="K34" i="21"/>
  <c r="J34" i="21"/>
  <c r="I34" i="21"/>
  <c r="H34" i="21"/>
  <c r="E30" i="21"/>
  <c r="B30" i="21"/>
  <c r="AE28" i="21"/>
  <c r="AD28" i="21"/>
  <c r="AC28" i="21"/>
  <c r="AB28" i="21"/>
  <c r="AA28" i="21"/>
  <c r="Z28" i="21"/>
  <c r="Y28" i="21"/>
  <c r="X28" i="21"/>
  <c r="W28" i="21"/>
  <c r="V28" i="21"/>
  <c r="U28" i="21"/>
  <c r="T28" i="21"/>
  <c r="S28" i="21"/>
  <c r="R28" i="21"/>
  <c r="Q28" i="21"/>
  <c r="P28" i="21"/>
  <c r="O28" i="21"/>
  <c r="N28" i="21"/>
  <c r="M28" i="21"/>
  <c r="L28" i="21"/>
  <c r="K28" i="21"/>
  <c r="J28" i="21"/>
  <c r="I28" i="21"/>
  <c r="H28" i="21"/>
  <c r="B26" i="21"/>
  <c r="F26" i="21" s="1"/>
  <c r="E24" i="21"/>
  <c r="B24" i="21"/>
  <c r="E23" i="21"/>
  <c r="B23" i="21"/>
  <c r="AE22" i="21"/>
  <c r="AD22" i="21"/>
  <c r="AC22" i="21"/>
  <c r="AB22" i="21"/>
  <c r="AA22" i="21"/>
  <c r="Z22" i="21"/>
  <c r="Y22" i="21"/>
  <c r="X22" i="21"/>
  <c r="W22" i="21"/>
  <c r="V22" i="21"/>
  <c r="U22" i="21"/>
  <c r="T22" i="21"/>
  <c r="S22" i="21"/>
  <c r="R22" i="21"/>
  <c r="Q22" i="21"/>
  <c r="P22" i="21"/>
  <c r="O22" i="21"/>
  <c r="N22" i="21"/>
  <c r="M22" i="21"/>
  <c r="L22" i="21"/>
  <c r="K22" i="21"/>
  <c r="J22" i="21"/>
  <c r="I22" i="21"/>
  <c r="H22" i="21"/>
  <c r="AE20" i="21"/>
  <c r="AD20" i="21"/>
  <c r="AC20" i="21"/>
  <c r="AB20" i="21"/>
  <c r="AA20" i="21"/>
  <c r="Z20" i="21"/>
  <c r="Y20" i="21"/>
  <c r="X20" i="21"/>
  <c r="W20" i="21"/>
  <c r="V20" i="21"/>
  <c r="U20" i="21"/>
  <c r="T20" i="21"/>
  <c r="S20" i="21"/>
  <c r="R20" i="21"/>
  <c r="Q20" i="21"/>
  <c r="P20" i="21"/>
  <c r="O20" i="21"/>
  <c r="N20" i="21"/>
  <c r="M20" i="21"/>
  <c r="L20" i="21"/>
  <c r="K20" i="21"/>
  <c r="J20" i="21"/>
  <c r="I20" i="21"/>
  <c r="H20" i="21"/>
  <c r="AE19" i="21"/>
  <c r="AD19" i="21"/>
  <c r="AC19" i="21"/>
  <c r="AB19" i="21"/>
  <c r="AA19" i="21"/>
  <c r="Z19" i="21"/>
  <c r="Y19" i="21"/>
  <c r="X19" i="21"/>
  <c r="W19" i="21"/>
  <c r="V19" i="21"/>
  <c r="U19" i="21"/>
  <c r="T19" i="21"/>
  <c r="S19" i="21"/>
  <c r="R19" i="21"/>
  <c r="Q19" i="21"/>
  <c r="P19" i="21"/>
  <c r="O19" i="21"/>
  <c r="N19" i="21"/>
  <c r="M19" i="21"/>
  <c r="L19" i="21"/>
  <c r="K19" i="21"/>
  <c r="J19" i="21"/>
  <c r="I19" i="21"/>
  <c r="H19" i="21"/>
  <c r="AE18" i="21"/>
  <c r="AD18" i="21"/>
  <c r="AC18" i="21"/>
  <c r="AB18" i="21"/>
  <c r="AA18" i="21"/>
  <c r="Z18" i="21"/>
  <c r="Y18" i="21"/>
  <c r="X18" i="21"/>
  <c r="W18" i="21"/>
  <c r="V18" i="21"/>
  <c r="U18" i="21"/>
  <c r="T18" i="21"/>
  <c r="S18" i="21"/>
  <c r="R18" i="21"/>
  <c r="Q18" i="21"/>
  <c r="P18" i="21"/>
  <c r="O18" i="21"/>
  <c r="N18" i="21"/>
  <c r="M18" i="21"/>
  <c r="L18" i="21"/>
  <c r="K18" i="21"/>
  <c r="J18" i="21"/>
  <c r="I18" i="21"/>
  <c r="H18" i="21"/>
  <c r="AE17" i="21"/>
  <c r="AD17" i="21"/>
  <c r="AC17" i="21"/>
  <c r="AB17" i="21"/>
  <c r="AA17" i="21"/>
  <c r="Z17" i="21"/>
  <c r="Y17" i="21"/>
  <c r="X17" i="21"/>
  <c r="W17" i="21"/>
  <c r="V17" i="21"/>
  <c r="U17" i="21"/>
  <c r="T17" i="21"/>
  <c r="S17" i="21"/>
  <c r="R17" i="21"/>
  <c r="Q17" i="21"/>
  <c r="P17" i="21"/>
  <c r="O17" i="21"/>
  <c r="N17" i="21"/>
  <c r="M17" i="21"/>
  <c r="L17" i="21"/>
  <c r="K17" i="21"/>
  <c r="J17" i="21"/>
  <c r="I17" i="21"/>
  <c r="H17" i="21"/>
  <c r="S16" i="21"/>
  <c r="E10" i="21"/>
  <c r="E9" i="21" s="1"/>
  <c r="B12" i="21"/>
  <c r="B11" i="21" s="1"/>
  <c r="AE11" i="21"/>
  <c r="AD11" i="21"/>
  <c r="AC11" i="21"/>
  <c r="AB11" i="21"/>
  <c r="AA11" i="21"/>
  <c r="Z11" i="21"/>
  <c r="Y11" i="21"/>
  <c r="X11" i="21"/>
  <c r="W11" i="21"/>
  <c r="V11" i="21"/>
  <c r="U11" i="21"/>
  <c r="T11" i="21"/>
  <c r="S11" i="21"/>
  <c r="R11" i="21"/>
  <c r="Q11" i="21"/>
  <c r="P11" i="21"/>
  <c r="O11" i="21"/>
  <c r="N11" i="21"/>
  <c r="M11" i="21"/>
  <c r="L11" i="21"/>
  <c r="K11" i="21"/>
  <c r="J11" i="21"/>
  <c r="I11" i="21"/>
  <c r="H11" i="21"/>
  <c r="AE10" i="21"/>
  <c r="AD10" i="21"/>
  <c r="AC10" i="21"/>
  <c r="AC9" i="21" s="1"/>
  <c r="AB10" i="21"/>
  <c r="AA10" i="21"/>
  <c r="AA9" i="21" s="1"/>
  <c r="Z10" i="21"/>
  <c r="Z9" i="21" s="1"/>
  <c r="Y10" i="21"/>
  <c r="Y9" i="21" s="1"/>
  <c r="X10" i="21"/>
  <c r="W10" i="21"/>
  <c r="W9" i="21" s="1"/>
  <c r="V10" i="21"/>
  <c r="U10" i="21"/>
  <c r="U9" i="21" s="1"/>
  <c r="T10" i="21"/>
  <c r="S10" i="21"/>
  <c r="S9" i="21" s="1"/>
  <c r="R10" i="21"/>
  <c r="Q10" i="21"/>
  <c r="Q9" i="21" s="1"/>
  <c r="P10" i="21"/>
  <c r="O10" i="21"/>
  <c r="O9" i="21" s="1"/>
  <c r="N10" i="21"/>
  <c r="M10" i="21"/>
  <c r="M9" i="21" s="1"/>
  <c r="L10" i="21"/>
  <c r="K10" i="21"/>
  <c r="K9" i="21" s="1"/>
  <c r="J10" i="21"/>
  <c r="J9" i="21" s="1"/>
  <c r="I10" i="21"/>
  <c r="I9" i="21" s="1"/>
  <c r="H10" i="21"/>
  <c r="AE9" i="21"/>
  <c r="AC54" i="19"/>
  <c r="AE56" i="19"/>
  <c r="AD56" i="19"/>
  <c r="AB56" i="19"/>
  <c r="AB62" i="19" s="1"/>
  <c r="AA56" i="19"/>
  <c r="AA62" i="19" s="1"/>
  <c r="Z56" i="19"/>
  <c r="Z62" i="19" s="1"/>
  <c r="Y56" i="19"/>
  <c r="Y62" i="19" s="1"/>
  <c r="X56" i="19"/>
  <c r="W56" i="19"/>
  <c r="W62" i="19" s="1"/>
  <c r="V56" i="19"/>
  <c r="V62" i="19" s="1"/>
  <c r="U56" i="19"/>
  <c r="U62" i="19" s="1"/>
  <c r="T56" i="19"/>
  <c r="T62" i="19" s="1"/>
  <c r="S56" i="19"/>
  <c r="S62" i="19" s="1"/>
  <c r="R56" i="19"/>
  <c r="R62" i="19" s="1"/>
  <c r="Q56" i="19"/>
  <c r="Q62" i="19" s="1"/>
  <c r="P56" i="19"/>
  <c r="P62" i="19" s="1"/>
  <c r="O56" i="19"/>
  <c r="O62" i="19" s="1"/>
  <c r="N56" i="19"/>
  <c r="N62" i="19" s="1"/>
  <c r="M56" i="19"/>
  <c r="M62" i="19" s="1"/>
  <c r="L56" i="19"/>
  <c r="L62" i="19" s="1"/>
  <c r="K56" i="19"/>
  <c r="K62" i="19" s="1"/>
  <c r="J56" i="19"/>
  <c r="J62" i="19" s="1"/>
  <c r="I56" i="19"/>
  <c r="H56" i="19"/>
  <c r="H54" i="19" s="1"/>
  <c r="E56" i="19"/>
  <c r="C56" i="19"/>
  <c r="B49" i="19"/>
  <c r="B56" i="19" s="1"/>
  <c r="C55" i="19"/>
  <c r="AE47" i="19"/>
  <c r="AD47" i="19"/>
  <c r="AC47" i="19"/>
  <c r="AB47" i="19"/>
  <c r="AA47" i="19"/>
  <c r="Z47" i="19"/>
  <c r="Y47" i="19"/>
  <c r="X47" i="19"/>
  <c r="W47" i="19"/>
  <c r="V47" i="19"/>
  <c r="U47" i="19"/>
  <c r="T47" i="19"/>
  <c r="S47" i="19"/>
  <c r="R47" i="19"/>
  <c r="Q47" i="19"/>
  <c r="P47" i="19"/>
  <c r="O47" i="19"/>
  <c r="N47" i="19"/>
  <c r="M47" i="19"/>
  <c r="L47" i="19"/>
  <c r="K47" i="19"/>
  <c r="J47" i="19"/>
  <c r="I47" i="19"/>
  <c r="H47" i="19"/>
  <c r="AE31" i="19"/>
  <c r="AD31" i="19"/>
  <c r="AC31" i="19"/>
  <c r="AB31" i="19"/>
  <c r="AA31" i="19"/>
  <c r="Z31" i="19"/>
  <c r="Y31" i="19"/>
  <c r="X31" i="19"/>
  <c r="W31" i="19"/>
  <c r="V31" i="19"/>
  <c r="U31" i="19"/>
  <c r="T31" i="19"/>
  <c r="S31" i="19"/>
  <c r="R31" i="19"/>
  <c r="Q31" i="19"/>
  <c r="P31" i="19"/>
  <c r="O31" i="19"/>
  <c r="N31" i="19"/>
  <c r="M31" i="19"/>
  <c r="L31" i="19"/>
  <c r="K31" i="19"/>
  <c r="J31" i="19"/>
  <c r="I31" i="19"/>
  <c r="H31" i="19"/>
  <c r="AE24" i="19"/>
  <c r="AD24" i="19"/>
  <c r="AC24" i="19"/>
  <c r="AB24" i="19"/>
  <c r="AA24" i="19"/>
  <c r="Z24" i="19"/>
  <c r="Y24" i="19"/>
  <c r="X24" i="19"/>
  <c r="W24" i="19"/>
  <c r="V24" i="19"/>
  <c r="U24" i="19"/>
  <c r="T24" i="19"/>
  <c r="S24" i="19"/>
  <c r="R24" i="19"/>
  <c r="Q24" i="19"/>
  <c r="P24" i="19"/>
  <c r="O24" i="19"/>
  <c r="N24" i="19"/>
  <c r="M24" i="19"/>
  <c r="L24" i="19"/>
  <c r="K24" i="19"/>
  <c r="J24" i="19"/>
  <c r="I24" i="19"/>
  <c r="H24" i="19"/>
  <c r="G147" i="18"/>
  <c r="F147" i="18"/>
  <c r="E134" i="18"/>
  <c r="D134" i="18" s="1"/>
  <c r="C133" i="18"/>
  <c r="B134" i="18"/>
  <c r="AE133" i="18"/>
  <c r="AD133" i="18"/>
  <c r="AC133" i="18"/>
  <c r="AB133" i="18"/>
  <c r="AA133" i="18"/>
  <c r="Z133" i="18"/>
  <c r="Y133" i="18"/>
  <c r="X133" i="18"/>
  <c r="W133" i="18"/>
  <c r="V133" i="18"/>
  <c r="U133" i="18"/>
  <c r="T133" i="18"/>
  <c r="S133" i="18"/>
  <c r="R133" i="18"/>
  <c r="Q133" i="18"/>
  <c r="P133" i="18"/>
  <c r="O133" i="18"/>
  <c r="N133" i="18"/>
  <c r="M133" i="18"/>
  <c r="L133" i="18"/>
  <c r="K133" i="18"/>
  <c r="J133" i="18"/>
  <c r="I133" i="18"/>
  <c r="H133" i="18"/>
  <c r="AE131" i="18"/>
  <c r="AE147" i="18" s="1"/>
  <c r="AE146" i="18" s="1"/>
  <c r="AD131" i="18"/>
  <c r="AD147" i="18" s="1"/>
  <c r="AD146" i="18" s="1"/>
  <c r="AC131" i="18"/>
  <c r="AB131" i="18"/>
  <c r="AA131" i="18"/>
  <c r="AA147" i="18" s="1"/>
  <c r="AA146" i="18" s="1"/>
  <c r="Z131" i="18"/>
  <c r="Z147" i="18" s="1"/>
  <c r="Z146" i="18" s="1"/>
  <c r="Y131" i="18"/>
  <c r="X131" i="18"/>
  <c r="X147" i="18" s="1"/>
  <c r="X146" i="18" s="1"/>
  <c r="W131" i="18"/>
  <c r="W147" i="18" s="1"/>
  <c r="W146" i="18" s="1"/>
  <c r="V131" i="18"/>
  <c r="V147" i="18" s="1"/>
  <c r="V146" i="18" s="1"/>
  <c r="U131" i="18"/>
  <c r="T131" i="18"/>
  <c r="T147" i="18" s="1"/>
  <c r="T146" i="18" s="1"/>
  <c r="S131" i="18"/>
  <c r="S147" i="18" s="1"/>
  <c r="S146" i="18" s="1"/>
  <c r="R131" i="18"/>
  <c r="R147" i="18" s="1"/>
  <c r="R146" i="18" s="1"/>
  <c r="Q131" i="18"/>
  <c r="P131" i="18"/>
  <c r="P147" i="18" s="1"/>
  <c r="P146" i="18" s="1"/>
  <c r="O131" i="18"/>
  <c r="O147" i="18" s="1"/>
  <c r="O146" i="18" s="1"/>
  <c r="N131" i="18"/>
  <c r="N147" i="18" s="1"/>
  <c r="N146" i="18" s="1"/>
  <c r="M131" i="18"/>
  <c r="L131" i="18"/>
  <c r="L147" i="18" s="1"/>
  <c r="L146" i="18" s="1"/>
  <c r="K131" i="18"/>
  <c r="K147" i="18" s="1"/>
  <c r="K146" i="18" s="1"/>
  <c r="J131" i="18"/>
  <c r="J147" i="18" s="1"/>
  <c r="J146" i="18" s="1"/>
  <c r="I131" i="18"/>
  <c r="H131" i="18"/>
  <c r="H147" i="18" s="1"/>
  <c r="H146" i="18" s="1"/>
  <c r="E127" i="18"/>
  <c r="AG127" i="18" s="1"/>
  <c r="B127" i="18"/>
  <c r="E126" i="18"/>
  <c r="AG126" i="18" s="1"/>
  <c r="B126" i="18"/>
  <c r="E125" i="18"/>
  <c r="AG125" i="18" s="1"/>
  <c r="C124" i="18"/>
  <c r="B125" i="18"/>
  <c r="AE124" i="18"/>
  <c r="AD124" i="18"/>
  <c r="AC124" i="18"/>
  <c r="AB124" i="18"/>
  <c r="AA124" i="18"/>
  <c r="Z124" i="18"/>
  <c r="Y124" i="18"/>
  <c r="X124" i="18"/>
  <c r="W124" i="18"/>
  <c r="V124" i="18"/>
  <c r="U124" i="18"/>
  <c r="T124" i="18"/>
  <c r="S124" i="18"/>
  <c r="R124" i="18"/>
  <c r="Q124" i="18"/>
  <c r="P124" i="18"/>
  <c r="O124" i="18"/>
  <c r="N124" i="18"/>
  <c r="M124" i="18"/>
  <c r="L124" i="18"/>
  <c r="K124" i="18"/>
  <c r="J124" i="18"/>
  <c r="I124" i="18"/>
  <c r="H124" i="18"/>
  <c r="E122" i="18"/>
  <c r="D122" i="18" s="1"/>
  <c r="B122" i="18"/>
  <c r="E121" i="18"/>
  <c r="D121" i="18" s="1"/>
  <c r="B121" i="18"/>
  <c r="E120" i="18"/>
  <c r="D120" i="18" s="1"/>
  <c r="B120" i="18"/>
  <c r="AE119" i="18"/>
  <c r="AD119" i="18"/>
  <c r="AC119" i="18"/>
  <c r="AB119" i="18"/>
  <c r="AA119" i="18"/>
  <c r="Z119" i="18"/>
  <c r="Y119" i="18"/>
  <c r="X119" i="18"/>
  <c r="W119" i="18"/>
  <c r="V119" i="18"/>
  <c r="U119" i="18"/>
  <c r="T119" i="18"/>
  <c r="S119" i="18"/>
  <c r="R119" i="18"/>
  <c r="Q119" i="18"/>
  <c r="P119" i="18"/>
  <c r="O119" i="18"/>
  <c r="N119" i="18"/>
  <c r="M119" i="18"/>
  <c r="L119" i="18"/>
  <c r="K119" i="18"/>
  <c r="J119" i="18"/>
  <c r="I119" i="18"/>
  <c r="H119" i="18"/>
  <c r="C119" i="18"/>
  <c r="E117" i="18"/>
  <c r="D117" i="18" s="1"/>
  <c r="B117" i="18"/>
  <c r="E116" i="18"/>
  <c r="D116" i="18" s="1"/>
  <c r="B116" i="18"/>
  <c r="E115" i="18"/>
  <c r="D115" i="18" s="1"/>
  <c r="B115" i="18"/>
  <c r="AE114" i="18"/>
  <c r="AD114" i="18"/>
  <c r="AC114" i="18"/>
  <c r="AB114" i="18"/>
  <c r="AA114" i="18"/>
  <c r="Z114" i="18"/>
  <c r="Y114" i="18"/>
  <c r="X114" i="18"/>
  <c r="W114" i="18"/>
  <c r="V114" i="18"/>
  <c r="U114" i="18"/>
  <c r="T114" i="18"/>
  <c r="S114" i="18"/>
  <c r="R114" i="18"/>
  <c r="Q114" i="18"/>
  <c r="P114" i="18"/>
  <c r="O114" i="18"/>
  <c r="N114" i="18"/>
  <c r="M114" i="18"/>
  <c r="L114" i="18"/>
  <c r="K114" i="18"/>
  <c r="J114" i="18"/>
  <c r="I114" i="18"/>
  <c r="H114" i="18"/>
  <c r="C114" i="18"/>
  <c r="E112" i="18"/>
  <c r="D112" i="18" s="1"/>
  <c r="B112" i="18"/>
  <c r="E111" i="18"/>
  <c r="D111" i="18" s="1"/>
  <c r="B111" i="18"/>
  <c r="E110" i="18"/>
  <c r="D110" i="18" s="1"/>
  <c r="B110" i="18"/>
  <c r="AE109" i="18"/>
  <c r="AD109" i="18"/>
  <c r="AC109" i="18"/>
  <c r="AB109" i="18"/>
  <c r="AA109" i="18"/>
  <c r="Z109" i="18"/>
  <c r="Y109" i="18"/>
  <c r="X109" i="18"/>
  <c r="W109" i="18"/>
  <c r="V109" i="18"/>
  <c r="U109" i="18"/>
  <c r="T109" i="18"/>
  <c r="S109" i="18"/>
  <c r="R109" i="18"/>
  <c r="Q109" i="18"/>
  <c r="P109" i="18"/>
  <c r="O109" i="18"/>
  <c r="N109" i="18"/>
  <c r="M109" i="18"/>
  <c r="L109" i="18"/>
  <c r="K109" i="18"/>
  <c r="J109" i="18"/>
  <c r="I109" i="18"/>
  <c r="H109" i="18"/>
  <c r="C109" i="18"/>
  <c r="E107" i="18"/>
  <c r="D107" i="18" s="1"/>
  <c r="B107" i="18"/>
  <c r="E106" i="18"/>
  <c r="D106" i="18" s="1"/>
  <c r="B106" i="18"/>
  <c r="E105" i="18"/>
  <c r="D105" i="18" s="1"/>
  <c r="B105" i="18"/>
  <c r="AE104" i="18"/>
  <c r="AD104" i="18"/>
  <c r="AC104" i="18"/>
  <c r="AB104" i="18"/>
  <c r="AA104" i="18"/>
  <c r="Z104" i="18"/>
  <c r="Y104" i="18"/>
  <c r="X104" i="18"/>
  <c r="W104" i="18"/>
  <c r="V104" i="18"/>
  <c r="U104" i="18"/>
  <c r="T104" i="18"/>
  <c r="S104" i="18"/>
  <c r="R104" i="18"/>
  <c r="Q104" i="18"/>
  <c r="P104" i="18"/>
  <c r="O104" i="18"/>
  <c r="N104" i="18"/>
  <c r="M104" i="18"/>
  <c r="L104" i="18"/>
  <c r="K104" i="18"/>
  <c r="J104" i="18"/>
  <c r="I104" i="18"/>
  <c r="H104" i="18"/>
  <c r="C104" i="18"/>
  <c r="E102" i="18"/>
  <c r="D102" i="18" s="1"/>
  <c r="B102" i="18"/>
  <c r="E101" i="18"/>
  <c r="D101" i="18" s="1"/>
  <c r="B101" i="18"/>
  <c r="E100" i="18"/>
  <c r="D100" i="18" s="1"/>
  <c r="B100" i="18"/>
  <c r="AE99" i="18"/>
  <c r="AD99" i="18"/>
  <c r="AC99" i="18"/>
  <c r="AB99" i="18"/>
  <c r="AA99" i="18"/>
  <c r="Z99" i="18"/>
  <c r="Y99" i="18"/>
  <c r="X99" i="18"/>
  <c r="W99" i="18"/>
  <c r="V99" i="18"/>
  <c r="U99" i="18"/>
  <c r="T99" i="18"/>
  <c r="S99" i="18"/>
  <c r="R99" i="18"/>
  <c r="Q99" i="18"/>
  <c r="P99" i="18"/>
  <c r="O99" i="18"/>
  <c r="N99" i="18"/>
  <c r="M99" i="18"/>
  <c r="L99" i="18"/>
  <c r="K99" i="18"/>
  <c r="J99" i="18"/>
  <c r="I99" i="18"/>
  <c r="H99" i="18"/>
  <c r="C99" i="18"/>
  <c r="E97" i="18"/>
  <c r="D97" i="18" s="1"/>
  <c r="B97" i="18"/>
  <c r="E96" i="18"/>
  <c r="D96" i="18" s="1"/>
  <c r="B96" i="18"/>
  <c r="E95" i="18"/>
  <c r="D95" i="18" s="1"/>
  <c r="B95" i="18"/>
  <c r="AE94" i="18"/>
  <c r="AD94" i="18"/>
  <c r="AC94" i="18"/>
  <c r="AB94" i="18"/>
  <c r="AA94" i="18"/>
  <c r="Z94" i="18"/>
  <c r="Y94" i="18"/>
  <c r="X94" i="18"/>
  <c r="W94" i="18"/>
  <c r="V94" i="18"/>
  <c r="U94" i="18"/>
  <c r="T94" i="18"/>
  <c r="S94" i="18"/>
  <c r="R94" i="18"/>
  <c r="Q94" i="18"/>
  <c r="P94" i="18"/>
  <c r="O94" i="18"/>
  <c r="N94" i="18"/>
  <c r="M94" i="18"/>
  <c r="L94" i="18"/>
  <c r="K94" i="18"/>
  <c r="J94" i="18"/>
  <c r="I94" i="18"/>
  <c r="H94" i="18"/>
  <c r="C94" i="18"/>
  <c r="E92" i="18"/>
  <c r="D92" i="18" s="1"/>
  <c r="B92" i="18"/>
  <c r="E91" i="18"/>
  <c r="D91" i="18" s="1"/>
  <c r="B91" i="18"/>
  <c r="E90" i="18"/>
  <c r="D90" i="18" s="1"/>
  <c r="B90" i="18"/>
  <c r="AE89" i="18"/>
  <c r="AD89" i="18"/>
  <c r="AC89" i="18"/>
  <c r="AB89" i="18"/>
  <c r="AA89" i="18"/>
  <c r="Z89" i="18"/>
  <c r="Y89" i="18"/>
  <c r="X89" i="18"/>
  <c r="W89" i="18"/>
  <c r="V89" i="18"/>
  <c r="U89" i="18"/>
  <c r="T89" i="18"/>
  <c r="S89" i="18"/>
  <c r="R89" i="18"/>
  <c r="Q89" i="18"/>
  <c r="P89" i="18"/>
  <c r="O89" i="18"/>
  <c r="N89" i="18"/>
  <c r="M89" i="18"/>
  <c r="L89" i="18"/>
  <c r="K89" i="18"/>
  <c r="J89" i="18"/>
  <c r="I89" i="18"/>
  <c r="H89" i="18"/>
  <c r="E87" i="18"/>
  <c r="D87" i="18" s="1"/>
  <c r="B87" i="18"/>
  <c r="E86" i="18"/>
  <c r="D86" i="18" s="1"/>
  <c r="B86" i="18"/>
  <c r="E85" i="18"/>
  <c r="D85" i="18" s="1"/>
  <c r="B85" i="18"/>
  <c r="AE84" i="18"/>
  <c r="AD84" i="18"/>
  <c r="AC84" i="18"/>
  <c r="AB84" i="18"/>
  <c r="AA84" i="18"/>
  <c r="Z84" i="18"/>
  <c r="Y84" i="18"/>
  <c r="X84" i="18"/>
  <c r="W84" i="18"/>
  <c r="V84" i="18"/>
  <c r="U84" i="18"/>
  <c r="T84" i="18"/>
  <c r="S84" i="18"/>
  <c r="R84" i="18"/>
  <c r="Q84" i="18"/>
  <c r="P84" i="18"/>
  <c r="O84" i="18"/>
  <c r="N84" i="18"/>
  <c r="M84" i="18"/>
  <c r="L84" i="18"/>
  <c r="K84" i="18"/>
  <c r="J84" i="18"/>
  <c r="I84" i="18"/>
  <c r="H84" i="18"/>
  <c r="E82" i="18"/>
  <c r="D82" i="18" s="1"/>
  <c r="B82" i="18"/>
  <c r="E81" i="18"/>
  <c r="D81" i="18" s="1"/>
  <c r="B81" i="18"/>
  <c r="E80" i="18"/>
  <c r="C79" i="18"/>
  <c r="B80" i="18"/>
  <c r="AE79" i="18"/>
  <c r="AD79" i="18"/>
  <c r="AC79" i="18"/>
  <c r="AB79" i="18"/>
  <c r="AA79" i="18"/>
  <c r="Z79" i="18"/>
  <c r="Y79" i="18"/>
  <c r="X79" i="18"/>
  <c r="W79" i="18"/>
  <c r="V79" i="18"/>
  <c r="U79" i="18"/>
  <c r="T79" i="18"/>
  <c r="S79" i="18"/>
  <c r="R79" i="18"/>
  <c r="Q79" i="18"/>
  <c r="P79" i="18"/>
  <c r="O79" i="18"/>
  <c r="N79" i="18"/>
  <c r="M79" i="18"/>
  <c r="L79" i="18"/>
  <c r="K79" i="18"/>
  <c r="J79" i="18"/>
  <c r="I79" i="18"/>
  <c r="H79" i="18"/>
  <c r="E77" i="18"/>
  <c r="B77" i="18"/>
  <c r="E76" i="18"/>
  <c r="B76" i="18"/>
  <c r="E75" i="18"/>
  <c r="B75" i="18"/>
  <c r="AE74" i="18"/>
  <c r="AD74" i="18"/>
  <c r="AC74" i="18"/>
  <c r="AB74" i="18"/>
  <c r="AA74" i="18"/>
  <c r="Z74" i="18"/>
  <c r="Y74" i="18"/>
  <c r="X74" i="18"/>
  <c r="W74" i="18"/>
  <c r="V74" i="18"/>
  <c r="U74" i="18"/>
  <c r="T74" i="18"/>
  <c r="S74" i="18"/>
  <c r="R74" i="18"/>
  <c r="Q74" i="18"/>
  <c r="P74" i="18"/>
  <c r="O74" i="18"/>
  <c r="N74" i="18"/>
  <c r="M74" i="18"/>
  <c r="L74" i="18"/>
  <c r="K74" i="18"/>
  <c r="J74" i="18"/>
  <c r="I74" i="18"/>
  <c r="H74" i="18"/>
  <c r="AE72" i="18"/>
  <c r="AD72" i="18"/>
  <c r="AC72" i="18"/>
  <c r="AB72" i="18"/>
  <c r="AA72" i="18"/>
  <c r="Z72" i="18"/>
  <c r="Y72" i="18"/>
  <c r="X72" i="18"/>
  <c r="W72" i="18"/>
  <c r="V72" i="18"/>
  <c r="U72" i="18"/>
  <c r="T72" i="18"/>
  <c r="S72" i="18"/>
  <c r="R72" i="18"/>
  <c r="Q72" i="18"/>
  <c r="P72" i="18"/>
  <c r="O72" i="18"/>
  <c r="N72" i="18"/>
  <c r="M72" i="18"/>
  <c r="L72" i="18"/>
  <c r="K72" i="18"/>
  <c r="J72" i="18"/>
  <c r="I72" i="18"/>
  <c r="H72" i="18"/>
  <c r="AE71" i="18"/>
  <c r="AD71" i="18"/>
  <c r="AC71" i="18"/>
  <c r="AB71" i="18"/>
  <c r="AA71" i="18"/>
  <c r="Z71" i="18"/>
  <c r="Y71" i="18"/>
  <c r="X71" i="18"/>
  <c r="W71" i="18"/>
  <c r="V71" i="18"/>
  <c r="U71" i="18"/>
  <c r="T71" i="18"/>
  <c r="S71" i="18"/>
  <c r="R71" i="18"/>
  <c r="Q71" i="18"/>
  <c r="P71" i="18"/>
  <c r="O71" i="18"/>
  <c r="N71" i="18"/>
  <c r="M71" i="18"/>
  <c r="L71" i="18"/>
  <c r="K71" i="18"/>
  <c r="J71" i="18"/>
  <c r="I71" i="18"/>
  <c r="H71" i="18"/>
  <c r="AE70" i="18"/>
  <c r="AD70" i="18"/>
  <c r="AC70" i="18"/>
  <c r="AC69" i="18" s="1"/>
  <c r="AB70" i="18"/>
  <c r="AB69" i="18" s="1"/>
  <c r="AA70" i="18"/>
  <c r="AA69" i="18" s="1"/>
  <c r="Z70" i="18"/>
  <c r="Y70" i="18"/>
  <c r="Y69" i="18" s="1"/>
  <c r="X70" i="18"/>
  <c r="X69" i="18" s="1"/>
  <c r="W70" i="18"/>
  <c r="W69" i="18" s="1"/>
  <c r="V70" i="18"/>
  <c r="U70" i="18"/>
  <c r="U69" i="18" s="1"/>
  <c r="T70" i="18"/>
  <c r="T69" i="18" s="1"/>
  <c r="S70" i="18"/>
  <c r="R70" i="18"/>
  <c r="Q70" i="18"/>
  <c r="Q69" i="18" s="1"/>
  <c r="P70" i="18"/>
  <c r="O70" i="18"/>
  <c r="O69" i="18" s="1"/>
  <c r="N70" i="18"/>
  <c r="M70" i="18"/>
  <c r="M69" i="18" s="1"/>
  <c r="L70" i="18"/>
  <c r="L69" i="18" s="1"/>
  <c r="K70" i="18"/>
  <c r="K69" i="18" s="1"/>
  <c r="J70" i="18"/>
  <c r="I70" i="18"/>
  <c r="H70" i="18"/>
  <c r="AE69" i="18"/>
  <c r="AE67" i="18"/>
  <c r="AD67" i="18"/>
  <c r="AC67" i="18"/>
  <c r="AB67" i="18"/>
  <c r="AA67" i="18"/>
  <c r="Z67" i="18"/>
  <c r="Y67" i="18"/>
  <c r="X67" i="18"/>
  <c r="W67" i="18"/>
  <c r="V67" i="18"/>
  <c r="U67" i="18"/>
  <c r="T67" i="18"/>
  <c r="S67" i="18"/>
  <c r="R67" i="18"/>
  <c r="AE66" i="18"/>
  <c r="AD66" i="18"/>
  <c r="AC66" i="18"/>
  <c r="AB66" i="18"/>
  <c r="AA66" i="18"/>
  <c r="Z66" i="18"/>
  <c r="Y66" i="18"/>
  <c r="X66" i="18"/>
  <c r="W66" i="18"/>
  <c r="V66" i="18"/>
  <c r="U66" i="18"/>
  <c r="T66" i="18"/>
  <c r="S66" i="18"/>
  <c r="R66" i="18"/>
  <c r="AE65" i="18"/>
  <c r="AD65" i="18"/>
  <c r="AC65" i="18"/>
  <c r="AB65" i="18"/>
  <c r="AA65" i="18"/>
  <c r="Z65" i="18"/>
  <c r="Y65" i="18"/>
  <c r="X65" i="18"/>
  <c r="W65" i="18"/>
  <c r="V65" i="18"/>
  <c r="U65" i="18"/>
  <c r="T65" i="18"/>
  <c r="S65" i="18"/>
  <c r="R65" i="18"/>
  <c r="P64" i="18"/>
  <c r="L64" i="18"/>
  <c r="H64" i="18"/>
  <c r="E62" i="18"/>
  <c r="D62" i="18" s="1"/>
  <c r="B62" i="18"/>
  <c r="E61" i="18"/>
  <c r="D61" i="18" s="1"/>
  <c r="B61" i="18"/>
  <c r="E60" i="18"/>
  <c r="D60" i="18" s="1"/>
  <c r="B60" i="18"/>
  <c r="AE59" i="18"/>
  <c r="AD59" i="18"/>
  <c r="AC59" i="18"/>
  <c r="AB59" i="18"/>
  <c r="AA59" i="18"/>
  <c r="Z59" i="18"/>
  <c r="Y59" i="18"/>
  <c r="X59" i="18"/>
  <c r="W59" i="18"/>
  <c r="V59" i="18"/>
  <c r="U59" i="18"/>
  <c r="T59" i="18"/>
  <c r="S59" i="18"/>
  <c r="R59" i="18"/>
  <c r="Q59" i="18"/>
  <c r="P59" i="18"/>
  <c r="O59" i="18"/>
  <c r="N59" i="18"/>
  <c r="M59" i="18"/>
  <c r="L59" i="18"/>
  <c r="K59" i="18"/>
  <c r="J59" i="18"/>
  <c r="I59" i="18"/>
  <c r="H59" i="18"/>
  <c r="AE57" i="18"/>
  <c r="AE47" i="18" s="1"/>
  <c r="AE42" i="18" s="1"/>
  <c r="AD57" i="18"/>
  <c r="AD47" i="18" s="1"/>
  <c r="AD42" i="18" s="1"/>
  <c r="AC57" i="18"/>
  <c r="AC47" i="18" s="1"/>
  <c r="AC42" i="18" s="1"/>
  <c r="AB57" i="18"/>
  <c r="AB47" i="18" s="1"/>
  <c r="AB42" i="18" s="1"/>
  <c r="AA57" i="18"/>
  <c r="AA47" i="18" s="1"/>
  <c r="AA42" i="18" s="1"/>
  <c r="Z57" i="18"/>
  <c r="Z47" i="18" s="1"/>
  <c r="Z42" i="18" s="1"/>
  <c r="Y57" i="18"/>
  <c r="Y47" i="18" s="1"/>
  <c r="Y42" i="18" s="1"/>
  <c r="X57" i="18"/>
  <c r="X47" i="18" s="1"/>
  <c r="X42" i="18" s="1"/>
  <c r="W57" i="18"/>
  <c r="W47" i="18" s="1"/>
  <c r="W42" i="18" s="1"/>
  <c r="V57" i="18"/>
  <c r="V47" i="18" s="1"/>
  <c r="V42" i="18" s="1"/>
  <c r="U57" i="18"/>
  <c r="U47" i="18" s="1"/>
  <c r="U42" i="18" s="1"/>
  <c r="T57" i="18"/>
  <c r="T47" i="18" s="1"/>
  <c r="T42" i="18" s="1"/>
  <c r="S57" i="18"/>
  <c r="S47" i="18" s="1"/>
  <c r="S42" i="18" s="1"/>
  <c r="R57" i="18"/>
  <c r="R47" i="18" s="1"/>
  <c r="Q57" i="18"/>
  <c r="Q47" i="18" s="1"/>
  <c r="Q42" i="18" s="1"/>
  <c r="P57" i="18"/>
  <c r="P47" i="18" s="1"/>
  <c r="P42" i="18" s="1"/>
  <c r="O57" i="18"/>
  <c r="O47" i="18" s="1"/>
  <c r="O42" i="18" s="1"/>
  <c r="N57" i="18"/>
  <c r="N47" i="18" s="1"/>
  <c r="N42" i="18" s="1"/>
  <c r="M57" i="18"/>
  <c r="M47" i="18" s="1"/>
  <c r="M42" i="18" s="1"/>
  <c r="L57" i="18"/>
  <c r="L47" i="18" s="1"/>
  <c r="L42" i="18" s="1"/>
  <c r="K57" i="18"/>
  <c r="K47" i="18" s="1"/>
  <c r="K42" i="18" s="1"/>
  <c r="J57" i="18"/>
  <c r="I57" i="18"/>
  <c r="H57" i="18"/>
  <c r="AE56" i="18"/>
  <c r="AE46" i="18" s="1"/>
  <c r="AE41" i="18" s="1"/>
  <c r="AD56" i="18"/>
  <c r="AD46" i="18" s="1"/>
  <c r="AC56" i="18"/>
  <c r="AC46" i="18" s="1"/>
  <c r="AC41" i="18" s="1"/>
  <c r="AB56" i="18"/>
  <c r="AB46" i="18" s="1"/>
  <c r="AB41" i="18" s="1"/>
  <c r="AA56" i="18"/>
  <c r="AA46" i="18" s="1"/>
  <c r="AA41" i="18" s="1"/>
  <c r="Z56" i="18"/>
  <c r="Z46" i="18" s="1"/>
  <c r="Y56" i="18"/>
  <c r="Y46" i="18" s="1"/>
  <c r="Y41" i="18" s="1"/>
  <c r="X56" i="18"/>
  <c r="X46" i="18" s="1"/>
  <c r="X41" i="18" s="1"/>
  <c r="W56" i="18"/>
  <c r="W46" i="18" s="1"/>
  <c r="V56" i="18"/>
  <c r="V46" i="18" s="1"/>
  <c r="U56" i="18"/>
  <c r="U46" i="18" s="1"/>
  <c r="U41" i="18" s="1"/>
  <c r="T56" i="18"/>
  <c r="T46" i="18" s="1"/>
  <c r="T41" i="18" s="1"/>
  <c r="S56" i="18"/>
  <c r="S46" i="18" s="1"/>
  <c r="S41" i="18" s="1"/>
  <c r="R56" i="18"/>
  <c r="R46" i="18" s="1"/>
  <c r="Q56" i="18"/>
  <c r="Q46" i="18" s="1"/>
  <c r="Q41" i="18" s="1"/>
  <c r="P56" i="18"/>
  <c r="P46" i="18" s="1"/>
  <c r="P41" i="18" s="1"/>
  <c r="O56" i="18"/>
  <c r="O46" i="18" s="1"/>
  <c r="O41" i="18" s="1"/>
  <c r="N56" i="18"/>
  <c r="N46" i="18" s="1"/>
  <c r="M56" i="18"/>
  <c r="M46" i="18" s="1"/>
  <c r="M41" i="18" s="1"/>
  <c r="L56" i="18"/>
  <c r="L46" i="18" s="1"/>
  <c r="L41" i="18" s="1"/>
  <c r="K56" i="18"/>
  <c r="K46" i="18" s="1"/>
  <c r="K41" i="18" s="1"/>
  <c r="J56" i="18"/>
  <c r="J46" i="18" s="1"/>
  <c r="I56" i="18"/>
  <c r="H56" i="18"/>
  <c r="AE55" i="18"/>
  <c r="AE54" i="18" s="1"/>
  <c r="AD55" i="18"/>
  <c r="AD45" i="18" s="1"/>
  <c r="AD40" i="18" s="1"/>
  <c r="AC55" i="18"/>
  <c r="AC54" i="18" s="1"/>
  <c r="AB55" i="18"/>
  <c r="AB45" i="18" s="1"/>
  <c r="AB40" i="18" s="1"/>
  <c r="AA55" i="18"/>
  <c r="AA45" i="18" s="1"/>
  <c r="Z55" i="18"/>
  <c r="Z45" i="18" s="1"/>
  <c r="Z40" i="18" s="1"/>
  <c r="Y55" i="18"/>
  <c r="Y54" i="18" s="1"/>
  <c r="X55" i="18"/>
  <c r="X45" i="18" s="1"/>
  <c r="X40" i="18" s="1"/>
  <c r="W55" i="18"/>
  <c r="W54" i="18" s="1"/>
  <c r="V55" i="18"/>
  <c r="V45" i="18" s="1"/>
  <c r="V40" i="18" s="1"/>
  <c r="U55" i="18"/>
  <c r="U54" i="18" s="1"/>
  <c r="T55" i="18"/>
  <c r="T45" i="18" s="1"/>
  <c r="T44" i="18" s="1"/>
  <c r="S55" i="18"/>
  <c r="S54" i="18" s="1"/>
  <c r="R55" i="18"/>
  <c r="R45" i="18" s="1"/>
  <c r="Q55" i="18"/>
  <c r="Q54" i="18" s="1"/>
  <c r="P55" i="18"/>
  <c r="P45" i="18" s="1"/>
  <c r="P40" i="18" s="1"/>
  <c r="O55" i="18"/>
  <c r="O54" i="18" s="1"/>
  <c r="N55" i="18"/>
  <c r="N45" i="18" s="1"/>
  <c r="N40" i="18" s="1"/>
  <c r="M55" i="18"/>
  <c r="M54" i="18" s="1"/>
  <c r="L55" i="18"/>
  <c r="L45" i="18" s="1"/>
  <c r="L40" i="18" s="1"/>
  <c r="K55" i="18"/>
  <c r="K45" i="18" s="1"/>
  <c r="J55" i="18"/>
  <c r="I55" i="18"/>
  <c r="I45" i="18" s="1"/>
  <c r="I40" i="18" s="1"/>
  <c r="H55" i="18"/>
  <c r="E52" i="18"/>
  <c r="D52" i="18" s="1"/>
  <c r="B52" i="18"/>
  <c r="E51" i="18"/>
  <c r="D51" i="18" s="1"/>
  <c r="B51" i="18"/>
  <c r="E50" i="18"/>
  <c r="D50" i="18" s="1"/>
  <c r="B50" i="18"/>
  <c r="AE49" i="18"/>
  <c r="AD49" i="18"/>
  <c r="AC49" i="18"/>
  <c r="AB49" i="18"/>
  <c r="AA49" i="18"/>
  <c r="Z49" i="18"/>
  <c r="Y49" i="18"/>
  <c r="X49" i="18"/>
  <c r="W49" i="18"/>
  <c r="V49" i="18"/>
  <c r="U49" i="18"/>
  <c r="T49" i="18"/>
  <c r="S49" i="18"/>
  <c r="R49" i="18"/>
  <c r="Q49" i="18"/>
  <c r="P49" i="18"/>
  <c r="O49" i="18"/>
  <c r="N49" i="18"/>
  <c r="M49" i="18"/>
  <c r="L49" i="18"/>
  <c r="K49" i="18"/>
  <c r="J49" i="18"/>
  <c r="I49" i="18"/>
  <c r="H49" i="18"/>
  <c r="AE35" i="18"/>
  <c r="AE33" i="18" s="1"/>
  <c r="AD35" i="18"/>
  <c r="AC35" i="18"/>
  <c r="AC33" i="18" s="1"/>
  <c r="AB35" i="18"/>
  <c r="AB33" i="18" s="1"/>
  <c r="AA35" i="18"/>
  <c r="AA33" i="18" s="1"/>
  <c r="Z35" i="18"/>
  <c r="Y35" i="18"/>
  <c r="Y33" i="18" s="1"/>
  <c r="X35" i="18"/>
  <c r="W35" i="18"/>
  <c r="W33" i="18" s="1"/>
  <c r="V35" i="18"/>
  <c r="U35" i="18"/>
  <c r="U33" i="18" s="1"/>
  <c r="T35" i="18"/>
  <c r="S35" i="18"/>
  <c r="S33" i="18" s="1"/>
  <c r="R35" i="18"/>
  <c r="R33" i="18" s="1"/>
  <c r="Q35" i="18"/>
  <c r="Q33" i="18" s="1"/>
  <c r="P35" i="18"/>
  <c r="P33" i="18" s="1"/>
  <c r="O35" i="18"/>
  <c r="O33" i="18" s="1"/>
  <c r="N35" i="18"/>
  <c r="N33" i="18" s="1"/>
  <c r="M35" i="18"/>
  <c r="M33" i="18" s="1"/>
  <c r="L35" i="18"/>
  <c r="L33" i="18" s="1"/>
  <c r="K35" i="18"/>
  <c r="K33" i="18" s="1"/>
  <c r="J35" i="18"/>
  <c r="J33" i="18" s="1"/>
  <c r="I35" i="18"/>
  <c r="I33" i="18" s="1"/>
  <c r="H35" i="18"/>
  <c r="E31" i="18"/>
  <c r="B31" i="18"/>
  <c r="B29" i="18" s="1"/>
  <c r="E27" i="18"/>
  <c r="B27" i="18"/>
  <c r="B25" i="18" s="1"/>
  <c r="E23" i="18"/>
  <c r="B23" i="18"/>
  <c r="B21" i="18" s="1"/>
  <c r="E19" i="18"/>
  <c r="D19" i="18" s="1"/>
  <c r="D18" i="18" s="1"/>
  <c r="B19" i="18"/>
  <c r="B18" i="18" s="1"/>
  <c r="AE18" i="18"/>
  <c r="AD18" i="18"/>
  <c r="AC18" i="18"/>
  <c r="AB18" i="18"/>
  <c r="AA18" i="18"/>
  <c r="Z18" i="18"/>
  <c r="Y18" i="18"/>
  <c r="X18" i="18"/>
  <c r="W18" i="18"/>
  <c r="V18" i="18"/>
  <c r="U18" i="18"/>
  <c r="T18" i="18"/>
  <c r="S18" i="18"/>
  <c r="R18" i="18"/>
  <c r="Q18" i="18"/>
  <c r="P18" i="18"/>
  <c r="O18" i="18"/>
  <c r="N18" i="18"/>
  <c r="M18" i="18"/>
  <c r="L18" i="18"/>
  <c r="K18" i="18"/>
  <c r="J18" i="18"/>
  <c r="I18" i="18"/>
  <c r="H18" i="18"/>
  <c r="E16" i="18"/>
  <c r="E15" i="18" s="1"/>
  <c r="C15" i="18"/>
  <c r="B16" i="18"/>
  <c r="AE15" i="18"/>
  <c r="AD15" i="18"/>
  <c r="AC15" i="18"/>
  <c r="AB15" i="18"/>
  <c r="AA15" i="18"/>
  <c r="Z15" i="18"/>
  <c r="Y15" i="18"/>
  <c r="X15" i="18"/>
  <c r="W15" i="18"/>
  <c r="V15" i="18"/>
  <c r="U15" i="18"/>
  <c r="T15" i="18"/>
  <c r="S15" i="18"/>
  <c r="R15" i="18"/>
  <c r="Q15" i="18"/>
  <c r="P15" i="18"/>
  <c r="O15" i="18"/>
  <c r="N15" i="18"/>
  <c r="M15" i="18"/>
  <c r="L15" i="18"/>
  <c r="K15" i="18"/>
  <c r="J15" i="18"/>
  <c r="I15" i="18"/>
  <c r="H15" i="18"/>
  <c r="AE13" i="18"/>
  <c r="AD13" i="18"/>
  <c r="AC13" i="18"/>
  <c r="AB13" i="18"/>
  <c r="AA13" i="18"/>
  <c r="Z13" i="18"/>
  <c r="Y13" i="18"/>
  <c r="X13" i="18"/>
  <c r="W13" i="18"/>
  <c r="V13" i="18"/>
  <c r="U13" i="18"/>
  <c r="T13" i="18"/>
  <c r="S13" i="18"/>
  <c r="R13" i="18"/>
  <c r="Q13" i="18"/>
  <c r="P13" i="18"/>
  <c r="O13" i="18"/>
  <c r="N13" i="18"/>
  <c r="M13" i="18"/>
  <c r="L13" i="18"/>
  <c r="K13" i="18"/>
  <c r="J13" i="18"/>
  <c r="I13" i="18"/>
  <c r="H13" i="18"/>
  <c r="AD33" i="18" l="1"/>
  <c r="C35" i="18"/>
  <c r="C33" i="18" s="1"/>
  <c r="AD54" i="19"/>
  <c r="AD62" i="19"/>
  <c r="AE54" i="19"/>
  <c r="AE62" i="19"/>
  <c r="X54" i="19"/>
  <c r="X62" i="19"/>
  <c r="Y8" i="22"/>
  <c r="Y14" i="22"/>
  <c r="Z9" i="22"/>
  <c r="I14" i="22"/>
  <c r="M8" i="22"/>
  <c r="M14" i="22"/>
  <c r="AD8" i="22"/>
  <c r="AD7" i="22" s="1"/>
  <c r="AD14" i="22"/>
  <c r="S12" i="22"/>
  <c r="S14" i="22"/>
  <c r="W12" i="22"/>
  <c r="E12" i="22" s="1"/>
  <c r="W14" i="22"/>
  <c r="C21" i="22"/>
  <c r="U8" i="22"/>
  <c r="U7" i="22" s="1"/>
  <c r="U14" i="22"/>
  <c r="V12" i="22"/>
  <c r="V14" i="22"/>
  <c r="J8" i="22"/>
  <c r="J7" i="22" s="1"/>
  <c r="J14" i="22"/>
  <c r="N8" i="22"/>
  <c r="N14" i="22"/>
  <c r="AA8" i="22"/>
  <c r="AA7" i="22" s="1"/>
  <c r="AA14" i="22"/>
  <c r="AE8" i="22"/>
  <c r="P12" i="22"/>
  <c r="P14" i="22"/>
  <c r="AC8" i="22"/>
  <c r="AC14" i="22"/>
  <c r="R12" i="22"/>
  <c r="R7" i="22" s="1"/>
  <c r="R14" i="22"/>
  <c r="K8" i="22"/>
  <c r="K14" i="22"/>
  <c r="O8" i="22"/>
  <c r="O7" i="22" s="1"/>
  <c r="O14" i="22"/>
  <c r="Q12" i="22"/>
  <c r="Q14" i="22"/>
  <c r="Z33" i="18"/>
  <c r="X33" i="18"/>
  <c r="C55" i="18"/>
  <c r="C56" i="18"/>
  <c r="C57" i="18"/>
  <c r="C70" i="18"/>
  <c r="C69" i="18" s="1"/>
  <c r="C72" i="18"/>
  <c r="AD9" i="22"/>
  <c r="C71" i="18"/>
  <c r="B60" i="21"/>
  <c r="C108" i="21"/>
  <c r="V33" i="18"/>
  <c r="T33" i="18"/>
  <c r="E65" i="18"/>
  <c r="G65" i="18" s="1"/>
  <c r="D125" i="18"/>
  <c r="D127" i="18"/>
  <c r="D126" i="18"/>
  <c r="D77" i="18"/>
  <c r="E67" i="18"/>
  <c r="T64" i="18"/>
  <c r="X64" i="18"/>
  <c r="AB64" i="18"/>
  <c r="D76" i="18"/>
  <c r="E66" i="18"/>
  <c r="AB147" i="18"/>
  <c r="AB146" i="18" s="1"/>
  <c r="AB138" i="18"/>
  <c r="AB150" i="18" s="1"/>
  <c r="J45" i="18"/>
  <c r="J40" i="18" s="1"/>
  <c r="J142" i="18" s="1"/>
  <c r="J137" i="18" s="1"/>
  <c r="S69" i="18"/>
  <c r="R42" i="18"/>
  <c r="R144" i="18" s="1"/>
  <c r="R139" i="18" s="1"/>
  <c r="D31" i="18"/>
  <c r="D29" i="18" s="1"/>
  <c r="E29" i="18"/>
  <c r="F29" i="18" s="1"/>
  <c r="D23" i="18"/>
  <c r="D21" i="18" s="1"/>
  <c r="E21" i="18"/>
  <c r="G21" i="18" s="1"/>
  <c r="D27" i="18"/>
  <c r="D25" i="18" s="1"/>
  <c r="E25" i="18"/>
  <c r="G25" i="18" s="1"/>
  <c r="R40" i="18"/>
  <c r="R142" i="18" s="1"/>
  <c r="R153" i="18" s="1"/>
  <c r="R149" i="18" s="1"/>
  <c r="O118" i="21"/>
  <c r="W118" i="21"/>
  <c r="H33" i="18"/>
  <c r="E57" i="18"/>
  <c r="D57" i="18" s="1"/>
  <c r="D109" i="18"/>
  <c r="B119" i="18"/>
  <c r="I158" i="18"/>
  <c r="I156" i="18" s="1"/>
  <c r="K158" i="18"/>
  <c r="K156" i="18" s="1"/>
  <c r="M158" i="18"/>
  <c r="M156" i="18" s="1"/>
  <c r="O158" i="18"/>
  <c r="O156" i="18" s="1"/>
  <c r="Q158" i="18"/>
  <c r="Q156" i="18" s="1"/>
  <c r="S158" i="18"/>
  <c r="S156" i="18" s="1"/>
  <c r="U158" i="18"/>
  <c r="U156" i="18" s="1"/>
  <c r="W158" i="18"/>
  <c r="W156" i="18" s="1"/>
  <c r="Y158" i="18"/>
  <c r="Y156" i="18" s="1"/>
  <c r="AA158" i="18"/>
  <c r="AA156" i="18" s="1"/>
  <c r="AC158" i="18"/>
  <c r="AC156" i="18" s="1"/>
  <c r="AE158" i="18"/>
  <c r="AE156" i="18" s="1"/>
  <c r="Y45" i="18"/>
  <c r="Y40" i="18" s="1"/>
  <c r="Y142" i="18" s="1"/>
  <c r="Y153" i="18" s="1"/>
  <c r="Y149" i="18" s="1"/>
  <c r="U125" i="21"/>
  <c r="I47" i="18"/>
  <c r="I42" i="18" s="1"/>
  <c r="I144" i="18" s="1"/>
  <c r="R130" i="18"/>
  <c r="T130" i="18"/>
  <c r="X44" i="18"/>
  <c r="S130" i="18"/>
  <c r="J120" i="21"/>
  <c r="N120" i="21"/>
  <c r="R120" i="21"/>
  <c r="V120" i="21"/>
  <c r="Z120" i="21"/>
  <c r="AD120" i="21"/>
  <c r="R121" i="21"/>
  <c r="V121" i="21"/>
  <c r="Z121" i="21"/>
  <c r="W45" i="18"/>
  <c r="W40" i="18" s="1"/>
  <c r="W142" i="18" s="1"/>
  <c r="W153" i="18" s="1"/>
  <c r="W149" i="18" s="1"/>
  <c r="N142" i="18"/>
  <c r="N137" i="18" s="1"/>
  <c r="V142" i="18"/>
  <c r="V153" i="18" s="1"/>
  <c r="V149" i="18" s="1"/>
  <c r="Z142" i="18"/>
  <c r="Z153" i="18" s="1"/>
  <c r="Z149" i="18" s="1"/>
  <c r="AD142" i="18"/>
  <c r="AD153" i="18" s="1"/>
  <c r="AD149" i="18" s="1"/>
  <c r="L143" i="18"/>
  <c r="L154" i="18" s="1"/>
  <c r="P143" i="18"/>
  <c r="P154" i="18" s="1"/>
  <c r="T143" i="18"/>
  <c r="T154" i="18" s="1"/>
  <c r="X143" i="18"/>
  <c r="X154" i="18" s="1"/>
  <c r="AB143" i="18"/>
  <c r="AB154" i="18" s="1"/>
  <c r="L144" i="18"/>
  <c r="L155" i="18" s="1"/>
  <c r="L151" i="18" s="1"/>
  <c r="P144" i="18"/>
  <c r="P155" i="18" s="1"/>
  <c r="P151" i="18" s="1"/>
  <c r="V144" i="18"/>
  <c r="V155" i="18" s="1"/>
  <c r="V151" i="18" s="1"/>
  <c r="X144" i="18"/>
  <c r="X139" i="18" s="1"/>
  <c r="AB144" i="18"/>
  <c r="AB155" i="18" s="1"/>
  <c r="AB151" i="18" s="1"/>
  <c r="F91" i="18"/>
  <c r="F92" i="18"/>
  <c r="F101" i="18"/>
  <c r="F102" i="18"/>
  <c r="F112" i="18"/>
  <c r="Z130" i="18"/>
  <c r="L130" i="18"/>
  <c r="J158" i="18"/>
  <c r="J156" i="18" s="1"/>
  <c r="N158" i="18"/>
  <c r="N156" i="18" s="1"/>
  <c r="R158" i="18"/>
  <c r="R156" i="18" s="1"/>
  <c r="V158" i="18"/>
  <c r="V156" i="18" s="1"/>
  <c r="Z158" i="18"/>
  <c r="Z156" i="18" s="1"/>
  <c r="AD158" i="18"/>
  <c r="AD156" i="18" s="1"/>
  <c r="K144" i="18"/>
  <c r="K139" i="18" s="1"/>
  <c r="O144" i="18"/>
  <c r="O155" i="18" s="1"/>
  <c r="O151" i="18" s="1"/>
  <c r="W144" i="18"/>
  <c r="W139" i="18" s="1"/>
  <c r="AA144" i="18"/>
  <c r="AA139" i="18" s="1"/>
  <c r="AE144" i="18"/>
  <c r="AE155" i="18" s="1"/>
  <c r="AE151" i="18" s="1"/>
  <c r="H130" i="18"/>
  <c r="AD130" i="18"/>
  <c r="Q119" i="21"/>
  <c r="U119" i="21"/>
  <c r="Y119" i="21"/>
  <c r="AC119" i="21"/>
  <c r="I120" i="21"/>
  <c r="M120" i="21"/>
  <c r="Q120" i="21"/>
  <c r="U120" i="21"/>
  <c r="Y120" i="21"/>
  <c r="AC120" i="21"/>
  <c r="I121" i="21"/>
  <c r="M121" i="21"/>
  <c r="Q121" i="21"/>
  <c r="U121" i="21"/>
  <c r="Y121" i="21"/>
  <c r="AC121" i="21"/>
  <c r="D94" i="18"/>
  <c r="J118" i="21"/>
  <c r="N118" i="21"/>
  <c r="V118" i="21"/>
  <c r="Z118" i="21"/>
  <c r="AD118" i="21"/>
  <c r="N119" i="21"/>
  <c r="R119" i="21"/>
  <c r="V119" i="21"/>
  <c r="Z119" i="21"/>
  <c r="AD119" i="21"/>
  <c r="AE143" i="18"/>
  <c r="AE154" i="18" s="1"/>
  <c r="O143" i="18"/>
  <c r="O154" i="18" s="1"/>
  <c r="H47" i="18"/>
  <c r="AC144" i="18"/>
  <c r="AC155" i="18" s="1"/>
  <c r="AC151" i="18" s="1"/>
  <c r="I142" i="18"/>
  <c r="I137" i="18" s="1"/>
  <c r="M143" i="18"/>
  <c r="M154" i="18" s="1"/>
  <c r="Q143" i="18"/>
  <c r="Q154" i="18" s="1"/>
  <c r="U143" i="18"/>
  <c r="U154" i="18" s="1"/>
  <c r="Y143" i="18"/>
  <c r="Y154" i="18" s="1"/>
  <c r="AC143" i="18"/>
  <c r="AC154" i="18" s="1"/>
  <c r="M144" i="18"/>
  <c r="M139" i="18" s="1"/>
  <c r="P69" i="18"/>
  <c r="F96" i="18"/>
  <c r="F107" i="18"/>
  <c r="B114" i="18"/>
  <c r="N130" i="18"/>
  <c r="X130" i="18"/>
  <c r="B16" i="19"/>
  <c r="I119" i="21"/>
  <c r="M119" i="21"/>
  <c r="D49" i="18"/>
  <c r="D104" i="18"/>
  <c r="F111" i="18"/>
  <c r="J130" i="18"/>
  <c r="P130" i="18"/>
  <c r="V130" i="18"/>
  <c r="AA130" i="18"/>
  <c r="J121" i="21"/>
  <c r="B49" i="18"/>
  <c r="B55" i="18"/>
  <c r="H69" i="18"/>
  <c r="B70" i="18"/>
  <c r="F97" i="18"/>
  <c r="D99" i="18"/>
  <c r="F106" i="18"/>
  <c r="E119" i="18"/>
  <c r="G119" i="18" s="1"/>
  <c r="K130" i="18"/>
  <c r="W130" i="18"/>
  <c r="AB130" i="18"/>
  <c r="B24" i="19"/>
  <c r="E31" i="19"/>
  <c r="C47" i="19"/>
  <c r="K119" i="21"/>
  <c r="O119" i="21"/>
  <c r="S119" i="21"/>
  <c r="W119" i="21"/>
  <c r="AA119" i="21"/>
  <c r="AE119" i="21"/>
  <c r="K120" i="21"/>
  <c r="O120" i="21"/>
  <c r="S120" i="21"/>
  <c r="W120" i="21"/>
  <c r="AA120" i="21"/>
  <c r="AE120" i="21"/>
  <c r="K121" i="21"/>
  <c r="O121" i="21"/>
  <c r="S121" i="21"/>
  <c r="W121" i="21"/>
  <c r="AA121" i="21"/>
  <c r="AE121" i="21"/>
  <c r="R58" i="21"/>
  <c r="H118" i="21"/>
  <c r="L118" i="21"/>
  <c r="P118" i="21"/>
  <c r="T118" i="21"/>
  <c r="X118" i="21"/>
  <c r="H119" i="21"/>
  <c r="L119" i="21"/>
  <c r="P119" i="21"/>
  <c r="T119" i="21"/>
  <c r="X119" i="21"/>
  <c r="AB119" i="21"/>
  <c r="H120" i="21"/>
  <c r="L120" i="21"/>
  <c r="P120" i="21"/>
  <c r="T120" i="21"/>
  <c r="X120" i="21"/>
  <c r="AB120" i="21"/>
  <c r="H121" i="21"/>
  <c r="L121" i="21"/>
  <c r="P121" i="21"/>
  <c r="T121" i="21"/>
  <c r="X121" i="21"/>
  <c r="AB121" i="21"/>
  <c r="D119" i="18"/>
  <c r="D80" i="18"/>
  <c r="D79" i="18" s="1"/>
  <c r="E79" i="18"/>
  <c r="G79" i="18" s="1"/>
  <c r="E89" i="18"/>
  <c r="E109" i="18"/>
  <c r="G109" i="18" s="1"/>
  <c r="M147" i="18"/>
  <c r="M146" i="18" s="1"/>
  <c r="M130" i="18"/>
  <c r="AC147" i="18"/>
  <c r="AC146" i="18" s="1"/>
  <c r="AC130" i="18"/>
  <c r="B31" i="19"/>
  <c r="D114" i="18"/>
  <c r="E94" i="18"/>
  <c r="G94" i="18" s="1"/>
  <c r="E104" i="18"/>
  <c r="G104" i="18" s="1"/>
  <c r="I147" i="18"/>
  <c r="I146" i="18" s="1"/>
  <c r="I130" i="18"/>
  <c r="U147" i="18"/>
  <c r="U146" i="18" s="1"/>
  <c r="U130" i="18"/>
  <c r="U45" i="18"/>
  <c r="U40" i="18" s="1"/>
  <c r="U142" i="18" s="1"/>
  <c r="U153" i="18" s="1"/>
  <c r="U149" i="18" s="1"/>
  <c r="C49" i="18"/>
  <c r="K54" i="18"/>
  <c r="I64" i="18"/>
  <c r="M64" i="18"/>
  <c r="Q64" i="18"/>
  <c r="U64" i="18"/>
  <c r="Y64" i="18"/>
  <c r="AC64" i="18"/>
  <c r="E124" i="18"/>
  <c r="G124" i="18" s="1"/>
  <c r="O130" i="18"/>
  <c r="AE130" i="18"/>
  <c r="N7" i="22"/>
  <c r="E99" i="18"/>
  <c r="G99" i="18" s="1"/>
  <c r="E114" i="18"/>
  <c r="Q147" i="18"/>
  <c r="Q146" i="18" s="1"/>
  <c r="Q130" i="18"/>
  <c r="Y147" i="18"/>
  <c r="Y146" i="18" s="1"/>
  <c r="Y130" i="18"/>
  <c r="C24" i="19"/>
  <c r="M45" i="18"/>
  <c r="M44" i="18" s="1"/>
  <c r="AC45" i="18"/>
  <c r="U144" i="18"/>
  <c r="U139" i="18" s="1"/>
  <c r="L54" i="18"/>
  <c r="B57" i="18"/>
  <c r="B94" i="18"/>
  <c r="B99" i="18"/>
  <c r="B104" i="18"/>
  <c r="B109" i="18"/>
  <c r="C131" i="18"/>
  <c r="E16" i="19"/>
  <c r="E24" i="19"/>
  <c r="E70" i="18"/>
  <c r="E71" i="18"/>
  <c r="D71" i="18" s="1"/>
  <c r="E72" i="18"/>
  <c r="D72" i="18" s="1"/>
  <c r="C74" i="18"/>
  <c r="F81" i="18"/>
  <c r="D84" i="18"/>
  <c r="F90" i="18"/>
  <c r="F95" i="18"/>
  <c r="F100" i="18"/>
  <c r="F105" i="18"/>
  <c r="F110" i="18"/>
  <c r="C31" i="19"/>
  <c r="R160" i="21"/>
  <c r="R155" i="21" s="1"/>
  <c r="D31" i="19"/>
  <c r="D133" i="18"/>
  <c r="D131" i="18"/>
  <c r="Q144" i="18"/>
  <c r="Q139" i="18" s="1"/>
  <c r="T54" i="18"/>
  <c r="B59" i="18"/>
  <c r="J64" i="18"/>
  <c r="N64" i="18"/>
  <c r="R64" i="18"/>
  <c r="V64" i="18"/>
  <c r="Z64" i="18"/>
  <c r="AD64" i="18"/>
  <c r="B67" i="18"/>
  <c r="F86" i="18"/>
  <c r="E131" i="18"/>
  <c r="F134" i="18"/>
  <c r="E133" i="18"/>
  <c r="G133" i="18" s="1"/>
  <c r="Y144" i="18"/>
  <c r="Y139" i="18" s="1"/>
  <c r="X54" i="18"/>
  <c r="B65" i="18"/>
  <c r="K64" i="18"/>
  <c r="O64" i="18"/>
  <c r="S64" i="18"/>
  <c r="W64" i="18"/>
  <c r="AA64" i="18"/>
  <c r="AE64" i="18"/>
  <c r="F85" i="18"/>
  <c r="C84" i="18"/>
  <c r="F125" i="18"/>
  <c r="F126" i="18"/>
  <c r="F127" i="18"/>
  <c r="B131" i="18"/>
  <c r="N16" i="21"/>
  <c r="R16" i="21"/>
  <c r="V16" i="21"/>
  <c r="AD16" i="21"/>
  <c r="C82" i="21"/>
  <c r="C13" i="18"/>
  <c r="C11" i="18" s="1"/>
  <c r="L44" i="18"/>
  <c r="K143" i="18"/>
  <c r="K154" i="18" s="1"/>
  <c r="S143" i="18"/>
  <c r="S154" i="18" s="1"/>
  <c r="AA143" i="18"/>
  <c r="AA154" i="18" s="1"/>
  <c r="N144" i="18"/>
  <c r="N155" i="18" s="1"/>
  <c r="N151" i="18" s="1"/>
  <c r="Z144" i="18"/>
  <c r="Z155" i="18" s="1"/>
  <c r="Z151" i="18" s="1"/>
  <c r="AD144" i="18"/>
  <c r="AD155" i="18" s="1"/>
  <c r="AD151" i="18" s="1"/>
  <c r="F115" i="18"/>
  <c r="F116" i="18"/>
  <c r="F117" i="18"/>
  <c r="F120" i="18"/>
  <c r="F121" i="18"/>
  <c r="F122" i="18"/>
  <c r="E127" i="21"/>
  <c r="G127" i="21" s="1"/>
  <c r="P16" i="21"/>
  <c r="X16" i="21"/>
  <c r="B19" i="21"/>
  <c r="B20" i="21"/>
  <c r="G53" i="22"/>
  <c r="E46" i="21"/>
  <c r="R52" i="21"/>
  <c r="C70" i="21"/>
  <c r="C137" i="21"/>
  <c r="L52" i="21"/>
  <c r="P52" i="21"/>
  <c r="T52" i="21"/>
  <c r="X52" i="21"/>
  <c r="L58" i="21"/>
  <c r="Z58" i="21"/>
  <c r="C56" i="21"/>
  <c r="AC125" i="21"/>
  <c r="B10" i="21"/>
  <c r="B9" i="21" s="1"/>
  <c r="F9" i="21" s="1"/>
  <c r="B137" i="21"/>
  <c r="B131" i="21"/>
  <c r="E112" i="21"/>
  <c r="B112" i="21"/>
  <c r="E94" i="21"/>
  <c r="AD160" i="21"/>
  <c r="AD155" i="21" s="1"/>
  <c r="B88" i="21"/>
  <c r="G84" i="21"/>
  <c r="G82" i="21" s="1"/>
  <c r="AC58" i="21"/>
  <c r="I58" i="21"/>
  <c r="V58" i="21"/>
  <c r="B70" i="21"/>
  <c r="Y58" i="21"/>
  <c r="AB58" i="21"/>
  <c r="AB52" i="21"/>
  <c r="M58" i="21"/>
  <c r="Q58" i="21"/>
  <c r="U58" i="21"/>
  <c r="O58" i="21"/>
  <c r="G66" i="21"/>
  <c r="C55" i="21"/>
  <c r="B46" i="21"/>
  <c r="G49" i="21"/>
  <c r="B34" i="21"/>
  <c r="B22" i="21"/>
  <c r="B17" i="21"/>
  <c r="G42" i="21"/>
  <c r="G35" i="21"/>
  <c r="E34" i="21"/>
  <c r="G30" i="21"/>
  <c r="E22" i="21"/>
  <c r="G24" i="21"/>
  <c r="G12" i="21"/>
  <c r="L142" i="18"/>
  <c r="L137" i="18" s="1"/>
  <c r="L39" i="18"/>
  <c r="P142" i="18"/>
  <c r="P153" i="18" s="1"/>
  <c r="P149" i="18" s="1"/>
  <c r="P39" i="18"/>
  <c r="X142" i="18"/>
  <c r="X153" i="18" s="1"/>
  <c r="X149" i="18" s="1"/>
  <c r="X39" i="18"/>
  <c r="AB142" i="18"/>
  <c r="AB39" i="18"/>
  <c r="K44" i="18"/>
  <c r="K40" i="18"/>
  <c r="AA44" i="18"/>
  <c r="AA40" i="18"/>
  <c r="W41" i="18"/>
  <c r="W143" i="18" s="1"/>
  <c r="W154" i="18" s="1"/>
  <c r="S45" i="18"/>
  <c r="J69" i="18"/>
  <c r="V69" i="18"/>
  <c r="B133" i="18"/>
  <c r="E128" i="21"/>
  <c r="D128" i="21" s="1"/>
  <c r="C131" i="21"/>
  <c r="C148" i="21"/>
  <c r="E55" i="19"/>
  <c r="G55" i="19" s="1"/>
  <c r="D55" i="19"/>
  <c r="S144" i="18"/>
  <c r="S155" i="18" s="1"/>
  <c r="S151" i="18" s="1"/>
  <c r="E49" i="18"/>
  <c r="H45" i="18"/>
  <c r="C45" i="18" s="1"/>
  <c r="C59" i="18"/>
  <c r="N69" i="18"/>
  <c r="Z69" i="18"/>
  <c r="N160" i="21"/>
  <c r="N155" i="21" s="1"/>
  <c r="V160" i="21"/>
  <c r="V155" i="21" s="1"/>
  <c r="C18" i="18"/>
  <c r="T144" i="18"/>
  <c r="T155" i="18" s="1"/>
  <c r="T151" i="18" s="1"/>
  <c r="P44" i="18"/>
  <c r="O45" i="18"/>
  <c r="AE45" i="18"/>
  <c r="R44" i="18"/>
  <c r="R41" i="18"/>
  <c r="R143" i="18" s="1"/>
  <c r="R154" i="18" s="1"/>
  <c r="P54" i="18"/>
  <c r="AA54" i="18"/>
  <c r="E56" i="18"/>
  <c r="D56" i="18" s="1"/>
  <c r="F75" i="18"/>
  <c r="F87" i="18"/>
  <c r="B47" i="19"/>
  <c r="C54" i="21"/>
  <c r="E64" i="21"/>
  <c r="E59" i="21"/>
  <c r="H8" i="22"/>
  <c r="L8" i="22"/>
  <c r="P8" i="22"/>
  <c r="T8" i="22"/>
  <c r="X8" i="22"/>
  <c r="AB8" i="22"/>
  <c r="V9" i="22"/>
  <c r="J44" i="18"/>
  <c r="J41" i="18"/>
  <c r="J143" i="18" s="1"/>
  <c r="J154" i="18" s="1"/>
  <c r="Z44" i="18"/>
  <c r="Z41" i="18"/>
  <c r="Z143" i="18" s="1"/>
  <c r="Z154" i="18" s="1"/>
  <c r="D75" i="18"/>
  <c r="D65" i="18" s="1"/>
  <c r="E74" i="18"/>
  <c r="B13" i="18"/>
  <c r="V44" i="18"/>
  <c r="V41" i="18"/>
  <c r="V143" i="18" s="1"/>
  <c r="V154" i="18" s="1"/>
  <c r="H46" i="18"/>
  <c r="C46" i="18" s="1"/>
  <c r="C41" i="18" s="1"/>
  <c r="R69" i="18"/>
  <c r="AD69" i="18"/>
  <c r="B124" i="18"/>
  <c r="B82" i="21"/>
  <c r="B35" i="18"/>
  <c r="B33" i="18" s="1"/>
  <c r="AB44" i="18"/>
  <c r="E55" i="18"/>
  <c r="H158" i="18"/>
  <c r="H156" i="18" s="1"/>
  <c r="L158" i="18"/>
  <c r="L156" i="18" s="1"/>
  <c r="P158" i="18"/>
  <c r="P156" i="18" s="1"/>
  <c r="T158" i="18"/>
  <c r="T156" i="18" s="1"/>
  <c r="X158" i="18"/>
  <c r="X156" i="18" s="1"/>
  <c r="AB158" i="18"/>
  <c r="AB156" i="18" s="1"/>
  <c r="B15" i="18"/>
  <c r="F15" i="18" s="1"/>
  <c r="E18" i="18"/>
  <c r="F18" i="18" s="1"/>
  <c r="T40" i="18"/>
  <c r="Q45" i="18"/>
  <c r="I46" i="18"/>
  <c r="I44" i="18" s="1"/>
  <c r="N44" i="18"/>
  <c r="N41" i="18"/>
  <c r="N143" i="18" s="1"/>
  <c r="N154" i="18" s="1"/>
  <c r="AD44" i="18"/>
  <c r="AD41" i="18"/>
  <c r="AD143" i="18" s="1"/>
  <c r="AD154" i="18" s="1"/>
  <c r="J47" i="18"/>
  <c r="H54" i="18"/>
  <c r="AB54" i="18"/>
  <c r="E59" i="18"/>
  <c r="B66" i="18"/>
  <c r="B74" i="18"/>
  <c r="E84" i="18"/>
  <c r="C89" i="18"/>
  <c r="C16" i="19"/>
  <c r="T16" i="21"/>
  <c r="E40" i="21"/>
  <c r="I125" i="21"/>
  <c r="E126" i="21"/>
  <c r="M125" i="21"/>
  <c r="Q125" i="21"/>
  <c r="Y148" i="21"/>
  <c r="Y125" i="21"/>
  <c r="H150" i="21"/>
  <c r="B150" i="21" s="1"/>
  <c r="B127" i="21"/>
  <c r="G15" i="22"/>
  <c r="I8" i="22"/>
  <c r="E8" i="22" s="1"/>
  <c r="D8" i="22" s="1"/>
  <c r="H160" i="21"/>
  <c r="H155" i="21" s="1"/>
  <c r="L160" i="21"/>
  <c r="L155" i="21" s="1"/>
  <c r="P160" i="21"/>
  <c r="P155" i="21" s="1"/>
  <c r="T160" i="21"/>
  <c r="T155" i="21" s="1"/>
  <c r="X160" i="21"/>
  <c r="X155" i="21" s="1"/>
  <c r="AB160" i="21"/>
  <c r="AB155" i="21" s="1"/>
  <c r="J16" i="21"/>
  <c r="Z16" i="21"/>
  <c r="B28" i="21"/>
  <c r="K58" i="21"/>
  <c r="O52" i="21"/>
  <c r="S58" i="21"/>
  <c r="W52" i="21"/>
  <c r="AA58" i="21"/>
  <c r="AE52" i="21"/>
  <c r="AE58" i="21"/>
  <c r="E70" i="21"/>
  <c r="B61" i="21"/>
  <c r="F61" i="21" s="1"/>
  <c r="E76" i="21"/>
  <c r="B94" i="21"/>
  <c r="J54" i="18"/>
  <c r="N54" i="18"/>
  <c r="R54" i="18"/>
  <c r="V54" i="18"/>
  <c r="Z54" i="18"/>
  <c r="AD54" i="18"/>
  <c r="D59" i="18"/>
  <c r="F76" i="18"/>
  <c r="F80" i="18"/>
  <c r="D89" i="18"/>
  <c r="B55" i="19"/>
  <c r="L54" i="19"/>
  <c r="P54" i="19"/>
  <c r="T54" i="19"/>
  <c r="AB54" i="19"/>
  <c r="I160" i="21"/>
  <c r="I155" i="21" s="1"/>
  <c r="Q160" i="21"/>
  <c r="Q155" i="21" s="1"/>
  <c r="Y160" i="21"/>
  <c r="Y155" i="21" s="1"/>
  <c r="E11" i="21"/>
  <c r="F11" i="21" s="1"/>
  <c r="C28" i="21"/>
  <c r="G43" i="21"/>
  <c r="W58" i="21"/>
  <c r="P58" i="21"/>
  <c r="T58" i="21"/>
  <c r="J119" i="21"/>
  <c r="J58" i="21"/>
  <c r="Z52" i="21"/>
  <c r="B64" i="21"/>
  <c r="B129" i="21"/>
  <c r="N58" i="21"/>
  <c r="AD58" i="21"/>
  <c r="G72" i="21"/>
  <c r="G70" i="21" s="1"/>
  <c r="B76" i="21"/>
  <c r="E82" i="21"/>
  <c r="E88" i="21"/>
  <c r="J106" i="21"/>
  <c r="N106" i="21"/>
  <c r="R106" i="21"/>
  <c r="V106" i="21"/>
  <c r="Z106" i="21"/>
  <c r="AD106" i="21"/>
  <c r="B108" i="21"/>
  <c r="E131" i="21"/>
  <c r="G51" i="22"/>
  <c r="E47" i="19"/>
  <c r="D49" i="19"/>
  <c r="D56" i="19" s="1"/>
  <c r="D62" i="19" s="1"/>
  <c r="E35" i="18"/>
  <c r="E33" i="18" s="1"/>
  <c r="E13" i="18"/>
  <c r="D16" i="18"/>
  <c r="B56" i="18"/>
  <c r="B71" i="18"/>
  <c r="V52" i="21"/>
  <c r="B72" i="18"/>
  <c r="F19" i="18"/>
  <c r="F23" i="18"/>
  <c r="F27" i="18"/>
  <c r="F31" i="18"/>
  <c r="F50" i="18"/>
  <c r="F51" i="18"/>
  <c r="F52" i="18"/>
  <c r="I54" i="18"/>
  <c r="F60" i="18"/>
  <c r="F61" i="18"/>
  <c r="F62" i="18"/>
  <c r="I69" i="18"/>
  <c r="B79" i="18"/>
  <c r="B84" i="18"/>
  <c r="B89" i="18"/>
  <c r="F77" i="18"/>
  <c r="F82" i="18"/>
  <c r="N9" i="21"/>
  <c r="R9" i="21"/>
  <c r="V9" i="21"/>
  <c r="AD9" i="21"/>
  <c r="K160" i="21"/>
  <c r="K155" i="21" s="1"/>
  <c r="O160" i="21"/>
  <c r="O155" i="21" s="1"/>
  <c r="S160" i="21"/>
  <c r="S155" i="21" s="1"/>
  <c r="W160" i="21"/>
  <c r="W155" i="21" s="1"/>
  <c r="AA160" i="21"/>
  <c r="AA155" i="21" s="1"/>
  <c r="AE160" i="21"/>
  <c r="AE155" i="21" s="1"/>
  <c r="W16" i="21"/>
  <c r="AB16" i="21"/>
  <c r="B18" i="21"/>
  <c r="G23" i="21"/>
  <c r="C22" i="21"/>
  <c r="C40" i="21"/>
  <c r="G44" i="21"/>
  <c r="G48" i="21"/>
  <c r="K52" i="21"/>
  <c r="S52" i="21"/>
  <c r="AA52" i="21"/>
  <c r="B59" i="21"/>
  <c r="C64" i="21"/>
  <c r="E60" i="21"/>
  <c r="F60" i="21" s="1"/>
  <c r="B62" i="21"/>
  <c r="F62" i="21" s="1"/>
  <c r="I16" i="21"/>
  <c r="M16" i="21"/>
  <c r="Q16" i="21"/>
  <c r="U16" i="21"/>
  <c r="Y16" i="21"/>
  <c r="AC16" i="21"/>
  <c r="G47" i="21"/>
  <c r="C46" i="21"/>
  <c r="H52" i="21"/>
  <c r="G61" i="21"/>
  <c r="C67" i="19"/>
  <c r="H9" i="21"/>
  <c r="L9" i="21"/>
  <c r="P9" i="21"/>
  <c r="T9" i="21"/>
  <c r="X9" i="21"/>
  <c r="AB9" i="21"/>
  <c r="M160" i="21"/>
  <c r="M155" i="21" s="1"/>
  <c r="U160" i="21"/>
  <c r="U155" i="21" s="1"/>
  <c r="AC160" i="21"/>
  <c r="AC155" i="21" s="1"/>
  <c r="C11" i="21"/>
  <c r="O16" i="21"/>
  <c r="AE16" i="21"/>
  <c r="C34" i="21"/>
  <c r="G38" i="21"/>
  <c r="B40" i="21"/>
  <c r="I118" i="21"/>
  <c r="M52" i="21"/>
  <c r="Q52" i="21"/>
  <c r="U52" i="21"/>
  <c r="Y52" i="21"/>
  <c r="AC52" i="21"/>
  <c r="B55" i="21"/>
  <c r="E56" i="21"/>
  <c r="D56" i="21" s="1"/>
  <c r="N52" i="21"/>
  <c r="AD52" i="21"/>
  <c r="H58" i="21"/>
  <c r="X58" i="21"/>
  <c r="C76" i="21"/>
  <c r="C9" i="19"/>
  <c r="C10" i="21"/>
  <c r="G10" i="21" s="1"/>
  <c r="Z160" i="21"/>
  <c r="Z155" i="21" s="1"/>
  <c r="K16" i="21"/>
  <c r="AA16" i="21"/>
  <c r="E28" i="21"/>
  <c r="E54" i="21"/>
  <c r="E55" i="21"/>
  <c r="D55" i="21" s="1"/>
  <c r="G62" i="21"/>
  <c r="G96" i="21"/>
  <c r="G94" i="21" s="1"/>
  <c r="C94" i="21"/>
  <c r="H106" i="21"/>
  <c r="C88" i="21"/>
  <c r="O159" i="21"/>
  <c r="O154" i="21" s="1"/>
  <c r="W159" i="21"/>
  <c r="W154" i="21" s="1"/>
  <c r="E18" i="21"/>
  <c r="K161" i="21"/>
  <c r="O161" i="21"/>
  <c r="S161" i="21"/>
  <c r="W161" i="21"/>
  <c r="AA161" i="21"/>
  <c r="AE161" i="21"/>
  <c r="I162" i="21"/>
  <c r="I157" i="21" s="1"/>
  <c r="M162" i="21"/>
  <c r="M157" i="21" s="1"/>
  <c r="Q162" i="21"/>
  <c r="Q157" i="21" s="1"/>
  <c r="U162" i="21"/>
  <c r="U157" i="21" s="1"/>
  <c r="Y162" i="21"/>
  <c r="Y157" i="21" s="1"/>
  <c r="AC162" i="21"/>
  <c r="AC157" i="21" s="1"/>
  <c r="G36" i="21"/>
  <c r="G41" i="21"/>
  <c r="G50" i="21"/>
  <c r="G78" i="21"/>
  <c r="G76" i="21" s="1"/>
  <c r="G90" i="21"/>
  <c r="G88" i="21" s="1"/>
  <c r="G114" i="21"/>
  <c r="G112" i="21" s="1"/>
  <c r="J125" i="21"/>
  <c r="N125" i="21"/>
  <c r="R125" i="21"/>
  <c r="V125" i="21"/>
  <c r="Z125" i="21"/>
  <c r="AD125" i="21"/>
  <c r="O148" i="21"/>
  <c r="S148" i="21"/>
  <c r="W148" i="21"/>
  <c r="AA148" i="21"/>
  <c r="AE148" i="21"/>
  <c r="B128" i="21"/>
  <c r="B11" i="22"/>
  <c r="G16" i="22"/>
  <c r="G54" i="22"/>
  <c r="K125" i="21"/>
  <c r="O125" i="21"/>
  <c r="S125" i="21"/>
  <c r="W125" i="21"/>
  <c r="AA125" i="21"/>
  <c r="AE125" i="21"/>
  <c r="E129" i="21"/>
  <c r="D129" i="21" s="1"/>
  <c r="Z7" i="22"/>
  <c r="G17" i="22"/>
  <c r="K106" i="21"/>
  <c r="O106" i="21"/>
  <c r="S106" i="21"/>
  <c r="W106" i="21"/>
  <c r="AA106" i="21"/>
  <c r="AE106" i="21"/>
  <c r="E108" i="21"/>
  <c r="C112" i="21"/>
  <c r="H125" i="21"/>
  <c r="L125" i="21"/>
  <c r="P125" i="21"/>
  <c r="T125" i="21"/>
  <c r="X125" i="21"/>
  <c r="AB125" i="21"/>
  <c r="B126" i="21"/>
  <c r="M148" i="21"/>
  <c r="U148" i="21"/>
  <c r="AC148" i="21"/>
  <c r="B12" i="22"/>
  <c r="G52" i="22"/>
  <c r="G15" i="18"/>
  <c r="G19" i="18"/>
  <c r="G23" i="18"/>
  <c r="G27" i="18"/>
  <c r="G31" i="18"/>
  <c r="G50" i="18"/>
  <c r="G51" i="18"/>
  <c r="G52" i="18"/>
  <c r="G60" i="18"/>
  <c r="G61" i="18"/>
  <c r="G62" i="18"/>
  <c r="G75" i="18"/>
  <c r="G76" i="18"/>
  <c r="G77" i="18"/>
  <c r="G80" i="18"/>
  <c r="G81" i="18"/>
  <c r="G82" i="18"/>
  <c r="G85" i="18"/>
  <c r="G86" i="18"/>
  <c r="G87" i="18"/>
  <c r="G90" i="18"/>
  <c r="G91" i="18"/>
  <c r="G92" i="18"/>
  <c r="G95" i="18"/>
  <c r="G96" i="18"/>
  <c r="G97" i="18"/>
  <c r="G100" i="18"/>
  <c r="G101" i="18"/>
  <c r="G102" i="18"/>
  <c r="G105" i="18"/>
  <c r="G106" i="18"/>
  <c r="G107" i="18"/>
  <c r="G110" i="18"/>
  <c r="G111" i="18"/>
  <c r="G112" i="18"/>
  <c r="G115" i="18"/>
  <c r="G116" i="18"/>
  <c r="G117" i="18"/>
  <c r="G120" i="18"/>
  <c r="G121" i="18"/>
  <c r="G122" i="18"/>
  <c r="G125" i="18"/>
  <c r="G126" i="18"/>
  <c r="G127" i="18"/>
  <c r="G134" i="18"/>
  <c r="N67" i="19"/>
  <c r="V67" i="19"/>
  <c r="AD67" i="19"/>
  <c r="K76" i="19"/>
  <c r="M76" i="19"/>
  <c r="O76" i="19"/>
  <c r="S76" i="19"/>
  <c r="W76" i="19"/>
  <c r="AA76" i="19"/>
  <c r="AC76" i="19"/>
  <c r="AE76" i="19"/>
  <c r="I41" i="19"/>
  <c r="I63" i="19" s="1"/>
  <c r="I77" i="19" s="1"/>
  <c r="J41" i="19"/>
  <c r="J38" i="19" s="1"/>
  <c r="K41" i="19"/>
  <c r="K63" i="19" s="1"/>
  <c r="K77" i="19" s="1"/>
  <c r="M41" i="19"/>
  <c r="M63" i="19" s="1"/>
  <c r="M77" i="19" s="1"/>
  <c r="N41" i="19"/>
  <c r="N63" i="19" s="1"/>
  <c r="N77" i="19" s="1"/>
  <c r="O41" i="19"/>
  <c r="O63" i="19" s="1"/>
  <c r="O77" i="19" s="1"/>
  <c r="Q41" i="19"/>
  <c r="Q63" i="19" s="1"/>
  <c r="Q77" i="19" s="1"/>
  <c r="R41" i="19"/>
  <c r="R63" i="19" s="1"/>
  <c r="R77" i="19" s="1"/>
  <c r="S41" i="19"/>
  <c r="S63" i="19" s="1"/>
  <c r="S77" i="19" s="1"/>
  <c r="U41" i="19"/>
  <c r="U63" i="19" s="1"/>
  <c r="U77" i="19" s="1"/>
  <c r="V41" i="19"/>
  <c r="V63" i="19" s="1"/>
  <c r="V77" i="19" s="1"/>
  <c r="W41" i="19"/>
  <c r="W63" i="19" s="1"/>
  <c r="W77" i="19" s="1"/>
  <c r="Y41" i="19"/>
  <c r="Y63" i="19" s="1"/>
  <c r="Y77" i="19" s="1"/>
  <c r="Z41" i="19"/>
  <c r="Z38" i="19" s="1"/>
  <c r="AA41" i="19"/>
  <c r="AC41" i="19"/>
  <c r="AD41" i="19"/>
  <c r="AD63" i="19" s="1"/>
  <c r="AD77" i="19" s="1"/>
  <c r="AE41" i="19"/>
  <c r="AE63" i="19" s="1"/>
  <c r="AE77" i="19" s="1"/>
  <c r="C62" i="19"/>
  <c r="D63" i="19"/>
  <c r="D77" i="19" s="1"/>
  <c r="I62" i="19"/>
  <c r="I76" i="19" s="1"/>
  <c r="Q76" i="19"/>
  <c r="U76" i="19"/>
  <c r="Y76" i="19"/>
  <c r="I54" i="19"/>
  <c r="K54" i="19"/>
  <c r="M54" i="19"/>
  <c r="O54" i="19"/>
  <c r="Q54" i="19"/>
  <c r="S54" i="19"/>
  <c r="U54" i="19"/>
  <c r="W54" i="19"/>
  <c r="Y54" i="19"/>
  <c r="AA54" i="19"/>
  <c r="C8" i="22"/>
  <c r="C10" i="22"/>
  <c r="C12" i="22"/>
  <c r="F16" i="18"/>
  <c r="L138" i="18"/>
  <c r="L150" i="18" s="1"/>
  <c r="P138" i="18"/>
  <c r="P150" i="18" s="1"/>
  <c r="T138" i="18"/>
  <c r="T150" i="18" s="1"/>
  <c r="X138" i="18"/>
  <c r="X150" i="18" s="1"/>
  <c r="L76" i="19"/>
  <c r="P76" i="19"/>
  <c r="X76" i="19"/>
  <c r="AB76" i="19"/>
  <c r="G56" i="19"/>
  <c r="H62" i="19"/>
  <c r="H76" i="19" s="1"/>
  <c r="T76" i="19"/>
  <c r="F133" i="21"/>
  <c r="D133" i="21"/>
  <c r="G133" i="21"/>
  <c r="K148" i="21"/>
  <c r="M161" i="21"/>
  <c r="U161" i="21"/>
  <c r="AC161" i="21"/>
  <c r="O162" i="21"/>
  <c r="O157" i="21" s="1"/>
  <c r="W162" i="21"/>
  <c r="AE162" i="21"/>
  <c r="AE157" i="21" s="1"/>
  <c r="E10" i="22"/>
  <c r="G44" i="22"/>
  <c r="G45" i="22"/>
  <c r="G46" i="22"/>
  <c r="G47" i="22"/>
  <c r="G48" i="22"/>
  <c r="G16" i="18"/>
  <c r="K138" i="18"/>
  <c r="K150" i="18" s="1"/>
  <c r="M138" i="18"/>
  <c r="M150" i="18" s="1"/>
  <c r="O138" i="18"/>
  <c r="O150" i="18" s="1"/>
  <c r="Q138" i="18"/>
  <c r="Q150" i="18" s="1"/>
  <c r="S138" i="18"/>
  <c r="S150" i="18" s="1"/>
  <c r="U138" i="18"/>
  <c r="U150" i="18" s="1"/>
  <c r="Y138" i="18"/>
  <c r="Y150" i="18" s="1"/>
  <c r="AA138" i="18"/>
  <c r="AA150" i="18" s="1"/>
  <c r="AC138" i="18"/>
  <c r="AC150" i="18" s="1"/>
  <c r="AE138" i="18"/>
  <c r="AE150" i="18" s="1"/>
  <c r="H67" i="19"/>
  <c r="J67" i="19"/>
  <c r="L67" i="19"/>
  <c r="P67" i="19"/>
  <c r="R67" i="19"/>
  <c r="T67" i="19"/>
  <c r="X67" i="19"/>
  <c r="Z67" i="19"/>
  <c r="AB67" i="19"/>
  <c r="D24" i="19"/>
  <c r="R76" i="19"/>
  <c r="H41" i="19"/>
  <c r="L41" i="19"/>
  <c r="L63" i="19" s="1"/>
  <c r="L77" i="19" s="1"/>
  <c r="P41" i="19"/>
  <c r="P63" i="19" s="1"/>
  <c r="P77" i="19" s="1"/>
  <c r="T41" i="19"/>
  <c r="T63" i="19" s="1"/>
  <c r="T77" i="19" s="1"/>
  <c r="X41" i="19"/>
  <c r="X63" i="19" s="1"/>
  <c r="X77" i="19" s="1"/>
  <c r="AB41" i="19"/>
  <c r="AB63" i="19" s="1"/>
  <c r="AB77" i="19" s="1"/>
  <c r="C54" i="19"/>
  <c r="F49" i="19"/>
  <c r="J54" i="19"/>
  <c r="N54" i="19"/>
  <c r="R54" i="19"/>
  <c r="V54" i="19"/>
  <c r="Z54" i="19"/>
  <c r="F56" i="19"/>
  <c r="D10" i="21"/>
  <c r="F12" i="21"/>
  <c r="D12" i="21"/>
  <c r="D11" i="21" s="1"/>
  <c r="E17" i="21"/>
  <c r="E19" i="21"/>
  <c r="E20" i="21"/>
  <c r="F23" i="21"/>
  <c r="D23" i="21"/>
  <c r="F24" i="21"/>
  <c r="D24" i="21"/>
  <c r="F30" i="21"/>
  <c r="D30" i="21"/>
  <c r="F35" i="21"/>
  <c r="D35" i="21"/>
  <c r="F36" i="21"/>
  <c r="D36" i="21"/>
  <c r="F38" i="21"/>
  <c r="D38" i="21"/>
  <c r="F41" i="21"/>
  <c r="D41" i="21"/>
  <c r="F42" i="21"/>
  <c r="D42" i="21"/>
  <c r="F43" i="21"/>
  <c r="D43" i="21"/>
  <c r="F44" i="21"/>
  <c r="D44" i="21"/>
  <c r="F47" i="21"/>
  <c r="D47" i="21"/>
  <c r="F48" i="21"/>
  <c r="D48" i="21"/>
  <c r="F49" i="21"/>
  <c r="D49" i="21"/>
  <c r="F50" i="21"/>
  <c r="D50" i="21"/>
  <c r="F66" i="21"/>
  <c r="D66" i="21"/>
  <c r="F72" i="21"/>
  <c r="F70" i="21" s="1"/>
  <c r="D72" i="21"/>
  <c r="F78" i="21"/>
  <c r="F76" i="21" s="1"/>
  <c r="D78" i="21"/>
  <c r="F84" i="21"/>
  <c r="F82" i="21" s="1"/>
  <c r="D84" i="21"/>
  <c r="F90" i="21"/>
  <c r="F88" i="21" s="1"/>
  <c r="D90" i="21"/>
  <c r="I106" i="21"/>
  <c r="J148" i="21"/>
  <c r="L148" i="21"/>
  <c r="N148" i="21"/>
  <c r="P148" i="21"/>
  <c r="R148" i="21"/>
  <c r="T148" i="21"/>
  <c r="V148" i="21"/>
  <c r="X148" i="21"/>
  <c r="Z148" i="21"/>
  <c r="AB148" i="21"/>
  <c r="AD148" i="21"/>
  <c r="E150" i="21"/>
  <c r="E137" i="21"/>
  <c r="F139" i="21"/>
  <c r="D139" i="21"/>
  <c r="G139" i="21"/>
  <c r="Q148" i="21"/>
  <c r="I161" i="21"/>
  <c r="Q161" i="21"/>
  <c r="Y161" i="21"/>
  <c r="K162" i="21"/>
  <c r="S162" i="21"/>
  <c r="S157" i="21" s="1"/>
  <c r="AA162" i="21"/>
  <c r="K7" i="22"/>
  <c r="M7" i="22"/>
  <c r="S7" i="22"/>
  <c r="W7" i="22"/>
  <c r="Y7" i="22"/>
  <c r="AC7" i="22"/>
  <c r="AE7" i="22"/>
  <c r="E9" i="22"/>
  <c r="E11" i="22"/>
  <c r="G49" i="19"/>
  <c r="H159" i="21"/>
  <c r="J159" i="21"/>
  <c r="L159" i="21"/>
  <c r="N159" i="21"/>
  <c r="P159" i="21"/>
  <c r="T159" i="21"/>
  <c r="V159" i="21"/>
  <c r="X159" i="21"/>
  <c r="Z159" i="21"/>
  <c r="AD159" i="21"/>
  <c r="H161" i="21"/>
  <c r="J161" i="21"/>
  <c r="L161" i="21"/>
  <c r="N161" i="21"/>
  <c r="P161" i="21"/>
  <c r="R161" i="21"/>
  <c r="T161" i="21"/>
  <c r="V161" i="21"/>
  <c r="X161" i="21"/>
  <c r="Z161" i="21"/>
  <c r="AB161" i="21"/>
  <c r="AD161" i="21"/>
  <c r="H162" i="21"/>
  <c r="H157" i="21" s="1"/>
  <c r="J162" i="21"/>
  <c r="J157" i="21" s="1"/>
  <c r="L162" i="21"/>
  <c r="L157" i="21" s="1"/>
  <c r="P162" i="21"/>
  <c r="P157" i="21" s="1"/>
  <c r="R162" i="21"/>
  <c r="R157" i="21" s="1"/>
  <c r="T162" i="21"/>
  <c r="T157" i="21" s="1"/>
  <c r="V162" i="21"/>
  <c r="V157" i="21" s="1"/>
  <c r="X162" i="21"/>
  <c r="X157" i="21" s="1"/>
  <c r="Z162" i="21"/>
  <c r="Z157" i="21" s="1"/>
  <c r="AB162" i="21"/>
  <c r="AB157" i="21" s="1"/>
  <c r="F96" i="21"/>
  <c r="F94" i="21" s="1"/>
  <c r="D96" i="21"/>
  <c r="F114" i="21"/>
  <c r="F112" i="21" s="1"/>
  <c r="D114" i="21"/>
  <c r="F44" i="22"/>
  <c r="D44" i="22"/>
  <c r="F45" i="22"/>
  <c r="D45" i="22"/>
  <c r="F46" i="22"/>
  <c r="F47" i="22"/>
  <c r="D47" i="22"/>
  <c r="F48" i="22"/>
  <c r="D48" i="22"/>
  <c r="F51" i="22"/>
  <c r="D51" i="22"/>
  <c r="F52" i="22"/>
  <c r="D52" i="22"/>
  <c r="F53" i="22"/>
  <c r="F54" i="22"/>
  <c r="D54" i="22"/>
  <c r="AC63" i="19" l="1"/>
  <c r="AC77" i="19" s="1"/>
  <c r="AC74" i="19" s="1"/>
  <c r="AC38" i="19"/>
  <c r="AA63" i="19"/>
  <c r="AA77" i="19" s="1"/>
  <c r="AA38" i="19"/>
  <c r="AG124" i="18"/>
  <c r="C47" i="18"/>
  <c r="F57" i="18"/>
  <c r="F65" i="18"/>
  <c r="D124" i="18"/>
  <c r="G24" i="19"/>
  <c r="F49" i="18"/>
  <c r="D66" i="18"/>
  <c r="D64" i="18" s="1"/>
  <c r="D67" i="18"/>
  <c r="F67" i="18"/>
  <c r="G67" i="18"/>
  <c r="G66" i="18"/>
  <c r="F66" i="18"/>
  <c r="F33" i="18"/>
  <c r="G33" i="18"/>
  <c r="Y137" i="18"/>
  <c r="Y136" i="18" s="1"/>
  <c r="H42" i="18"/>
  <c r="H144" i="18" s="1"/>
  <c r="H155" i="18" s="1"/>
  <c r="H151" i="18" s="1"/>
  <c r="G57" i="18"/>
  <c r="N153" i="18"/>
  <c r="N149" i="18" s="1"/>
  <c r="Y39" i="18"/>
  <c r="F109" i="18"/>
  <c r="F114" i="18"/>
  <c r="U155" i="18"/>
  <c r="U151" i="18" s="1"/>
  <c r="Z137" i="18"/>
  <c r="F104" i="18"/>
  <c r="F18" i="22"/>
  <c r="D12" i="22"/>
  <c r="G72" i="18"/>
  <c r="M155" i="18"/>
  <c r="M151" i="18" s="1"/>
  <c r="R155" i="18"/>
  <c r="R151" i="18" s="1"/>
  <c r="G29" i="18"/>
  <c r="Y44" i="18"/>
  <c r="D67" i="19"/>
  <c r="AD38" i="19"/>
  <c r="T139" i="18"/>
  <c r="AB141" i="18"/>
  <c r="F119" i="18"/>
  <c r="I7" i="22"/>
  <c r="M159" i="21"/>
  <c r="M158" i="21" s="1"/>
  <c r="G129" i="21"/>
  <c r="F13" i="18"/>
  <c r="G18" i="18"/>
  <c r="X155" i="18"/>
  <c r="X151" i="18" s="1"/>
  <c r="AB137" i="18"/>
  <c r="AB136" i="18" s="1"/>
  <c r="P137" i="18"/>
  <c r="P136" i="18" s="1"/>
  <c r="J153" i="18"/>
  <c r="J149" i="18" s="1"/>
  <c r="K159" i="21"/>
  <c r="K154" i="21" s="1"/>
  <c r="G40" i="21"/>
  <c r="F84" i="18"/>
  <c r="G89" i="18"/>
  <c r="F124" i="18"/>
  <c r="G74" i="18"/>
  <c r="F12" i="22"/>
  <c r="AA155" i="18"/>
  <c r="AA151" i="18" s="1"/>
  <c r="Q155" i="18"/>
  <c r="Q151" i="18" s="1"/>
  <c r="AB153" i="18"/>
  <c r="X137" i="18"/>
  <c r="X136" i="18" s="1"/>
  <c r="E47" i="18"/>
  <c r="E42" i="18" s="1"/>
  <c r="G13" i="18"/>
  <c r="G128" i="21"/>
  <c r="AE139" i="18"/>
  <c r="W155" i="18"/>
  <c r="W151" i="18" s="1"/>
  <c r="K155" i="18"/>
  <c r="K151" i="18" s="1"/>
  <c r="Y141" i="18"/>
  <c r="I153" i="18"/>
  <c r="I149" i="18" s="1"/>
  <c r="AB139" i="18"/>
  <c r="V139" i="18"/>
  <c r="L139" i="18"/>
  <c r="AD137" i="18"/>
  <c r="V137" i="18"/>
  <c r="L153" i="18"/>
  <c r="G18" i="22"/>
  <c r="F56" i="18"/>
  <c r="G16" i="19"/>
  <c r="C42" i="18"/>
  <c r="C144" i="18" s="1"/>
  <c r="I139" i="18"/>
  <c r="I155" i="18"/>
  <c r="I151" i="18" s="1"/>
  <c r="AC139" i="18"/>
  <c r="S139" i="18"/>
  <c r="Z139" i="18"/>
  <c r="P139" i="18"/>
  <c r="R137" i="18"/>
  <c r="E62" i="19"/>
  <c r="G62" i="19" s="1"/>
  <c r="G71" i="18"/>
  <c r="F131" i="18"/>
  <c r="F59" i="18"/>
  <c r="F16" i="22"/>
  <c r="G131" i="18"/>
  <c r="Z138" i="18"/>
  <c r="Z150" i="18" s="1"/>
  <c r="N138" i="18"/>
  <c r="N150" i="18" s="1"/>
  <c r="Y155" i="18"/>
  <c r="Y151" i="18" s="1"/>
  <c r="L141" i="18"/>
  <c r="F40" i="21"/>
  <c r="F89" i="18"/>
  <c r="F71" i="18"/>
  <c r="F50" i="22"/>
  <c r="F55" i="18"/>
  <c r="G59" i="18"/>
  <c r="C158" i="18"/>
  <c r="C156" i="18" s="1"/>
  <c r="F70" i="18"/>
  <c r="F16" i="19"/>
  <c r="F99" i="18"/>
  <c r="F10" i="21"/>
  <c r="D9" i="19"/>
  <c r="P141" i="18"/>
  <c r="E41" i="19"/>
  <c r="E63" i="19" s="1"/>
  <c r="D76" i="19"/>
  <c r="G114" i="18"/>
  <c r="L7" i="22"/>
  <c r="G108" i="21"/>
  <c r="G106" i="21" s="1"/>
  <c r="F79" i="18"/>
  <c r="B46" i="18"/>
  <c r="B41" i="18" s="1"/>
  <c r="D54" i="19"/>
  <c r="F131" i="21"/>
  <c r="W44" i="18"/>
  <c r="E64" i="18"/>
  <c r="D16" i="19"/>
  <c r="F94" i="18"/>
  <c r="B54" i="19"/>
  <c r="G56" i="18"/>
  <c r="G84" i="18"/>
  <c r="F43" i="22"/>
  <c r="C121" i="21"/>
  <c r="C120" i="21"/>
  <c r="C157" i="21"/>
  <c r="J63" i="19"/>
  <c r="J77" i="19" s="1"/>
  <c r="V138" i="18"/>
  <c r="V150" i="18" s="1"/>
  <c r="W137" i="18"/>
  <c r="G35" i="18"/>
  <c r="R141" i="18"/>
  <c r="V39" i="18"/>
  <c r="F72" i="18"/>
  <c r="F74" i="18"/>
  <c r="F55" i="19"/>
  <c r="G55" i="21"/>
  <c r="C118" i="21"/>
  <c r="E9" i="19"/>
  <c r="G9" i="19" s="1"/>
  <c r="F31" i="19"/>
  <c r="Z63" i="19"/>
  <c r="Z77" i="19" s="1"/>
  <c r="O139" i="18"/>
  <c r="W141" i="18"/>
  <c r="V141" i="18"/>
  <c r="R39" i="18"/>
  <c r="R138" i="18"/>
  <c r="R150" i="18" s="1"/>
  <c r="J138" i="18"/>
  <c r="J150" i="18" s="1"/>
  <c r="F35" i="18"/>
  <c r="J141" i="18"/>
  <c r="G43" i="22"/>
  <c r="J39" i="18"/>
  <c r="B119" i="21"/>
  <c r="M40" i="18"/>
  <c r="M142" i="18" s="1"/>
  <c r="M153" i="18" s="1"/>
  <c r="U141" i="18"/>
  <c r="C119" i="21"/>
  <c r="F127" i="21"/>
  <c r="B120" i="21"/>
  <c r="G54" i="21"/>
  <c r="F15" i="22"/>
  <c r="G70" i="18"/>
  <c r="AD141" i="18"/>
  <c r="D127" i="21"/>
  <c r="V38" i="19"/>
  <c r="AD138" i="18"/>
  <c r="AD150" i="18" s="1"/>
  <c r="U137" i="18"/>
  <c r="U136" i="18" s="1"/>
  <c r="AD139" i="18"/>
  <c r="N139" i="18"/>
  <c r="X141" i="18"/>
  <c r="G31" i="19"/>
  <c r="F24" i="19"/>
  <c r="AB7" i="22"/>
  <c r="C162" i="21"/>
  <c r="Z39" i="18"/>
  <c r="U39" i="18"/>
  <c r="D70" i="18"/>
  <c r="D69" i="18" s="1"/>
  <c r="F133" i="18"/>
  <c r="W138" i="18"/>
  <c r="W150" i="18" s="1"/>
  <c r="E69" i="18"/>
  <c r="G69" i="18" s="1"/>
  <c r="E54" i="19"/>
  <c r="G54" i="19" s="1"/>
  <c r="Z141" i="18"/>
  <c r="T7" i="22"/>
  <c r="B9" i="22"/>
  <c r="B64" i="18"/>
  <c r="U44" i="18"/>
  <c r="AA118" i="21"/>
  <c r="AA117" i="21" s="1"/>
  <c r="N121" i="21"/>
  <c r="N117" i="21" s="1"/>
  <c r="U118" i="21"/>
  <c r="U117" i="21" s="1"/>
  <c r="S118" i="21"/>
  <c r="S117" i="21" s="1"/>
  <c r="Q118" i="21"/>
  <c r="Q117" i="21" s="1"/>
  <c r="AB118" i="21"/>
  <c r="K118" i="21"/>
  <c r="K117" i="21" s="1"/>
  <c r="R118" i="21"/>
  <c r="R117" i="21" s="1"/>
  <c r="AC118" i="21"/>
  <c r="AC117" i="21" s="1"/>
  <c r="M118" i="21"/>
  <c r="M117" i="21" s="1"/>
  <c r="AE118" i="21"/>
  <c r="AE117" i="21" s="1"/>
  <c r="AD121" i="21"/>
  <c r="Y118" i="21"/>
  <c r="Y117" i="21" s="1"/>
  <c r="F21" i="18"/>
  <c r="G50" i="22"/>
  <c r="AD39" i="18"/>
  <c r="C147" i="18"/>
  <c r="C146" i="18" s="1"/>
  <c r="C130" i="18"/>
  <c r="AC44" i="18"/>
  <c r="AC40" i="18"/>
  <c r="B54" i="18"/>
  <c r="F46" i="21"/>
  <c r="F108" i="21"/>
  <c r="F106" i="21" s="1"/>
  <c r="E147" i="18"/>
  <c r="E146" i="18" s="1"/>
  <c r="E130" i="18"/>
  <c r="G49" i="18"/>
  <c r="H7" i="22"/>
  <c r="B147" i="18"/>
  <c r="B146" i="18" s="1"/>
  <c r="B130" i="18"/>
  <c r="D147" i="18"/>
  <c r="D146" i="18" s="1"/>
  <c r="D130" i="18"/>
  <c r="F17" i="22"/>
  <c r="B8" i="22"/>
  <c r="B106" i="21"/>
  <c r="G46" i="21"/>
  <c r="E54" i="18"/>
  <c r="G55" i="18"/>
  <c r="N141" i="18"/>
  <c r="X7" i="22"/>
  <c r="R159" i="21"/>
  <c r="R158" i="21" s="1"/>
  <c r="E58" i="21"/>
  <c r="G22" i="21"/>
  <c r="I148" i="21"/>
  <c r="G131" i="21"/>
  <c r="D54" i="21"/>
  <c r="C125" i="21"/>
  <c r="F18" i="21"/>
  <c r="G28" i="21"/>
  <c r="B53" i="21"/>
  <c r="B159" i="21" s="1"/>
  <c r="F22" i="21"/>
  <c r="F34" i="21"/>
  <c r="G60" i="21"/>
  <c r="F126" i="21"/>
  <c r="D126" i="21"/>
  <c r="G126" i="21"/>
  <c r="H148" i="21"/>
  <c r="F128" i="21"/>
  <c r="F129" i="21"/>
  <c r="E125" i="21"/>
  <c r="B125" i="21"/>
  <c r="D108" i="21"/>
  <c r="E106" i="21"/>
  <c r="Q159" i="21"/>
  <c r="Q154" i="21" s="1"/>
  <c r="Q153" i="21" s="1"/>
  <c r="AC159" i="21"/>
  <c r="AC158" i="21" s="1"/>
  <c r="U159" i="21"/>
  <c r="U154" i="21" s="1"/>
  <c r="U153" i="21" s="1"/>
  <c r="I159" i="21"/>
  <c r="I154" i="21" s="1"/>
  <c r="N162" i="21"/>
  <c r="N157" i="21" s="1"/>
  <c r="Y159" i="21"/>
  <c r="Y154" i="21" s="1"/>
  <c r="Y153" i="21" s="1"/>
  <c r="AD162" i="21"/>
  <c r="AD157" i="21" s="1"/>
  <c r="G56" i="21"/>
  <c r="AB159" i="21"/>
  <c r="AB158" i="21" s="1"/>
  <c r="F59" i="21"/>
  <c r="F55" i="21"/>
  <c r="AA159" i="21"/>
  <c r="AA154" i="21" s="1"/>
  <c r="AE159" i="21"/>
  <c r="AE154" i="21" s="1"/>
  <c r="AE153" i="21" s="1"/>
  <c r="F64" i="21"/>
  <c r="G64" i="21"/>
  <c r="B16" i="21"/>
  <c r="W117" i="21"/>
  <c r="G34" i="21"/>
  <c r="F28" i="21"/>
  <c r="E160" i="21"/>
  <c r="O117" i="21"/>
  <c r="G18" i="21"/>
  <c r="D18" i="21"/>
  <c r="E119" i="21"/>
  <c r="E155" i="21"/>
  <c r="D155" i="21" s="1"/>
  <c r="G11" i="21"/>
  <c r="T142" i="18"/>
  <c r="T39" i="18"/>
  <c r="B158" i="18"/>
  <c r="B156" i="18" s="1"/>
  <c r="D74" i="18"/>
  <c r="J160" i="21"/>
  <c r="J155" i="21" s="1"/>
  <c r="C155" i="21" s="1"/>
  <c r="B69" i="18"/>
  <c r="B54" i="21"/>
  <c r="F54" i="21" s="1"/>
  <c r="D55" i="18"/>
  <c r="D54" i="18" s="1"/>
  <c r="F47" i="19"/>
  <c r="B47" i="18"/>
  <c r="J42" i="18"/>
  <c r="J144" i="18" s="1"/>
  <c r="AE44" i="18"/>
  <c r="AE40" i="18"/>
  <c r="V7" i="22"/>
  <c r="K142" i="18"/>
  <c r="K39" i="18"/>
  <c r="J52" i="21"/>
  <c r="E46" i="18"/>
  <c r="I41" i="18"/>
  <c r="O40" i="18"/>
  <c r="O44" i="18"/>
  <c r="H44" i="18"/>
  <c r="H40" i="18"/>
  <c r="B45" i="18"/>
  <c r="S44" i="18"/>
  <c r="S40" i="18"/>
  <c r="W39" i="18"/>
  <c r="B161" i="21"/>
  <c r="N39" i="18"/>
  <c r="F25" i="18"/>
  <c r="C64" i="18"/>
  <c r="Q44" i="18"/>
  <c r="Q40" i="18"/>
  <c r="C143" i="18"/>
  <c r="H41" i="18"/>
  <c r="C54" i="18"/>
  <c r="E45" i="18"/>
  <c r="AA142" i="18"/>
  <c r="AA39" i="18"/>
  <c r="G47" i="19"/>
  <c r="D47" i="19"/>
  <c r="C77" i="19"/>
  <c r="E158" i="18"/>
  <c r="E156" i="18" s="1"/>
  <c r="E11" i="18"/>
  <c r="C76" i="19"/>
  <c r="AD76" i="19"/>
  <c r="AD74" i="19" s="1"/>
  <c r="C160" i="21"/>
  <c r="C9" i="21"/>
  <c r="G9" i="21" s="1"/>
  <c r="C161" i="21"/>
  <c r="G59" i="21"/>
  <c r="C58" i="21"/>
  <c r="C52" i="21"/>
  <c r="B56" i="21"/>
  <c r="C16" i="21"/>
  <c r="S159" i="21"/>
  <c r="S154" i="21" s="1"/>
  <c r="S153" i="21" s="1"/>
  <c r="C106" i="21"/>
  <c r="E53" i="21"/>
  <c r="E118" i="21" s="1"/>
  <c r="I52" i="21"/>
  <c r="B58" i="21"/>
  <c r="D35" i="18"/>
  <c r="D33" i="18" s="1"/>
  <c r="D15" i="18"/>
  <c r="D13" i="18"/>
  <c r="AA157" i="21"/>
  <c r="K157" i="21"/>
  <c r="B148" i="21"/>
  <c r="N76" i="19"/>
  <c r="N38" i="19"/>
  <c r="W157" i="21"/>
  <c r="W153" i="21" s="1"/>
  <c r="W158" i="21"/>
  <c r="I117" i="21"/>
  <c r="AE67" i="19"/>
  <c r="AE38" i="19"/>
  <c r="AC67" i="19"/>
  <c r="AA67" i="19"/>
  <c r="Y67" i="19"/>
  <c r="Y38" i="19"/>
  <c r="W67" i="19"/>
  <c r="W38" i="19"/>
  <c r="U67" i="19"/>
  <c r="U38" i="19"/>
  <c r="S67" i="19"/>
  <c r="S38" i="19"/>
  <c r="Q67" i="19"/>
  <c r="Q38" i="19"/>
  <c r="O67" i="19"/>
  <c r="O38" i="19"/>
  <c r="M67" i="19"/>
  <c r="M38" i="19"/>
  <c r="K67" i="19"/>
  <c r="K38" i="19"/>
  <c r="I67" i="19"/>
  <c r="I38" i="19"/>
  <c r="AD154" i="21"/>
  <c r="Z158" i="21"/>
  <c r="Z154" i="21"/>
  <c r="Z153" i="21" s="1"/>
  <c r="X158" i="21"/>
  <c r="X154" i="21"/>
  <c r="X153" i="21" s="1"/>
  <c r="V158" i="21"/>
  <c r="V154" i="21"/>
  <c r="V153" i="21" s="1"/>
  <c r="T158" i="21"/>
  <c r="T154" i="21"/>
  <c r="T153" i="21" s="1"/>
  <c r="P158" i="21"/>
  <c r="P154" i="21"/>
  <c r="P153" i="21" s="1"/>
  <c r="N154" i="21"/>
  <c r="L158" i="21"/>
  <c r="L154" i="21"/>
  <c r="L153" i="21" s="1"/>
  <c r="J154" i="21"/>
  <c r="H158" i="21"/>
  <c r="H154" i="21"/>
  <c r="F11" i="22"/>
  <c r="D11" i="22"/>
  <c r="G11" i="22"/>
  <c r="D9" i="22"/>
  <c r="G9" i="22"/>
  <c r="F137" i="21"/>
  <c r="G137" i="21"/>
  <c r="E120" i="21"/>
  <c r="F19" i="21"/>
  <c r="D19" i="21"/>
  <c r="E161" i="21"/>
  <c r="G19" i="21"/>
  <c r="D9" i="21"/>
  <c r="Y74" i="19"/>
  <c r="Y60" i="19"/>
  <c r="Q74" i="19"/>
  <c r="Q60" i="19"/>
  <c r="I74" i="19"/>
  <c r="I60" i="19"/>
  <c r="AB74" i="19"/>
  <c r="AB60" i="19"/>
  <c r="X74" i="19"/>
  <c r="X60" i="19"/>
  <c r="T74" i="19"/>
  <c r="T60" i="19"/>
  <c r="P74" i="19"/>
  <c r="P60" i="19"/>
  <c r="L74" i="19"/>
  <c r="L60" i="19"/>
  <c r="B41" i="19"/>
  <c r="AB38" i="19"/>
  <c r="T38" i="19"/>
  <c r="L38" i="19"/>
  <c r="F10" i="22"/>
  <c r="D10" i="22"/>
  <c r="G10" i="22"/>
  <c r="E7" i="22"/>
  <c r="AA60" i="19"/>
  <c r="AA74" i="19"/>
  <c r="S60" i="19"/>
  <c r="S74" i="19"/>
  <c r="K60" i="19"/>
  <c r="K74" i="19"/>
  <c r="W152" i="18"/>
  <c r="G8" i="22"/>
  <c r="C7" i="22"/>
  <c r="O158" i="21"/>
  <c r="R38" i="19"/>
  <c r="AD152" i="18"/>
  <c r="Z152" i="18"/>
  <c r="V152" i="18"/>
  <c r="R152" i="18"/>
  <c r="D112" i="21"/>
  <c r="D94" i="21"/>
  <c r="Z117" i="21"/>
  <c r="X117" i="21"/>
  <c r="V117" i="21"/>
  <c r="T117" i="21"/>
  <c r="P117" i="21"/>
  <c r="L117" i="21"/>
  <c r="J117" i="21"/>
  <c r="H117" i="21"/>
  <c r="D131" i="21"/>
  <c r="F150" i="21"/>
  <c r="D150" i="21"/>
  <c r="G150" i="21"/>
  <c r="D88" i="21"/>
  <c r="D82" i="21"/>
  <c r="D76" i="21"/>
  <c r="D70" i="21"/>
  <c r="D62" i="21"/>
  <c r="D61" i="21"/>
  <c r="D60" i="21"/>
  <c r="D64" i="21"/>
  <c r="D59" i="21"/>
  <c r="D46" i="21"/>
  <c r="D40" i="21"/>
  <c r="D34" i="21"/>
  <c r="D28" i="21"/>
  <c r="D22" i="21"/>
  <c r="E162" i="21"/>
  <c r="F20" i="21"/>
  <c r="D20" i="21"/>
  <c r="E121" i="21"/>
  <c r="G20" i="21"/>
  <c r="F17" i="21"/>
  <c r="D17" i="21"/>
  <c r="E16" i="21"/>
  <c r="G17" i="21"/>
  <c r="AC60" i="19"/>
  <c r="U74" i="19"/>
  <c r="U60" i="19"/>
  <c r="M74" i="19"/>
  <c r="M60" i="19"/>
  <c r="H63" i="19"/>
  <c r="H77" i="19" s="1"/>
  <c r="R74" i="19"/>
  <c r="R60" i="19"/>
  <c r="X38" i="19"/>
  <c r="P38" i="19"/>
  <c r="H38" i="19"/>
  <c r="B9" i="19"/>
  <c r="O153" i="21"/>
  <c r="D137" i="21"/>
  <c r="AE60" i="19"/>
  <c r="AE74" i="19"/>
  <c r="W60" i="19"/>
  <c r="W74" i="19"/>
  <c r="O60" i="19"/>
  <c r="O74" i="19"/>
  <c r="V76" i="19"/>
  <c r="Y152" i="18"/>
  <c r="Y148" i="18"/>
  <c r="U152" i="18"/>
  <c r="U148" i="18"/>
  <c r="G12" i="22"/>
  <c r="E148" i="21"/>
  <c r="X148" i="18"/>
  <c r="X152" i="18"/>
  <c r="P148" i="18"/>
  <c r="P152" i="18"/>
  <c r="L136" i="18"/>
  <c r="G130" i="18" l="1"/>
  <c r="AB149" i="18"/>
  <c r="AB148" i="18" s="1"/>
  <c r="L149" i="18"/>
  <c r="L148" i="18" s="1"/>
  <c r="M149" i="18"/>
  <c r="M148" i="18" s="1"/>
  <c r="F156" i="18"/>
  <c r="G156" i="18"/>
  <c r="N152" i="18"/>
  <c r="H139" i="18"/>
  <c r="M137" i="18"/>
  <c r="M136" i="18" s="1"/>
  <c r="J152" i="18"/>
  <c r="M154" i="21"/>
  <c r="M153" i="21" s="1"/>
  <c r="K153" i="21"/>
  <c r="AB152" i="18"/>
  <c r="R136" i="18"/>
  <c r="E76" i="19"/>
  <c r="G76" i="19" s="1"/>
  <c r="Z136" i="18"/>
  <c r="K158" i="21"/>
  <c r="G47" i="18"/>
  <c r="L152" i="18"/>
  <c r="G64" i="18"/>
  <c r="D47" i="18"/>
  <c r="D42" i="18" s="1"/>
  <c r="D144" i="18" s="1"/>
  <c r="D155" i="18" s="1"/>
  <c r="D151" i="18" s="1"/>
  <c r="E60" i="19"/>
  <c r="V136" i="18"/>
  <c r="G119" i="21"/>
  <c r="AD136" i="18"/>
  <c r="N136" i="18"/>
  <c r="E67" i="19"/>
  <c r="G67" i="19" s="1"/>
  <c r="F64" i="18"/>
  <c r="D7" i="22"/>
  <c r="F54" i="18"/>
  <c r="W136" i="18"/>
  <c r="N60" i="19"/>
  <c r="R148" i="18"/>
  <c r="Z148" i="18"/>
  <c r="W148" i="18"/>
  <c r="D38" i="19"/>
  <c r="M152" i="18"/>
  <c r="N148" i="18"/>
  <c r="AD148" i="18"/>
  <c r="G54" i="18"/>
  <c r="F46" i="18"/>
  <c r="E77" i="19"/>
  <c r="G77" i="19" s="1"/>
  <c r="V148" i="18"/>
  <c r="AB154" i="21"/>
  <c r="AB153" i="21" s="1"/>
  <c r="G41" i="19"/>
  <c r="M39" i="18"/>
  <c r="M141" i="18"/>
  <c r="E38" i="19"/>
  <c r="G38" i="19" s="1"/>
  <c r="J148" i="18"/>
  <c r="F54" i="19"/>
  <c r="F130" i="18"/>
  <c r="D125" i="21"/>
  <c r="J136" i="18"/>
  <c r="C154" i="21"/>
  <c r="C153" i="21" s="1"/>
  <c r="F9" i="19"/>
  <c r="F7" i="22"/>
  <c r="B121" i="21"/>
  <c r="F121" i="21" s="1"/>
  <c r="B118" i="21"/>
  <c r="R154" i="21"/>
  <c r="R153" i="21" s="1"/>
  <c r="F69" i="18"/>
  <c r="AD60" i="19"/>
  <c r="F9" i="22"/>
  <c r="AB117" i="21"/>
  <c r="G125" i="21"/>
  <c r="C139" i="18"/>
  <c r="C155" i="18"/>
  <c r="C151" i="18" s="1"/>
  <c r="G58" i="21"/>
  <c r="B52" i="21"/>
  <c r="AC142" i="18"/>
  <c r="AC39" i="18"/>
  <c r="B157" i="21"/>
  <c r="B155" i="21"/>
  <c r="F155" i="21" s="1"/>
  <c r="AA158" i="21"/>
  <c r="F8" i="22"/>
  <c r="G146" i="18"/>
  <c r="F146" i="18"/>
  <c r="AE158" i="21"/>
  <c r="F58" i="21"/>
  <c r="D106" i="21"/>
  <c r="D119" i="21"/>
  <c r="I158" i="21"/>
  <c r="N153" i="21"/>
  <c r="F125" i="21"/>
  <c r="AC154" i="21"/>
  <c r="AC153" i="21" s="1"/>
  <c r="Q158" i="21"/>
  <c r="U158" i="21"/>
  <c r="C117" i="21"/>
  <c r="J153" i="21"/>
  <c r="N158" i="21"/>
  <c r="B160" i="21"/>
  <c r="F160" i="21" s="1"/>
  <c r="AD117" i="21"/>
  <c r="AA153" i="21"/>
  <c r="Y158" i="21"/>
  <c r="AD153" i="21"/>
  <c r="AD158" i="21"/>
  <c r="E159" i="21"/>
  <c r="F159" i="21" s="1"/>
  <c r="J158" i="21"/>
  <c r="G160" i="21"/>
  <c r="F119" i="21"/>
  <c r="S158" i="21"/>
  <c r="D160" i="21"/>
  <c r="G155" i="21"/>
  <c r="C74" i="19"/>
  <c r="S142" i="18"/>
  <c r="S39" i="18"/>
  <c r="E144" i="18"/>
  <c r="G42" i="18"/>
  <c r="F47" i="18"/>
  <c r="B42" i="18"/>
  <c r="B144" i="18" s="1"/>
  <c r="D58" i="21"/>
  <c r="H143" i="18"/>
  <c r="H154" i="18" s="1"/>
  <c r="H138" i="18"/>
  <c r="H150" i="18" s="1"/>
  <c r="C40" i="18"/>
  <c r="C44" i="18"/>
  <c r="AE142" i="18"/>
  <c r="AE39" i="18"/>
  <c r="AA153" i="18"/>
  <c r="AA149" i="18" s="1"/>
  <c r="AA141" i="18"/>
  <c r="AA137" i="18"/>
  <c r="AA136" i="18" s="1"/>
  <c r="C154" i="18"/>
  <c r="C150" i="18" s="1"/>
  <c r="C138" i="18"/>
  <c r="B40" i="18"/>
  <c r="B142" i="18" s="1"/>
  <c r="B153" i="18" s="1"/>
  <c r="B149" i="18" s="1"/>
  <c r="B44" i="18"/>
  <c r="I143" i="18"/>
  <c r="I39" i="18"/>
  <c r="I138" i="18"/>
  <c r="K153" i="18"/>
  <c r="K149" i="18" s="1"/>
  <c r="K141" i="18"/>
  <c r="K137" i="18"/>
  <c r="K136" i="18" s="1"/>
  <c r="T137" i="18"/>
  <c r="T136" i="18" s="1"/>
  <c r="T153" i="18"/>
  <c r="T149" i="18" s="1"/>
  <c r="T141" i="18"/>
  <c r="E44" i="18"/>
  <c r="F45" i="18"/>
  <c r="G45" i="18"/>
  <c r="E40" i="18"/>
  <c r="D45" i="18"/>
  <c r="Q142" i="18"/>
  <c r="Q39" i="18"/>
  <c r="H142" i="18"/>
  <c r="H39" i="18"/>
  <c r="O142" i="18"/>
  <c r="O39" i="18"/>
  <c r="G46" i="18"/>
  <c r="E41" i="18"/>
  <c r="F41" i="18" s="1"/>
  <c r="D46" i="18"/>
  <c r="D41" i="18" s="1"/>
  <c r="J155" i="18"/>
  <c r="J151" i="18" s="1"/>
  <c r="J139" i="18"/>
  <c r="D60" i="19"/>
  <c r="D74" i="19"/>
  <c r="N74" i="19"/>
  <c r="C60" i="19"/>
  <c r="G63" i="19"/>
  <c r="F11" i="18"/>
  <c r="G11" i="18"/>
  <c r="G158" i="18"/>
  <c r="F158" i="18"/>
  <c r="D148" i="21"/>
  <c r="G53" i="21"/>
  <c r="F53" i="21"/>
  <c r="D53" i="21"/>
  <c r="D52" i="21" s="1"/>
  <c r="E52" i="21"/>
  <c r="B143" i="18"/>
  <c r="C159" i="21"/>
  <c r="C158" i="21" s="1"/>
  <c r="B162" i="21"/>
  <c r="F56" i="21"/>
  <c r="D158" i="18"/>
  <c r="D156" i="18" s="1"/>
  <c r="D11" i="18"/>
  <c r="J76" i="19"/>
  <c r="J74" i="19" s="1"/>
  <c r="J60" i="19"/>
  <c r="Z76" i="19"/>
  <c r="Z74" i="19" s="1"/>
  <c r="Z60" i="19"/>
  <c r="E157" i="21"/>
  <c r="F148" i="21"/>
  <c r="G148" i="21"/>
  <c r="B67" i="19"/>
  <c r="B38" i="19"/>
  <c r="V60" i="19"/>
  <c r="D162" i="21"/>
  <c r="D121" i="21"/>
  <c r="G162" i="21"/>
  <c r="I153" i="21"/>
  <c r="G7" i="22"/>
  <c r="H60" i="19"/>
  <c r="H74" i="19"/>
  <c r="F161" i="21"/>
  <c r="G161" i="21"/>
  <c r="V74" i="19"/>
  <c r="F16" i="21"/>
  <c r="G16" i="21"/>
  <c r="D16" i="21"/>
  <c r="G118" i="21"/>
  <c r="E117" i="21"/>
  <c r="G121" i="21"/>
  <c r="B62" i="19"/>
  <c r="F41" i="19"/>
  <c r="B63" i="19"/>
  <c r="D161" i="21"/>
  <c r="D120" i="21"/>
  <c r="F120" i="21"/>
  <c r="G120" i="21"/>
  <c r="H153" i="21"/>
  <c r="F67" i="19" l="1"/>
  <c r="D139" i="18"/>
  <c r="B117" i="21"/>
  <c r="F117" i="21" s="1"/>
  <c r="F38" i="19"/>
  <c r="G60" i="19"/>
  <c r="B154" i="21"/>
  <c r="B153" i="21" s="1"/>
  <c r="AC153" i="18"/>
  <c r="AC149" i="18" s="1"/>
  <c r="AC141" i="18"/>
  <c r="AC137" i="18"/>
  <c r="AC136" i="18" s="1"/>
  <c r="F44" i="18"/>
  <c r="E154" i="21"/>
  <c r="G159" i="21"/>
  <c r="F118" i="21"/>
  <c r="E158" i="21"/>
  <c r="G158" i="21" s="1"/>
  <c r="B158" i="21"/>
  <c r="D159" i="21"/>
  <c r="D158" i="21" s="1"/>
  <c r="F162" i="21"/>
  <c r="E143" i="18"/>
  <c r="F143" i="18" s="1"/>
  <c r="E138" i="18"/>
  <c r="G138" i="18" s="1"/>
  <c r="G41" i="18"/>
  <c r="D44" i="18"/>
  <c r="D40" i="18"/>
  <c r="AA152" i="18"/>
  <c r="AA148" i="18"/>
  <c r="H153" i="18"/>
  <c r="H149" i="18" s="1"/>
  <c r="H141" i="18"/>
  <c r="H137" i="18"/>
  <c r="H136" i="18" s="1"/>
  <c r="G40" i="18"/>
  <c r="F40" i="18"/>
  <c r="E39" i="18"/>
  <c r="E142" i="18"/>
  <c r="I154" i="18"/>
  <c r="I152" i="18" s="1"/>
  <c r="I141" i="18"/>
  <c r="S153" i="18"/>
  <c r="S149" i="18" s="1"/>
  <c r="S141" i="18"/>
  <c r="S137" i="18"/>
  <c r="S136" i="18" s="1"/>
  <c r="B39" i="18"/>
  <c r="T148" i="18"/>
  <c r="T152" i="18"/>
  <c r="K152" i="18"/>
  <c r="K148" i="18"/>
  <c r="G44" i="18"/>
  <c r="F42" i="18"/>
  <c r="D143" i="18"/>
  <c r="D154" i="18" s="1"/>
  <c r="D150" i="18" s="1"/>
  <c r="D138" i="18"/>
  <c r="O141" i="18"/>
  <c r="O137" i="18"/>
  <c r="O136" i="18" s="1"/>
  <c r="O153" i="18"/>
  <c r="O149" i="18" s="1"/>
  <c r="Q137" i="18"/>
  <c r="Q136" i="18" s="1"/>
  <c r="Q153" i="18"/>
  <c r="Q149" i="18" s="1"/>
  <c r="Q141" i="18"/>
  <c r="I150" i="18"/>
  <c r="I148" i="18" s="1"/>
  <c r="I136" i="18"/>
  <c r="B137" i="18"/>
  <c r="AE141" i="18"/>
  <c r="AE137" i="18"/>
  <c r="AE136" i="18" s="1"/>
  <c r="AE153" i="18"/>
  <c r="AE149" i="18" s="1"/>
  <c r="C142" i="18"/>
  <c r="C141" i="18" s="1"/>
  <c r="C39" i="18"/>
  <c r="B155" i="18"/>
  <c r="B151" i="18" s="1"/>
  <c r="B139" i="18"/>
  <c r="E155" i="18"/>
  <c r="G144" i="18"/>
  <c r="E139" i="18"/>
  <c r="F144" i="18"/>
  <c r="B60" i="19"/>
  <c r="F60" i="19" s="1"/>
  <c r="D118" i="21"/>
  <c r="D117" i="21" s="1"/>
  <c r="B141" i="18"/>
  <c r="B154" i="18"/>
  <c r="B138" i="18"/>
  <c r="F52" i="21"/>
  <c r="G52" i="21"/>
  <c r="D157" i="21"/>
  <c r="G157" i="21"/>
  <c r="F157" i="21"/>
  <c r="B77" i="19"/>
  <c r="F77" i="19" s="1"/>
  <c r="F63" i="19"/>
  <c r="B76" i="19"/>
  <c r="F62" i="19"/>
  <c r="G117" i="21"/>
  <c r="F154" i="21" l="1"/>
  <c r="F39" i="18"/>
  <c r="E74" i="19"/>
  <c r="G74" i="19" s="1"/>
  <c r="E153" i="21"/>
  <c r="G153" i="21" s="1"/>
  <c r="D154" i="21"/>
  <c r="D153" i="21" s="1"/>
  <c r="G154" i="21"/>
  <c r="G39" i="18"/>
  <c r="AC152" i="18"/>
  <c r="AC148" i="18"/>
  <c r="F158" i="21"/>
  <c r="H148" i="18"/>
  <c r="H152" i="18"/>
  <c r="E151" i="18"/>
  <c r="F155" i="18"/>
  <c r="G155" i="18"/>
  <c r="C153" i="18"/>
  <c r="C149" i="18" s="1"/>
  <c r="C137" i="18"/>
  <c r="C136" i="18" s="1"/>
  <c r="O148" i="18"/>
  <c r="O152" i="18"/>
  <c r="AE148" i="18"/>
  <c r="AE152" i="18"/>
  <c r="Q152" i="18"/>
  <c r="Q148" i="18"/>
  <c r="E153" i="18"/>
  <c r="E149" i="18" s="1"/>
  <c r="G142" i="18"/>
  <c r="E141" i="18"/>
  <c r="F141" i="18" s="1"/>
  <c r="E137" i="18"/>
  <c r="F142" i="18"/>
  <c r="G139" i="18"/>
  <c r="F139" i="18"/>
  <c r="S152" i="18"/>
  <c r="S148" i="18"/>
  <c r="D142" i="18"/>
  <c r="D39" i="18"/>
  <c r="E154" i="18"/>
  <c r="F154" i="18" s="1"/>
  <c r="G143" i="18"/>
  <c r="B150" i="18"/>
  <c r="B148" i="18" s="1"/>
  <c r="B152" i="18"/>
  <c r="B136" i="18"/>
  <c r="F138" i="18"/>
  <c r="F76" i="19"/>
  <c r="B74" i="19"/>
  <c r="F153" i="21" l="1"/>
  <c r="F149" i="18"/>
  <c r="G149" i="18"/>
  <c r="F74" i="19"/>
  <c r="D141" i="18"/>
  <c r="D153" i="18"/>
  <c r="D149" i="18" s="1"/>
  <c r="D137" i="18"/>
  <c r="D136" i="18" s="1"/>
  <c r="F153" i="18"/>
  <c r="G153" i="18"/>
  <c r="E152" i="18"/>
  <c r="G141" i="18"/>
  <c r="G151" i="18"/>
  <c r="F151" i="18"/>
  <c r="G154" i="18"/>
  <c r="E150" i="18"/>
  <c r="E136" i="18"/>
  <c r="F137" i="18"/>
  <c r="G137" i="18"/>
  <c r="C148" i="18"/>
  <c r="C152" i="18"/>
  <c r="AE115" i="17"/>
  <c r="AD115" i="17"/>
  <c r="AC115" i="17"/>
  <c r="AB115" i="17"/>
  <c r="AA115" i="17"/>
  <c r="Z115" i="17"/>
  <c r="Y115" i="17"/>
  <c r="X115" i="17"/>
  <c r="W115" i="17"/>
  <c r="V115" i="17"/>
  <c r="U115" i="17"/>
  <c r="T115" i="17"/>
  <c r="S115" i="17"/>
  <c r="R115" i="17"/>
  <c r="Q115" i="17"/>
  <c r="P115" i="17"/>
  <c r="O115" i="17"/>
  <c r="O126" i="17" s="1"/>
  <c r="N115" i="17"/>
  <c r="M115" i="17"/>
  <c r="L115" i="17"/>
  <c r="K115" i="17"/>
  <c r="K126" i="17" s="1"/>
  <c r="J115" i="17"/>
  <c r="I115" i="17"/>
  <c r="H115" i="17"/>
  <c r="AE114" i="17"/>
  <c r="AD114" i="17"/>
  <c r="AD125" i="17" s="1"/>
  <c r="AC114" i="17"/>
  <c r="AB114" i="17"/>
  <c r="AB125" i="17" s="1"/>
  <c r="AA114" i="17"/>
  <c r="Z114" i="17"/>
  <c r="Z125" i="17" s="1"/>
  <c r="Y114" i="17"/>
  <c r="X114" i="17"/>
  <c r="X125" i="17" s="1"/>
  <c r="W114" i="17"/>
  <c r="V114" i="17"/>
  <c r="V125" i="17" s="1"/>
  <c r="U114" i="17"/>
  <c r="T114" i="17"/>
  <c r="T125" i="17" s="1"/>
  <c r="S114" i="17"/>
  <c r="R114" i="17"/>
  <c r="R125" i="17" s="1"/>
  <c r="Q114" i="17"/>
  <c r="P114" i="17"/>
  <c r="P125" i="17" s="1"/>
  <c r="O114" i="17"/>
  <c r="N114" i="17"/>
  <c r="N125" i="17" s="1"/>
  <c r="M114" i="17"/>
  <c r="L114" i="17"/>
  <c r="L125" i="17" s="1"/>
  <c r="K114" i="17"/>
  <c r="J114" i="17"/>
  <c r="J125" i="17" s="1"/>
  <c r="I114" i="17"/>
  <c r="H114" i="17"/>
  <c r="H125" i="17" s="1"/>
  <c r="AE113" i="17"/>
  <c r="AE124" i="17" s="1"/>
  <c r="AD113" i="17"/>
  <c r="AC113" i="17"/>
  <c r="AB113" i="17"/>
  <c r="AA113" i="17"/>
  <c r="AA124" i="17" s="1"/>
  <c r="Z113" i="17"/>
  <c r="Y113" i="17"/>
  <c r="X113" i="17"/>
  <c r="W113" i="17"/>
  <c r="W124" i="17" s="1"/>
  <c r="V113" i="17"/>
  <c r="U113" i="17"/>
  <c r="T113" i="17"/>
  <c r="S113" i="17"/>
  <c r="S124" i="17" s="1"/>
  <c r="R113" i="17"/>
  <c r="Q113" i="17"/>
  <c r="Q124" i="17" s="1"/>
  <c r="P113" i="17"/>
  <c r="O113" i="17"/>
  <c r="O124" i="17" s="1"/>
  <c r="N113" i="17"/>
  <c r="M113" i="17"/>
  <c r="M124" i="17" s="1"/>
  <c r="L113" i="17"/>
  <c r="K113" i="17"/>
  <c r="K124" i="17" s="1"/>
  <c r="J113" i="17"/>
  <c r="I113" i="17"/>
  <c r="I124" i="17" s="1"/>
  <c r="H113" i="17"/>
  <c r="AE112" i="17"/>
  <c r="AD112" i="17"/>
  <c r="AC112" i="17"/>
  <c r="AB112" i="17"/>
  <c r="AA112" i="17"/>
  <c r="Z112" i="17"/>
  <c r="Y112" i="17"/>
  <c r="X112" i="17"/>
  <c r="W112" i="17"/>
  <c r="V112" i="17"/>
  <c r="U112" i="17"/>
  <c r="T112" i="17"/>
  <c r="T111" i="17" s="1"/>
  <c r="S112" i="17"/>
  <c r="R112" i="17"/>
  <c r="Q112" i="17"/>
  <c r="P112" i="17"/>
  <c r="O112" i="17"/>
  <c r="N112" i="17"/>
  <c r="M112" i="17"/>
  <c r="L112" i="17"/>
  <c r="K112" i="17"/>
  <c r="J112" i="17"/>
  <c r="I112" i="17"/>
  <c r="H112" i="17"/>
  <c r="S126" i="17"/>
  <c r="X105" i="17"/>
  <c r="W105" i="17"/>
  <c r="S105" i="17"/>
  <c r="P105" i="17"/>
  <c r="O105" i="17"/>
  <c r="K105" i="17"/>
  <c r="H105" i="17"/>
  <c r="AE105" i="17"/>
  <c r="AA105" i="17"/>
  <c r="E104" i="17"/>
  <c r="D104" i="17" s="1"/>
  <c r="B104" i="17"/>
  <c r="AG104" i="17" s="1"/>
  <c r="E103" i="17"/>
  <c r="B103" i="17"/>
  <c r="D102" i="17"/>
  <c r="B102" i="17"/>
  <c r="E101" i="17"/>
  <c r="B101" i="17"/>
  <c r="AG101" i="17" s="1"/>
  <c r="AE100" i="17"/>
  <c r="AC100" i="17"/>
  <c r="AB100" i="17"/>
  <c r="AA100" i="17"/>
  <c r="Z100" i="17"/>
  <c r="Y100" i="17"/>
  <c r="X100" i="17"/>
  <c r="W100" i="17"/>
  <c r="V100" i="17"/>
  <c r="U100" i="17"/>
  <c r="T100" i="17"/>
  <c r="S100" i="17"/>
  <c r="R100" i="17"/>
  <c r="Q100" i="17"/>
  <c r="P100" i="17"/>
  <c r="O100" i="17"/>
  <c r="N100" i="17"/>
  <c r="M100" i="17"/>
  <c r="L100" i="17"/>
  <c r="K100" i="17"/>
  <c r="J100" i="17"/>
  <c r="I100" i="17"/>
  <c r="H100" i="17"/>
  <c r="AG99" i="17"/>
  <c r="E98" i="17"/>
  <c r="D98" i="17" s="1"/>
  <c r="B98" i="17"/>
  <c r="AG98" i="17" s="1"/>
  <c r="E97" i="17"/>
  <c r="B97" i="17"/>
  <c r="AG97" i="17" s="1"/>
  <c r="E96" i="17"/>
  <c r="D96" i="17" s="1"/>
  <c r="B96" i="17"/>
  <c r="E95" i="17"/>
  <c r="B95" i="17"/>
  <c r="AG95" i="17" s="1"/>
  <c r="AE94" i="17"/>
  <c r="AD94" i="17"/>
  <c r="AC94" i="17"/>
  <c r="AB94" i="17"/>
  <c r="AA94" i="17"/>
  <c r="Z94" i="17"/>
  <c r="Y94" i="17"/>
  <c r="X94" i="17"/>
  <c r="W94" i="17"/>
  <c r="V94" i="17"/>
  <c r="U94" i="17"/>
  <c r="T94" i="17"/>
  <c r="S94" i="17"/>
  <c r="R94" i="17"/>
  <c r="Q94" i="17"/>
  <c r="P94" i="17"/>
  <c r="O94" i="17"/>
  <c r="N94" i="17"/>
  <c r="M94" i="17"/>
  <c r="L94" i="17"/>
  <c r="K94" i="17"/>
  <c r="J94" i="17"/>
  <c r="I94" i="17"/>
  <c r="H94" i="17"/>
  <c r="AG93" i="17"/>
  <c r="E92" i="17"/>
  <c r="D92" i="17" s="1"/>
  <c r="B92" i="17"/>
  <c r="AG92" i="17" s="1"/>
  <c r="E91" i="17"/>
  <c r="B91" i="17"/>
  <c r="AG91" i="17" s="1"/>
  <c r="E90" i="17"/>
  <c r="D90" i="17" s="1"/>
  <c r="B90" i="17"/>
  <c r="E89" i="17"/>
  <c r="B89" i="17"/>
  <c r="AG89" i="17" s="1"/>
  <c r="AE88" i="17"/>
  <c r="AD88" i="17"/>
  <c r="AC88" i="17"/>
  <c r="AB88" i="17"/>
  <c r="AA88" i="17"/>
  <c r="Z88" i="17"/>
  <c r="Y88" i="17"/>
  <c r="X88" i="17"/>
  <c r="W88" i="17"/>
  <c r="V88" i="17"/>
  <c r="U88" i="17"/>
  <c r="T88" i="17"/>
  <c r="S88" i="17"/>
  <c r="R88" i="17"/>
  <c r="Q88" i="17"/>
  <c r="P88" i="17"/>
  <c r="O88" i="17"/>
  <c r="N88" i="17"/>
  <c r="M88" i="17"/>
  <c r="L88" i="17"/>
  <c r="K88" i="17"/>
  <c r="J88" i="17"/>
  <c r="I88" i="17"/>
  <c r="H88" i="17"/>
  <c r="AG87" i="17"/>
  <c r="AG86" i="17"/>
  <c r="AG85" i="17"/>
  <c r="E84" i="17"/>
  <c r="D84" i="17" s="1"/>
  <c r="B84" i="17"/>
  <c r="AG84" i="17" s="1"/>
  <c r="E83" i="17"/>
  <c r="B83" i="17"/>
  <c r="AG83" i="17" s="1"/>
  <c r="E82" i="17"/>
  <c r="D82" i="17" s="1"/>
  <c r="B82" i="17"/>
  <c r="AG82" i="17" s="1"/>
  <c r="E81" i="17"/>
  <c r="B81" i="17"/>
  <c r="AG81" i="17" s="1"/>
  <c r="AE80" i="17"/>
  <c r="AD80" i="17"/>
  <c r="AC80" i="17"/>
  <c r="AB80" i="17"/>
  <c r="AA80" i="17"/>
  <c r="Z80" i="17"/>
  <c r="Y80" i="17"/>
  <c r="X80" i="17"/>
  <c r="W80" i="17"/>
  <c r="V80" i="17"/>
  <c r="U80" i="17"/>
  <c r="T80" i="17"/>
  <c r="S80" i="17"/>
  <c r="R80" i="17"/>
  <c r="Q80" i="17"/>
  <c r="P80" i="17"/>
  <c r="O80" i="17"/>
  <c r="N80" i="17"/>
  <c r="M80" i="17"/>
  <c r="L80" i="17"/>
  <c r="K80" i="17"/>
  <c r="J80" i="17"/>
  <c r="I80" i="17"/>
  <c r="H80" i="17"/>
  <c r="AG79" i="17"/>
  <c r="E78" i="17"/>
  <c r="D78" i="17" s="1"/>
  <c r="B78" i="17"/>
  <c r="E77" i="17"/>
  <c r="B77" i="17"/>
  <c r="AG77" i="17" s="1"/>
  <c r="E76" i="17"/>
  <c r="B76" i="17"/>
  <c r="AG76" i="17" s="1"/>
  <c r="E75" i="17"/>
  <c r="B75" i="17"/>
  <c r="AG75" i="17" s="1"/>
  <c r="AE74" i="17"/>
  <c r="AD74" i="17"/>
  <c r="AC74" i="17"/>
  <c r="AB74" i="17"/>
  <c r="AA74" i="17"/>
  <c r="Z74" i="17"/>
  <c r="Y74" i="17"/>
  <c r="X74" i="17"/>
  <c r="W74" i="17"/>
  <c r="V74" i="17"/>
  <c r="U74" i="17"/>
  <c r="T74" i="17"/>
  <c r="S74" i="17"/>
  <c r="R74" i="17"/>
  <c r="Q74" i="17"/>
  <c r="P74" i="17"/>
  <c r="O74" i="17"/>
  <c r="N74" i="17"/>
  <c r="M74" i="17"/>
  <c r="L74" i="17"/>
  <c r="K74" i="17"/>
  <c r="J74" i="17"/>
  <c r="I74" i="17"/>
  <c r="H74" i="17"/>
  <c r="AG73" i="17"/>
  <c r="E72" i="17"/>
  <c r="D72" i="17" s="1"/>
  <c r="B72" i="17"/>
  <c r="AG72" i="17" s="1"/>
  <c r="E71" i="17"/>
  <c r="B71" i="17"/>
  <c r="AG71" i="17" s="1"/>
  <c r="E70" i="17"/>
  <c r="D70" i="17" s="1"/>
  <c r="B70" i="17"/>
  <c r="AG70" i="17" s="1"/>
  <c r="E69" i="17"/>
  <c r="B69" i="17"/>
  <c r="AG69" i="17" s="1"/>
  <c r="AE68" i="17"/>
  <c r="AD68" i="17"/>
  <c r="AC68" i="17"/>
  <c r="AB68" i="17"/>
  <c r="AA68" i="17"/>
  <c r="Z68" i="17"/>
  <c r="Y68" i="17"/>
  <c r="X68" i="17"/>
  <c r="W68" i="17"/>
  <c r="V68" i="17"/>
  <c r="U68" i="17"/>
  <c r="T68" i="17"/>
  <c r="S68" i="17"/>
  <c r="R68" i="17"/>
  <c r="Q68" i="17"/>
  <c r="P68" i="17"/>
  <c r="O68" i="17"/>
  <c r="N68" i="17"/>
  <c r="M68" i="17"/>
  <c r="L68" i="17"/>
  <c r="K68" i="17"/>
  <c r="J68" i="17"/>
  <c r="I68" i="17"/>
  <c r="H68" i="17"/>
  <c r="AG67" i="17"/>
  <c r="E66" i="17"/>
  <c r="D66" i="17" s="1"/>
  <c r="B66" i="17"/>
  <c r="E64" i="17"/>
  <c r="B64" i="17"/>
  <c r="AG64" i="17" s="1"/>
  <c r="E63" i="17"/>
  <c r="D63" i="17" s="1"/>
  <c r="B63" i="17"/>
  <c r="E62" i="17"/>
  <c r="B62" i="17"/>
  <c r="AG62" i="17" s="1"/>
  <c r="AE61" i="17"/>
  <c r="AD61" i="17"/>
  <c r="AC61" i="17"/>
  <c r="AB61" i="17"/>
  <c r="AA61" i="17"/>
  <c r="Z61" i="17"/>
  <c r="Y61" i="17"/>
  <c r="X61" i="17"/>
  <c r="W61" i="17"/>
  <c r="V61" i="17"/>
  <c r="U61" i="17"/>
  <c r="T61" i="17"/>
  <c r="S61" i="17"/>
  <c r="R61" i="17"/>
  <c r="Q61" i="17"/>
  <c r="P61" i="17"/>
  <c r="O61" i="17"/>
  <c r="N61" i="17"/>
  <c r="M61" i="17"/>
  <c r="L61" i="17"/>
  <c r="K61" i="17"/>
  <c r="J61" i="17"/>
  <c r="I61" i="17"/>
  <c r="H61" i="17"/>
  <c r="AG60" i="17"/>
  <c r="AG59" i="17"/>
  <c r="AG58" i="17"/>
  <c r="E50" i="17"/>
  <c r="B50" i="17"/>
  <c r="E49" i="17"/>
  <c r="B49" i="17"/>
  <c r="AG49" i="17" s="1"/>
  <c r="E48" i="17"/>
  <c r="D48" i="17" s="1"/>
  <c r="B48" i="17"/>
  <c r="E47" i="17"/>
  <c r="B47" i="17"/>
  <c r="AG47" i="17" s="1"/>
  <c r="AE46" i="17"/>
  <c r="AD46" i="17"/>
  <c r="AC46" i="17"/>
  <c r="AB46" i="17"/>
  <c r="AA46" i="17"/>
  <c r="Z46" i="17"/>
  <c r="Y46" i="17"/>
  <c r="X46" i="17"/>
  <c r="W46" i="17"/>
  <c r="V46" i="17"/>
  <c r="U46" i="17"/>
  <c r="T46" i="17"/>
  <c r="S46" i="17"/>
  <c r="R46" i="17"/>
  <c r="Q46" i="17"/>
  <c r="P46" i="17"/>
  <c r="O46" i="17"/>
  <c r="N46" i="17"/>
  <c r="M46" i="17"/>
  <c r="L46" i="17"/>
  <c r="K46" i="17"/>
  <c r="J46" i="17"/>
  <c r="I46" i="17"/>
  <c r="H46" i="17"/>
  <c r="AG45" i="17"/>
  <c r="E44" i="17"/>
  <c r="D44" i="17" s="1"/>
  <c r="B44" i="17"/>
  <c r="AG44" i="17" s="1"/>
  <c r="E42" i="17"/>
  <c r="B42" i="17"/>
  <c r="AG42" i="17" s="1"/>
  <c r="E41" i="17"/>
  <c r="B41" i="17"/>
  <c r="AG41" i="17" s="1"/>
  <c r="E40" i="17"/>
  <c r="B40" i="17"/>
  <c r="AG40" i="17" s="1"/>
  <c r="AE39" i="17"/>
  <c r="AD39" i="17"/>
  <c r="AC39" i="17"/>
  <c r="AB39" i="17"/>
  <c r="AA39" i="17"/>
  <c r="Z39" i="17"/>
  <c r="Y39" i="17"/>
  <c r="X39" i="17"/>
  <c r="W39" i="17"/>
  <c r="V39" i="17"/>
  <c r="U39" i="17"/>
  <c r="T39" i="17"/>
  <c r="S39" i="17"/>
  <c r="R39" i="17"/>
  <c r="Q39" i="17"/>
  <c r="P39" i="17"/>
  <c r="O39" i="17"/>
  <c r="N39" i="17"/>
  <c r="M39" i="17"/>
  <c r="L39" i="17"/>
  <c r="K39" i="17"/>
  <c r="J39" i="17"/>
  <c r="I39" i="17"/>
  <c r="H39" i="17"/>
  <c r="AG38" i="17"/>
  <c r="E37" i="17"/>
  <c r="D37" i="17" s="1"/>
  <c r="B37" i="17"/>
  <c r="E35" i="17"/>
  <c r="B35" i="17"/>
  <c r="AG35" i="17" s="1"/>
  <c r="E34" i="17"/>
  <c r="B34" i="17"/>
  <c r="E33" i="17"/>
  <c r="B33" i="17"/>
  <c r="AG33" i="17" s="1"/>
  <c r="AE32" i="17"/>
  <c r="AD32" i="17"/>
  <c r="AC32" i="17"/>
  <c r="AB32" i="17"/>
  <c r="AA32" i="17"/>
  <c r="Z32" i="17"/>
  <c r="Y32" i="17"/>
  <c r="X32" i="17"/>
  <c r="W32" i="17"/>
  <c r="V32" i="17"/>
  <c r="U32" i="17"/>
  <c r="T32" i="17"/>
  <c r="S32" i="17"/>
  <c r="R32" i="17"/>
  <c r="Q32" i="17"/>
  <c r="P32" i="17"/>
  <c r="O32" i="17"/>
  <c r="N32" i="17"/>
  <c r="M32" i="17"/>
  <c r="L32" i="17"/>
  <c r="K32" i="17"/>
  <c r="J32" i="17"/>
  <c r="I32" i="17"/>
  <c r="H32" i="17"/>
  <c r="AG31" i="17"/>
  <c r="E30" i="17"/>
  <c r="B30" i="17"/>
  <c r="E28" i="17"/>
  <c r="B28" i="17"/>
  <c r="E27" i="17"/>
  <c r="D27" i="17" s="1"/>
  <c r="B27" i="17"/>
  <c r="E26" i="17"/>
  <c r="B26" i="17"/>
  <c r="AE25" i="17"/>
  <c r="AD25" i="17"/>
  <c r="AC25" i="17"/>
  <c r="AB25" i="17"/>
  <c r="AA25" i="17"/>
  <c r="Z25" i="17"/>
  <c r="Y25" i="17"/>
  <c r="X25" i="17"/>
  <c r="W25" i="17"/>
  <c r="V25" i="17"/>
  <c r="U25" i="17"/>
  <c r="T25" i="17"/>
  <c r="S25" i="17"/>
  <c r="R25" i="17"/>
  <c r="Q25" i="17"/>
  <c r="P25" i="17"/>
  <c r="O25" i="17"/>
  <c r="N25" i="17"/>
  <c r="M25" i="17"/>
  <c r="L25" i="17"/>
  <c r="K25" i="17"/>
  <c r="J25" i="17"/>
  <c r="I25" i="17"/>
  <c r="H25" i="17"/>
  <c r="AG24" i="17"/>
  <c r="AG23" i="17"/>
  <c r="E22" i="17"/>
  <c r="C22" i="17"/>
  <c r="B22" i="17"/>
  <c r="AG22" i="17" s="1"/>
  <c r="E21" i="17"/>
  <c r="D21" i="17" s="1"/>
  <c r="C21" i="17"/>
  <c r="B21" i="17"/>
  <c r="AG21" i="17" s="1"/>
  <c r="E20" i="17"/>
  <c r="C20" i="17"/>
  <c r="B20" i="17"/>
  <c r="AG20" i="17" s="1"/>
  <c r="E19" i="17"/>
  <c r="D19" i="17" s="1"/>
  <c r="C19" i="17"/>
  <c r="B19" i="17"/>
  <c r="AE18" i="17"/>
  <c r="AD18" i="17"/>
  <c r="AC18" i="17"/>
  <c r="AB18" i="17"/>
  <c r="AA18" i="17"/>
  <c r="Z18" i="17"/>
  <c r="Y18" i="17"/>
  <c r="X18" i="17"/>
  <c r="W18" i="17"/>
  <c r="V18" i="17"/>
  <c r="U18" i="17"/>
  <c r="T18" i="17"/>
  <c r="S18" i="17"/>
  <c r="R18" i="17"/>
  <c r="Q18" i="17"/>
  <c r="P18" i="17"/>
  <c r="O18" i="17"/>
  <c r="N18" i="17"/>
  <c r="M18" i="17"/>
  <c r="L18" i="17"/>
  <c r="K18" i="17"/>
  <c r="J18" i="17"/>
  <c r="I18" i="17"/>
  <c r="H18" i="17"/>
  <c r="AG17" i="17"/>
  <c r="E16" i="17"/>
  <c r="C16" i="17"/>
  <c r="B16" i="17"/>
  <c r="E15" i="17"/>
  <c r="D15" i="17" s="1"/>
  <c r="C15" i="17"/>
  <c r="B15" i="17"/>
  <c r="E14" i="17"/>
  <c r="C14" i="17"/>
  <c r="B14" i="17"/>
  <c r="E13" i="17"/>
  <c r="B13" i="17"/>
  <c r="AE12" i="17"/>
  <c r="AD12" i="17"/>
  <c r="AC12" i="17"/>
  <c r="AB12" i="17"/>
  <c r="AA12" i="17"/>
  <c r="Z12" i="17"/>
  <c r="Y12" i="17"/>
  <c r="X12" i="17"/>
  <c r="W12" i="17"/>
  <c r="V12" i="17"/>
  <c r="U12" i="17"/>
  <c r="T12" i="17"/>
  <c r="S12" i="17"/>
  <c r="R12" i="17"/>
  <c r="Q12" i="17"/>
  <c r="P12" i="17"/>
  <c r="O12" i="17"/>
  <c r="N12" i="17"/>
  <c r="M12" i="17"/>
  <c r="L12" i="17"/>
  <c r="K12" i="17"/>
  <c r="J12" i="17"/>
  <c r="I12" i="17"/>
  <c r="H12" i="17"/>
  <c r="AG11" i="17"/>
  <c r="G86" i="15"/>
  <c r="AE31" i="15"/>
  <c r="AD31" i="15"/>
  <c r="AC31" i="15"/>
  <c r="AB31" i="15"/>
  <c r="AA31" i="15"/>
  <c r="Z31" i="15"/>
  <c r="Y31" i="15"/>
  <c r="X31" i="15"/>
  <c r="W31" i="15"/>
  <c r="V31" i="15"/>
  <c r="U31" i="15"/>
  <c r="T31" i="15"/>
  <c r="S31" i="15"/>
  <c r="R31" i="15"/>
  <c r="Q31" i="15"/>
  <c r="P31" i="15"/>
  <c r="O31" i="15"/>
  <c r="N31" i="15"/>
  <c r="M31" i="15"/>
  <c r="L31" i="15"/>
  <c r="K31" i="15"/>
  <c r="J31" i="15"/>
  <c r="I31" i="15"/>
  <c r="H31" i="15"/>
  <c r="AE29" i="15"/>
  <c r="AD29" i="15"/>
  <c r="AC29" i="15"/>
  <c r="AB29" i="15"/>
  <c r="AA29" i="15"/>
  <c r="Z29" i="15"/>
  <c r="Y29" i="15"/>
  <c r="X29" i="15"/>
  <c r="W29" i="15"/>
  <c r="V29" i="15"/>
  <c r="U29" i="15"/>
  <c r="T29" i="15"/>
  <c r="S29" i="15"/>
  <c r="R29" i="15"/>
  <c r="Q29" i="15"/>
  <c r="P29" i="15"/>
  <c r="O29" i="15"/>
  <c r="N29" i="15"/>
  <c r="M29" i="15"/>
  <c r="L29" i="15"/>
  <c r="K29" i="15"/>
  <c r="J29" i="15"/>
  <c r="I29" i="15"/>
  <c r="H29" i="15"/>
  <c r="E29" i="15"/>
  <c r="AE28" i="15"/>
  <c r="AD28" i="15"/>
  <c r="AC28" i="15"/>
  <c r="AB28" i="15"/>
  <c r="AA28" i="15"/>
  <c r="Z28" i="15"/>
  <c r="Y28" i="15"/>
  <c r="X28" i="15"/>
  <c r="W28" i="15"/>
  <c r="V28" i="15"/>
  <c r="U28" i="15"/>
  <c r="T28" i="15"/>
  <c r="S28" i="15"/>
  <c r="R28" i="15"/>
  <c r="Q28" i="15"/>
  <c r="P28" i="15"/>
  <c r="O28" i="15"/>
  <c r="N28" i="15"/>
  <c r="M28" i="15"/>
  <c r="L28" i="15"/>
  <c r="K28" i="15"/>
  <c r="J28" i="15"/>
  <c r="I28" i="15"/>
  <c r="H28" i="15"/>
  <c r="E28" i="15"/>
  <c r="AE26" i="15"/>
  <c r="AD26" i="15"/>
  <c r="AC26" i="15"/>
  <c r="AB26" i="15"/>
  <c r="AA26" i="15"/>
  <c r="Z26" i="15"/>
  <c r="Y26" i="15"/>
  <c r="X26" i="15"/>
  <c r="W26" i="15"/>
  <c r="V26" i="15"/>
  <c r="U26" i="15"/>
  <c r="T26" i="15"/>
  <c r="S26" i="15"/>
  <c r="R26" i="15"/>
  <c r="Q26" i="15"/>
  <c r="P26" i="15"/>
  <c r="O26" i="15"/>
  <c r="N26" i="15"/>
  <c r="M26" i="15"/>
  <c r="L26" i="15"/>
  <c r="K26" i="15"/>
  <c r="J26" i="15"/>
  <c r="H26" i="15"/>
  <c r="AE25" i="15"/>
  <c r="AE30" i="15" s="1"/>
  <c r="AD25" i="15"/>
  <c r="AD30" i="15" s="1"/>
  <c r="AC25" i="15"/>
  <c r="AB25" i="15"/>
  <c r="AB30" i="15" s="1"/>
  <c r="AA25" i="15"/>
  <c r="AA30" i="15" s="1"/>
  <c r="Z25" i="15"/>
  <c r="Z30" i="15" s="1"/>
  <c r="Y25" i="15"/>
  <c r="Y30" i="15" s="1"/>
  <c r="X25" i="15"/>
  <c r="X30" i="15" s="1"/>
  <c r="W25" i="15"/>
  <c r="W30" i="15" s="1"/>
  <c r="V25" i="15"/>
  <c r="V30" i="15" s="1"/>
  <c r="U25" i="15"/>
  <c r="U30" i="15" s="1"/>
  <c r="T25" i="15"/>
  <c r="T30" i="15" s="1"/>
  <c r="S25" i="15"/>
  <c r="S30" i="15" s="1"/>
  <c r="Q25" i="15"/>
  <c r="Q30" i="15" s="1"/>
  <c r="P25" i="15"/>
  <c r="P30" i="15" s="1"/>
  <c r="O25" i="15"/>
  <c r="O30" i="15" s="1"/>
  <c r="N25" i="15"/>
  <c r="N30" i="15" s="1"/>
  <c r="M25" i="15"/>
  <c r="M30" i="15" s="1"/>
  <c r="L25" i="15"/>
  <c r="L30" i="15" s="1"/>
  <c r="K25" i="15"/>
  <c r="K30" i="15" s="1"/>
  <c r="J25" i="15"/>
  <c r="J30" i="15" s="1"/>
  <c r="I25" i="15"/>
  <c r="I30" i="15" s="1"/>
  <c r="H25" i="15"/>
  <c r="H30" i="15" s="1"/>
  <c r="D21" i="15"/>
  <c r="C21" i="15"/>
  <c r="AH21" i="15" s="1"/>
  <c r="B21" i="15"/>
  <c r="AG21" i="15" s="1"/>
  <c r="D19" i="15"/>
  <c r="C19" i="15"/>
  <c r="AH19" i="15" s="1"/>
  <c r="B19" i="15"/>
  <c r="AG19" i="15" s="1"/>
  <c r="D18" i="15"/>
  <c r="C18" i="15"/>
  <c r="AH18" i="15" s="1"/>
  <c r="B18" i="15"/>
  <c r="AG18" i="15" s="1"/>
  <c r="AD16" i="15"/>
  <c r="AB16" i="15"/>
  <c r="Z16" i="15"/>
  <c r="X16" i="15"/>
  <c r="V16" i="15"/>
  <c r="T16" i="15"/>
  <c r="R16" i="15"/>
  <c r="P16" i="15"/>
  <c r="N16" i="15"/>
  <c r="L16" i="15"/>
  <c r="J17" i="15"/>
  <c r="J16" i="15" s="1"/>
  <c r="I16" i="15"/>
  <c r="H16" i="15"/>
  <c r="E17" i="15"/>
  <c r="E16" i="15" s="1"/>
  <c r="D15" i="15"/>
  <c r="B15" i="15"/>
  <c r="D13" i="15"/>
  <c r="C13" i="15"/>
  <c r="B13" i="15"/>
  <c r="D12" i="15"/>
  <c r="C12" i="15"/>
  <c r="B12" i="15"/>
  <c r="AG12" i="15" s="1"/>
  <c r="AD10" i="15"/>
  <c r="AB10" i="15"/>
  <c r="Z10" i="15"/>
  <c r="X10" i="15"/>
  <c r="V10" i="15"/>
  <c r="T10" i="15"/>
  <c r="R10" i="15"/>
  <c r="P10" i="15"/>
  <c r="N10" i="15"/>
  <c r="L10" i="15"/>
  <c r="J10" i="15"/>
  <c r="I10" i="15"/>
  <c r="AG364" i="14"/>
  <c r="E363" i="14"/>
  <c r="AG363" i="14"/>
  <c r="E362" i="14"/>
  <c r="D362" i="14" s="1"/>
  <c r="C362" i="14"/>
  <c r="C350" i="14" s="1"/>
  <c r="B362" i="14"/>
  <c r="AG362" i="14" s="1"/>
  <c r="E361" i="14"/>
  <c r="C361" i="14"/>
  <c r="B361" i="14"/>
  <c r="AG361" i="14" s="1"/>
  <c r="AE360" i="14"/>
  <c r="AD360" i="14"/>
  <c r="AC360" i="14"/>
  <c r="AB360" i="14"/>
  <c r="AA360" i="14"/>
  <c r="Z360" i="14"/>
  <c r="Y360" i="14"/>
  <c r="X360" i="14"/>
  <c r="W360" i="14"/>
  <c r="V360" i="14"/>
  <c r="U360" i="14"/>
  <c r="T360" i="14"/>
  <c r="S360" i="14"/>
  <c r="R360" i="14"/>
  <c r="Q360" i="14"/>
  <c r="P360" i="14"/>
  <c r="O360" i="14"/>
  <c r="N360" i="14"/>
  <c r="M360" i="14"/>
  <c r="L360" i="14"/>
  <c r="K360" i="14"/>
  <c r="J360" i="14"/>
  <c r="I360" i="14"/>
  <c r="H360" i="14"/>
  <c r="AG359" i="14"/>
  <c r="AG358" i="14"/>
  <c r="E357" i="14"/>
  <c r="C357" i="14"/>
  <c r="B357" i="14"/>
  <c r="AG357" i="14" s="1"/>
  <c r="E356" i="14"/>
  <c r="D356" i="14" s="1"/>
  <c r="B356" i="14"/>
  <c r="E355" i="14"/>
  <c r="C355" i="14"/>
  <c r="AG355" i="14"/>
  <c r="AE354" i="14"/>
  <c r="AD354" i="14"/>
  <c r="AC354" i="14"/>
  <c r="AB354" i="14"/>
  <c r="AA354" i="14"/>
  <c r="Z354" i="14"/>
  <c r="Y354" i="14"/>
  <c r="X354" i="14"/>
  <c r="W354" i="14"/>
  <c r="V354" i="14"/>
  <c r="U354" i="14"/>
  <c r="T354" i="14"/>
  <c r="S354" i="14"/>
  <c r="R354" i="14"/>
  <c r="Q354" i="14"/>
  <c r="P354" i="14"/>
  <c r="O354" i="14"/>
  <c r="N354" i="14"/>
  <c r="M354" i="14"/>
  <c r="L354" i="14"/>
  <c r="K354" i="14"/>
  <c r="J354" i="14"/>
  <c r="I354" i="14"/>
  <c r="H354" i="14"/>
  <c r="AG353" i="14"/>
  <c r="AE352" i="14"/>
  <c r="AD352" i="14"/>
  <c r="AC352" i="14"/>
  <c r="AB352" i="14"/>
  <c r="AA352" i="14"/>
  <c r="Z352" i="14"/>
  <c r="Y352" i="14"/>
  <c r="X352" i="14"/>
  <c r="W352" i="14"/>
  <c r="V352" i="14"/>
  <c r="U352" i="14"/>
  <c r="T352" i="14"/>
  <c r="S352" i="14"/>
  <c r="R352" i="14"/>
  <c r="Q352" i="14"/>
  <c r="P352" i="14"/>
  <c r="O352" i="14"/>
  <c r="N352" i="14"/>
  <c r="M352" i="14"/>
  <c r="L352" i="14"/>
  <c r="K352" i="14"/>
  <c r="J352" i="14"/>
  <c r="I352" i="14"/>
  <c r="H352" i="14"/>
  <c r="E352" i="14"/>
  <c r="D352" i="14"/>
  <c r="C352" i="14"/>
  <c r="B352" i="14"/>
  <c r="AE351" i="14"/>
  <c r="AD351" i="14"/>
  <c r="AC351" i="14"/>
  <c r="AB351" i="14"/>
  <c r="AA351" i="14"/>
  <c r="Z351" i="14"/>
  <c r="Y351" i="14"/>
  <c r="X351" i="14"/>
  <c r="W351" i="14"/>
  <c r="V351" i="14"/>
  <c r="U351" i="14"/>
  <c r="T351" i="14"/>
  <c r="S351" i="14"/>
  <c r="R351" i="14"/>
  <c r="Q351" i="14"/>
  <c r="P351" i="14"/>
  <c r="O351" i="14"/>
  <c r="N351" i="14"/>
  <c r="M351" i="14"/>
  <c r="L351" i="14"/>
  <c r="K351" i="14"/>
  <c r="J351" i="14"/>
  <c r="I351" i="14"/>
  <c r="H351" i="14"/>
  <c r="AE350" i="14"/>
  <c r="AD350" i="14"/>
  <c r="AC350" i="14"/>
  <c r="AB350" i="14"/>
  <c r="AA350" i="14"/>
  <c r="Z350" i="14"/>
  <c r="Y350" i="14"/>
  <c r="X350" i="14"/>
  <c r="W350" i="14"/>
  <c r="V350" i="14"/>
  <c r="U350" i="14"/>
  <c r="T350" i="14"/>
  <c r="S350" i="14"/>
  <c r="R350" i="14"/>
  <c r="Q350" i="14"/>
  <c r="P350" i="14"/>
  <c r="O350" i="14"/>
  <c r="N350" i="14"/>
  <c r="M350" i="14"/>
  <c r="L350" i="14"/>
  <c r="K350" i="14"/>
  <c r="J350" i="14"/>
  <c r="I350" i="14"/>
  <c r="H350" i="14"/>
  <c r="AE349" i="14"/>
  <c r="AD349" i="14"/>
  <c r="AC349" i="14"/>
  <c r="AB349" i="14"/>
  <c r="AA349" i="14"/>
  <c r="Z349" i="14"/>
  <c r="Y349" i="14"/>
  <c r="X349" i="14"/>
  <c r="W349" i="14"/>
  <c r="V349" i="14"/>
  <c r="U349" i="14"/>
  <c r="T349" i="14"/>
  <c r="S349" i="14"/>
  <c r="R349" i="14"/>
  <c r="Q349" i="14"/>
  <c r="P349" i="14"/>
  <c r="O349" i="14"/>
  <c r="N349" i="14"/>
  <c r="M349" i="14"/>
  <c r="L349" i="14"/>
  <c r="K349" i="14"/>
  <c r="J349" i="14"/>
  <c r="I349" i="14"/>
  <c r="H349" i="14"/>
  <c r="AG347" i="14"/>
  <c r="AG346" i="14"/>
  <c r="E345" i="14"/>
  <c r="C345" i="14"/>
  <c r="B345" i="14"/>
  <c r="AG345" i="14" s="1"/>
  <c r="B344" i="14"/>
  <c r="AG344" i="14" s="1"/>
  <c r="E343" i="14"/>
  <c r="C343" i="14"/>
  <c r="B343" i="14"/>
  <c r="AG343" i="14" s="1"/>
  <c r="AE342" i="14"/>
  <c r="AD342" i="14"/>
  <c r="AC342" i="14"/>
  <c r="AB342" i="14"/>
  <c r="AA342" i="14"/>
  <c r="Z342" i="14"/>
  <c r="Y342" i="14"/>
  <c r="X342" i="14"/>
  <c r="W342" i="14"/>
  <c r="V342" i="14"/>
  <c r="U342" i="14"/>
  <c r="T342" i="14"/>
  <c r="S342" i="14"/>
  <c r="R342" i="14"/>
  <c r="Q342" i="14"/>
  <c r="P342" i="14"/>
  <c r="O342" i="14"/>
  <c r="N342" i="14"/>
  <c r="M342" i="14"/>
  <c r="L342" i="14"/>
  <c r="K342" i="14"/>
  <c r="J342" i="14"/>
  <c r="I342" i="14"/>
  <c r="H342" i="14"/>
  <c r="AG341" i="14"/>
  <c r="AG340" i="14"/>
  <c r="B339" i="14"/>
  <c r="AG339" i="14" s="1"/>
  <c r="E338" i="14"/>
  <c r="D338" i="14" s="1"/>
  <c r="C338" i="14"/>
  <c r="B338" i="14"/>
  <c r="AG338" i="14" s="1"/>
  <c r="E337" i="14"/>
  <c r="C337" i="14"/>
  <c r="B337" i="14"/>
  <c r="AG337" i="14" s="1"/>
  <c r="AE336" i="14"/>
  <c r="AD336" i="14"/>
  <c r="AC336" i="14"/>
  <c r="AB336" i="14"/>
  <c r="AA336" i="14"/>
  <c r="Z336" i="14"/>
  <c r="Y336" i="14"/>
  <c r="X336" i="14"/>
  <c r="W336" i="14"/>
  <c r="V336" i="14"/>
  <c r="U336" i="14"/>
  <c r="T336" i="14"/>
  <c r="S336" i="14"/>
  <c r="R336" i="14"/>
  <c r="Q336" i="14"/>
  <c r="P336" i="14"/>
  <c r="O336" i="14"/>
  <c r="N336" i="14"/>
  <c r="M336" i="14"/>
  <c r="L336" i="14"/>
  <c r="K336" i="14"/>
  <c r="J336" i="14"/>
  <c r="I336" i="14"/>
  <c r="H336" i="14"/>
  <c r="AG335" i="14"/>
  <c r="AG334" i="14"/>
  <c r="B333" i="14"/>
  <c r="AG333" i="14" s="1"/>
  <c r="D332" i="14"/>
  <c r="B332" i="14"/>
  <c r="AG332" i="14" s="1"/>
  <c r="B331" i="14"/>
  <c r="AG331" i="14" s="1"/>
  <c r="AE330" i="14"/>
  <c r="AD330" i="14"/>
  <c r="AC330" i="14"/>
  <c r="AB330" i="14"/>
  <c r="AA330" i="14"/>
  <c r="Z330" i="14"/>
  <c r="Y330" i="14"/>
  <c r="X330" i="14"/>
  <c r="W330" i="14"/>
  <c r="V330" i="14"/>
  <c r="U330" i="14"/>
  <c r="T330" i="14"/>
  <c r="S330" i="14"/>
  <c r="R330" i="14"/>
  <c r="Q330" i="14"/>
  <c r="P330" i="14"/>
  <c r="O330" i="14"/>
  <c r="N330" i="14"/>
  <c r="M330" i="14"/>
  <c r="L330" i="14"/>
  <c r="K330" i="14"/>
  <c r="J330" i="14"/>
  <c r="I330" i="14"/>
  <c r="H330" i="14"/>
  <c r="AG329" i="14"/>
  <c r="AE328" i="14"/>
  <c r="AE316" i="14" s="1"/>
  <c r="AD328" i="14"/>
  <c r="AC328" i="14"/>
  <c r="AC316" i="14" s="1"/>
  <c r="AB328" i="14"/>
  <c r="AB316" i="14" s="1"/>
  <c r="AA328" i="14"/>
  <c r="AA316" i="14" s="1"/>
  <c r="Z328" i="14"/>
  <c r="Y328" i="14"/>
  <c r="Y316" i="14" s="1"/>
  <c r="X328" i="14"/>
  <c r="X316" i="14" s="1"/>
  <c r="W328" i="14"/>
  <c r="W316" i="14" s="1"/>
  <c r="V328" i="14"/>
  <c r="U328" i="14"/>
  <c r="U316" i="14" s="1"/>
  <c r="T328" i="14"/>
  <c r="T316" i="14" s="1"/>
  <c r="S328" i="14"/>
  <c r="S316" i="14" s="1"/>
  <c r="R328" i="14"/>
  <c r="Q328" i="14"/>
  <c r="Q316" i="14" s="1"/>
  <c r="P328" i="14"/>
  <c r="P316" i="14" s="1"/>
  <c r="O328" i="14"/>
  <c r="O316" i="14" s="1"/>
  <c r="N328" i="14"/>
  <c r="M328" i="14"/>
  <c r="M316" i="14" s="1"/>
  <c r="L328" i="14"/>
  <c r="L316" i="14" s="1"/>
  <c r="K328" i="14"/>
  <c r="K316" i="14" s="1"/>
  <c r="J328" i="14"/>
  <c r="I328" i="14"/>
  <c r="I316" i="14" s="1"/>
  <c r="H328" i="14"/>
  <c r="H316" i="14" s="1"/>
  <c r="AE327" i="14"/>
  <c r="AE315" i="14" s="1"/>
  <c r="AD327" i="14"/>
  <c r="AD315" i="14" s="1"/>
  <c r="AC327" i="14"/>
  <c r="AC315" i="14" s="1"/>
  <c r="AB327" i="14"/>
  <c r="AB315" i="14" s="1"/>
  <c r="AA327" i="14"/>
  <c r="AA315" i="14" s="1"/>
  <c r="Z327" i="14"/>
  <c r="Z315" i="14" s="1"/>
  <c r="Y327" i="14"/>
  <c r="Y315" i="14" s="1"/>
  <c r="X327" i="14"/>
  <c r="X315" i="14" s="1"/>
  <c r="W327" i="14"/>
  <c r="W315" i="14" s="1"/>
  <c r="V327" i="14"/>
  <c r="V315" i="14" s="1"/>
  <c r="U327" i="14"/>
  <c r="U315" i="14" s="1"/>
  <c r="T327" i="14"/>
  <c r="T315" i="14" s="1"/>
  <c r="S327" i="14"/>
  <c r="S315" i="14" s="1"/>
  <c r="R327" i="14"/>
  <c r="R315" i="14" s="1"/>
  <c r="Q327" i="14"/>
  <c r="Q315" i="14" s="1"/>
  <c r="P327" i="14"/>
  <c r="P315" i="14" s="1"/>
  <c r="O327" i="14"/>
  <c r="O315" i="14" s="1"/>
  <c r="N327" i="14"/>
  <c r="M327" i="14"/>
  <c r="M315" i="14" s="1"/>
  <c r="L327" i="14"/>
  <c r="L315" i="14" s="1"/>
  <c r="K327" i="14"/>
  <c r="K315" i="14" s="1"/>
  <c r="J327" i="14"/>
  <c r="J315" i="14" s="1"/>
  <c r="I327" i="14"/>
  <c r="H327" i="14"/>
  <c r="AE326" i="14"/>
  <c r="AE314" i="14" s="1"/>
  <c r="AD326" i="14"/>
  <c r="AD314" i="14" s="1"/>
  <c r="AC326" i="14"/>
  <c r="AC314" i="14" s="1"/>
  <c r="AB326" i="14"/>
  <c r="AB314" i="14" s="1"/>
  <c r="AA326" i="14"/>
  <c r="AA314" i="14" s="1"/>
  <c r="Z326" i="14"/>
  <c r="Z314" i="14" s="1"/>
  <c r="Y326" i="14"/>
  <c r="Y314" i="14" s="1"/>
  <c r="X326" i="14"/>
  <c r="X314" i="14" s="1"/>
  <c r="W326" i="14"/>
  <c r="W314" i="14" s="1"/>
  <c r="V326" i="14"/>
  <c r="V314" i="14" s="1"/>
  <c r="U326" i="14"/>
  <c r="U314" i="14" s="1"/>
  <c r="T326" i="14"/>
  <c r="T314" i="14" s="1"/>
  <c r="S326" i="14"/>
  <c r="S314" i="14" s="1"/>
  <c r="R326" i="14"/>
  <c r="R314" i="14" s="1"/>
  <c r="Q326" i="14"/>
  <c r="Q314" i="14" s="1"/>
  <c r="P326" i="14"/>
  <c r="P314" i="14" s="1"/>
  <c r="O326" i="14"/>
  <c r="O314" i="14" s="1"/>
  <c r="N326" i="14"/>
  <c r="M326" i="14"/>
  <c r="M314" i="14" s="1"/>
  <c r="L326" i="14"/>
  <c r="L314" i="14" s="1"/>
  <c r="K326" i="14"/>
  <c r="K314" i="14" s="1"/>
  <c r="J326" i="14"/>
  <c r="J314" i="14" s="1"/>
  <c r="I326" i="14"/>
  <c r="H326" i="14"/>
  <c r="AE325" i="14"/>
  <c r="AE313" i="14" s="1"/>
  <c r="AD325" i="14"/>
  <c r="AD313" i="14" s="1"/>
  <c r="AC325" i="14"/>
  <c r="AC313" i="14" s="1"/>
  <c r="AB325" i="14"/>
  <c r="AB313" i="14" s="1"/>
  <c r="AA325" i="14"/>
  <c r="AA313" i="14" s="1"/>
  <c r="Z325" i="14"/>
  <c r="Z313" i="14" s="1"/>
  <c r="Y325" i="14"/>
  <c r="Y313" i="14" s="1"/>
  <c r="X325" i="14"/>
  <c r="X313" i="14" s="1"/>
  <c r="W325" i="14"/>
  <c r="W313" i="14" s="1"/>
  <c r="V325" i="14"/>
  <c r="V313" i="14" s="1"/>
  <c r="U325" i="14"/>
  <c r="U313" i="14" s="1"/>
  <c r="T325" i="14"/>
  <c r="T313" i="14" s="1"/>
  <c r="S325" i="14"/>
  <c r="S313" i="14" s="1"/>
  <c r="R325" i="14"/>
  <c r="R313" i="14" s="1"/>
  <c r="Q325" i="14"/>
  <c r="Q313" i="14" s="1"/>
  <c r="P325" i="14"/>
  <c r="P313" i="14" s="1"/>
  <c r="O325" i="14"/>
  <c r="O313" i="14" s="1"/>
  <c r="N325" i="14"/>
  <c r="M325" i="14"/>
  <c r="M313" i="14" s="1"/>
  <c r="L325" i="14"/>
  <c r="L313" i="14" s="1"/>
  <c r="K325" i="14"/>
  <c r="K313" i="14" s="1"/>
  <c r="J325" i="14"/>
  <c r="J313" i="14" s="1"/>
  <c r="I325" i="14"/>
  <c r="H325" i="14"/>
  <c r="AG323" i="14"/>
  <c r="AG322" i="14"/>
  <c r="E321" i="14"/>
  <c r="B321" i="14"/>
  <c r="AG321" i="14" s="1"/>
  <c r="E320" i="14"/>
  <c r="D320" i="14" s="1"/>
  <c r="C320" i="14"/>
  <c r="B320" i="14"/>
  <c r="E319" i="14"/>
  <c r="C319" i="14"/>
  <c r="B319" i="14"/>
  <c r="AG319" i="14" s="1"/>
  <c r="AE318" i="14"/>
  <c r="AD318" i="14"/>
  <c r="AC318" i="14"/>
  <c r="AB318" i="14"/>
  <c r="AA318" i="14"/>
  <c r="Z318" i="14"/>
  <c r="Y318" i="14"/>
  <c r="X318" i="14"/>
  <c r="W318" i="14"/>
  <c r="V318" i="14"/>
  <c r="U318" i="14"/>
  <c r="T318" i="14"/>
  <c r="S318" i="14"/>
  <c r="R318" i="14"/>
  <c r="Q318" i="14"/>
  <c r="P318" i="14"/>
  <c r="O318" i="14"/>
  <c r="N318" i="14"/>
  <c r="M318" i="14"/>
  <c r="L318" i="14"/>
  <c r="K318" i="14"/>
  <c r="J318" i="14"/>
  <c r="I318" i="14"/>
  <c r="H318" i="14"/>
  <c r="AG317" i="14"/>
  <c r="AG311" i="14"/>
  <c r="AG310" i="14"/>
  <c r="E309" i="14"/>
  <c r="B309" i="14"/>
  <c r="AG309" i="14" s="1"/>
  <c r="E308" i="14"/>
  <c r="D308" i="14" s="1"/>
  <c r="C308" i="14"/>
  <c r="B308" i="14"/>
  <c r="E307" i="14"/>
  <c r="C307" i="14"/>
  <c r="B307" i="14"/>
  <c r="AG307" i="14" s="1"/>
  <c r="AE306" i="14"/>
  <c r="AD306" i="14"/>
  <c r="AC306" i="14"/>
  <c r="AB306" i="14"/>
  <c r="AA306" i="14"/>
  <c r="Z306" i="14"/>
  <c r="Y306" i="14"/>
  <c r="X306" i="14"/>
  <c r="W306" i="14"/>
  <c r="V306" i="14"/>
  <c r="U306" i="14"/>
  <c r="T306" i="14"/>
  <c r="S306" i="14"/>
  <c r="R306" i="14"/>
  <c r="Q306" i="14"/>
  <c r="P306" i="14"/>
  <c r="O306" i="14"/>
  <c r="N306" i="14"/>
  <c r="M306" i="14"/>
  <c r="L306" i="14"/>
  <c r="K306" i="14"/>
  <c r="J306" i="14"/>
  <c r="I306" i="14"/>
  <c r="H306" i="14"/>
  <c r="AG305" i="14"/>
  <c r="AG304" i="14"/>
  <c r="E303" i="14"/>
  <c r="B303" i="14"/>
  <c r="AG303" i="14" s="1"/>
  <c r="E302" i="14"/>
  <c r="D302" i="14" s="1"/>
  <c r="C302" i="14"/>
  <c r="B302" i="14"/>
  <c r="E301" i="14"/>
  <c r="C301" i="14"/>
  <c r="B301" i="14"/>
  <c r="AG301" i="14" s="1"/>
  <c r="AE300" i="14"/>
  <c r="AD300" i="14"/>
  <c r="AC300" i="14"/>
  <c r="AB300" i="14"/>
  <c r="AA300" i="14"/>
  <c r="Z300" i="14"/>
  <c r="Y300" i="14"/>
  <c r="X300" i="14"/>
  <c r="W300" i="14"/>
  <c r="V300" i="14"/>
  <c r="U300" i="14"/>
  <c r="T300" i="14"/>
  <c r="S300" i="14"/>
  <c r="R300" i="14"/>
  <c r="Q300" i="14"/>
  <c r="P300" i="14"/>
  <c r="O300" i="14"/>
  <c r="N300" i="14"/>
  <c r="M300" i="14"/>
  <c r="L300" i="14"/>
  <c r="K300" i="14"/>
  <c r="J300" i="14"/>
  <c r="I300" i="14"/>
  <c r="H300" i="14"/>
  <c r="AG299" i="14"/>
  <c r="AG298" i="14"/>
  <c r="B297" i="14"/>
  <c r="AG297" i="14" s="1"/>
  <c r="E296" i="14"/>
  <c r="D296" i="14" s="1"/>
  <c r="B296" i="14"/>
  <c r="E295" i="14"/>
  <c r="C295" i="14"/>
  <c r="B295" i="14"/>
  <c r="AG295" i="14" s="1"/>
  <c r="AE294" i="14"/>
  <c r="AD294" i="14"/>
  <c r="AC294" i="14"/>
  <c r="AB294" i="14"/>
  <c r="AA294" i="14"/>
  <c r="Z294" i="14"/>
  <c r="Y294" i="14"/>
  <c r="X294" i="14"/>
  <c r="W294" i="14"/>
  <c r="V294" i="14"/>
  <c r="U294" i="14"/>
  <c r="T294" i="14"/>
  <c r="S294" i="14"/>
  <c r="R294" i="14"/>
  <c r="O294" i="14"/>
  <c r="N294" i="14"/>
  <c r="L294" i="14"/>
  <c r="K294" i="14"/>
  <c r="J294" i="14"/>
  <c r="I294" i="14"/>
  <c r="H294" i="14"/>
  <c r="AG293" i="14"/>
  <c r="AE292" i="14"/>
  <c r="AD292" i="14"/>
  <c r="AC292" i="14"/>
  <c r="AB292" i="14"/>
  <c r="AA292" i="14"/>
  <c r="Z292" i="14"/>
  <c r="Y292" i="14"/>
  <c r="X292" i="14"/>
  <c r="W292" i="14"/>
  <c r="V292" i="14"/>
  <c r="U292" i="14"/>
  <c r="T292" i="14"/>
  <c r="S292" i="14"/>
  <c r="R292" i="14"/>
  <c r="Q292" i="14"/>
  <c r="P292" i="14"/>
  <c r="O292" i="14"/>
  <c r="N292" i="14"/>
  <c r="M292" i="14"/>
  <c r="L292" i="14"/>
  <c r="K292" i="14"/>
  <c r="J292" i="14"/>
  <c r="I292" i="14"/>
  <c r="H292" i="14"/>
  <c r="C292" i="14" s="1"/>
  <c r="AE291" i="14"/>
  <c r="AD291" i="14"/>
  <c r="AC291" i="14"/>
  <c r="AB291" i="14"/>
  <c r="AA291" i="14"/>
  <c r="Z291" i="14"/>
  <c r="Y291" i="14"/>
  <c r="X291" i="14"/>
  <c r="W291" i="14"/>
  <c r="V291" i="14"/>
  <c r="U291" i="14"/>
  <c r="T291" i="14"/>
  <c r="S291" i="14"/>
  <c r="R291" i="14"/>
  <c r="Q291" i="14"/>
  <c r="P291" i="14"/>
  <c r="O291" i="14"/>
  <c r="N291" i="14"/>
  <c r="M291" i="14"/>
  <c r="L291" i="14"/>
  <c r="K291" i="14"/>
  <c r="I291" i="14"/>
  <c r="AE290" i="14"/>
  <c r="AD290" i="14"/>
  <c r="AC290" i="14"/>
  <c r="AB290" i="14"/>
  <c r="AA290" i="14"/>
  <c r="Z290" i="14"/>
  <c r="Y290" i="14"/>
  <c r="X290" i="14"/>
  <c r="W290" i="14"/>
  <c r="V290" i="14"/>
  <c r="U290" i="14"/>
  <c r="T290" i="14"/>
  <c r="S290" i="14"/>
  <c r="R290" i="14"/>
  <c r="Q290" i="14"/>
  <c r="P290" i="14"/>
  <c r="O290" i="14"/>
  <c r="N290" i="14"/>
  <c r="M290" i="14"/>
  <c r="L290" i="14"/>
  <c r="K290" i="14"/>
  <c r="J290" i="14"/>
  <c r="I290" i="14"/>
  <c r="H290" i="14"/>
  <c r="AE289" i="14"/>
  <c r="AD289" i="14"/>
  <c r="AC289" i="14"/>
  <c r="AB289" i="14"/>
  <c r="AA289" i="14"/>
  <c r="Z289" i="14"/>
  <c r="Y289" i="14"/>
  <c r="W289" i="14"/>
  <c r="V289" i="14"/>
  <c r="U289" i="14"/>
  <c r="T289" i="14"/>
  <c r="S289" i="14"/>
  <c r="R289" i="14"/>
  <c r="Q289" i="14"/>
  <c r="P289" i="14"/>
  <c r="O289" i="14"/>
  <c r="N289" i="14"/>
  <c r="M289" i="14"/>
  <c r="L289" i="14"/>
  <c r="K289" i="14"/>
  <c r="J289" i="14"/>
  <c r="I289" i="14"/>
  <c r="H289" i="14"/>
  <c r="C289" i="14" s="1"/>
  <c r="AG287" i="14"/>
  <c r="AG286" i="14"/>
  <c r="E285" i="14"/>
  <c r="C285" i="14"/>
  <c r="B285" i="14"/>
  <c r="AG285" i="14" s="1"/>
  <c r="E284" i="14"/>
  <c r="D284" i="14" s="1"/>
  <c r="C284" i="14"/>
  <c r="B284" i="14"/>
  <c r="AG284" i="14" s="1"/>
  <c r="E283" i="14"/>
  <c r="C283" i="14"/>
  <c r="B283" i="14"/>
  <c r="AG283" i="14" s="1"/>
  <c r="E282" i="14"/>
  <c r="D282" i="14" s="1"/>
  <c r="C282" i="14"/>
  <c r="B282" i="14"/>
  <c r="AE281" i="14"/>
  <c r="AD281" i="14"/>
  <c r="AC281" i="14"/>
  <c r="AB281" i="14"/>
  <c r="AA281" i="14"/>
  <c r="Z281" i="14"/>
  <c r="Y281" i="14"/>
  <c r="X281" i="14"/>
  <c r="W281" i="14"/>
  <c r="V281" i="14"/>
  <c r="U281" i="14"/>
  <c r="T281" i="14"/>
  <c r="S281" i="14"/>
  <c r="R281" i="14"/>
  <c r="Q281" i="14"/>
  <c r="P281" i="14"/>
  <c r="O281" i="14"/>
  <c r="N281" i="14"/>
  <c r="M281" i="14"/>
  <c r="L281" i="14"/>
  <c r="K281" i="14"/>
  <c r="J281" i="14"/>
  <c r="I281" i="14"/>
  <c r="H281" i="14"/>
  <c r="AG280" i="14"/>
  <c r="AG279" i="14"/>
  <c r="E278" i="14"/>
  <c r="D278" i="14" s="1"/>
  <c r="D272" i="14" s="1"/>
  <c r="C272" i="14"/>
  <c r="E277" i="14"/>
  <c r="D277" i="14" s="1"/>
  <c r="D271" i="14" s="1"/>
  <c r="C271" i="14"/>
  <c r="E276" i="14"/>
  <c r="E270" i="14" s="1"/>
  <c r="C270" i="14"/>
  <c r="B276" i="14"/>
  <c r="AE275" i="14"/>
  <c r="AD275" i="14"/>
  <c r="AC275" i="14"/>
  <c r="AA275" i="14"/>
  <c r="Z275" i="14"/>
  <c r="Y275" i="14"/>
  <c r="X275" i="14"/>
  <c r="W275" i="14"/>
  <c r="V275" i="14"/>
  <c r="U275" i="14"/>
  <c r="T275" i="14"/>
  <c r="S275" i="14"/>
  <c r="R275" i="14"/>
  <c r="Q275" i="14"/>
  <c r="P275" i="14"/>
  <c r="O275" i="14"/>
  <c r="N275" i="14"/>
  <c r="M275" i="14"/>
  <c r="L275" i="14"/>
  <c r="K275" i="14"/>
  <c r="J275" i="14"/>
  <c r="I275" i="14"/>
  <c r="H275" i="14"/>
  <c r="AG274" i="14"/>
  <c r="AE273" i="14"/>
  <c r="AD273" i="14"/>
  <c r="AC273" i="14"/>
  <c r="AB273" i="14"/>
  <c r="AA273" i="14"/>
  <c r="Z273" i="14"/>
  <c r="Y273" i="14"/>
  <c r="X273" i="14"/>
  <c r="W273" i="14"/>
  <c r="V273" i="14"/>
  <c r="U273" i="14"/>
  <c r="T273" i="14"/>
  <c r="S273" i="14"/>
  <c r="R273" i="14"/>
  <c r="Q273" i="14"/>
  <c r="P273" i="14"/>
  <c r="O273" i="14"/>
  <c r="N273" i="14"/>
  <c r="M273" i="14"/>
  <c r="L273" i="14"/>
  <c r="K273" i="14"/>
  <c r="J273" i="14"/>
  <c r="I273" i="14"/>
  <c r="H273" i="14"/>
  <c r="E273" i="14"/>
  <c r="D273" i="14"/>
  <c r="C273" i="14"/>
  <c r="B273" i="14"/>
  <c r="AE272" i="14"/>
  <c r="AC272" i="14"/>
  <c r="AB272" i="14"/>
  <c r="AA272" i="14"/>
  <c r="Z272" i="14"/>
  <c r="Y272" i="14"/>
  <c r="X272" i="14"/>
  <c r="W272" i="14"/>
  <c r="V272" i="14"/>
  <c r="U272" i="14"/>
  <c r="T272" i="14"/>
  <c r="S272" i="14"/>
  <c r="R272" i="14"/>
  <c r="Q272" i="14"/>
  <c r="P272" i="14"/>
  <c r="O272" i="14"/>
  <c r="N272" i="14"/>
  <c r="M272" i="14"/>
  <c r="L272" i="14"/>
  <c r="K272" i="14"/>
  <c r="J272" i="14"/>
  <c r="I272" i="14"/>
  <c r="H272" i="14"/>
  <c r="AE271" i="14"/>
  <c r="AD271" i="14"/>
  <c r="AC271" i="14"/>
  <c r="AA271" i="14"/>
  <c r="Z271" i="14"/>
  <c r="Y271" i="14"/>
  <c r="X271" i="14"/>
  <c r="W271" i="14"/>
  <c r="V271" i="14"/>
  <c r="U271" i="14"/>
  <c r="T271" i="14"/>
  <c r="S271" i="14"/>
  <c r="R271" i="14"/>
  <c r="Q271" i="14"/>
  <c r="P271" i="14"/>
  <c r="O271" i="14"/>
  <c r="N271" i="14"/>
  <c r="M271" i="14"/>
  <c r="L271" i="14"/>
  <c r="K271" i="14"/>
  <c r="J271" i="14"/>
  <c r="I271" i="14"/>
  <c r="H271" i="14"/>
  <c r="AE270" i="14"/>
  <c r="AD270" i="14"/>
  <c r="AC270" i="14"/>
  <c r="AB270" i="14"/>
  <c r="AA270" i="14"/>
  <c r="Z270" i="14"/>
  <c r="Y270" i="14"/>
  <c r="X270" i="14"/>
  <c r="W270" i="14"/>
  <c r="V270" i="14"/>
  <c r="U270" i="14"/>
  <c r="T270" i="14"/>
  <c r="S270" i="14"/>
  <c r="R270" i="14"/>
  <c r="Q270" i="14"/>
  <c r="P270" i="14"/>
  <c r="O270" i="14"/>
  <c r="N270" i="14"/>
  <c r="M270" i="14"/>
  <c r="L270" i="14"/>
  <c r="K270" i="14"/>
  <c r="J270" i="14"/>
  <c r="I270" i="14"/>
  <c r="H270" i="14"/>
  <c r="AG268" i="14"/>
  <c r="AG266" i="14"/>
  <c r="AG265" i="14"/>
  <c r="E264" i="14"/>
  <c r="D264" i="14" s="1"/>
  <c r="B264" i="14"/>
  <c r="E263" i="14"/>
  <c r="C263" i="14"/>
  <c r="B263" i="14"/>
  <c r="AG263" i="14" s="1"/>
  <c r="E262" i="14"/>
  <c r="D262" i="14" s="1"/>
  <c r="C262" i="14"/>
  <c r="B262" i="14"/>
  <c r="AG262" i="14" s="1"/>
  <c r="AE261" i="14"/>
  <c r="AD261" i="14"/>
  <c r="AC261" i="14"/>
  <c r="AB261" i="14"/>
  <c r="AA261" i="14"/>
  <c r="Z261" i="14"/>
  <c r="Y261" i="14"/>
  <c r="X261" i="14"/>
  <c r="W261" i="14"/>
  <c r="V261" i="14"/>
  <c r="U261" i="14"/>
  <c r="T261" i="14"/>
  <c r="S261" i="14"/>
  <c r="R261" i="14"/>
  <c r="Q261" i="14"/>
  <c r="P261" i="14"/>
  <c r="O261" i="14"/>
  <c r="N261" i="14"/>
  <c r="M261" i="14"/>
  <c r="L261" i="14"/>
  <c r="K261" i="14"/>
  <c r="J261" i="14"/>
  <c r="I261" i="14"/>
  <c r="H261" i="14"/>
  <c r="AG260" i="14"/>
  <c r="AG259" i="14"/>
  <c r="D258" i="14"/>
  <c r="B258" i="14"/>
  <c r="AG258" i="14" s="1"/>
  <c r="E257" i="14"/>
  <c r="C257" i="14"/>
  <c r="B257" i="14"/>
  <c r="AG257" i="14" s="1"/>
  <c r="E256" i="14"/>
  <c r="D256" i="14" s="1"/>
  <c r="C256" i="14"/>
  <c r="B256" i="14"/>
  <c r="AE255" i="14"/>
  <c r="AD255" i="14"/>
  <c r="AC255" i="14"/>
  <c r="AB255" i="14"/>
  <c r="AA255" i="14"/>
  <c r="Z255" i="14"/>
  <c r="Y255" i="14"/>
  <c r="X255" i="14"/>
  <c r="W255" i="14"/>
  <c r="V255" i="14"/>
  <c r="U255" i="14"/>
  <c r="T255" i="14"/>
  <c r="S255" i="14"/>
  <c r="R255" i="14"/>
  <c r="Q255" i="14"/>
  <c r="P255" i="14"/>
  <c r="O255" i="14"/>
  <c r="N255" i="14"/>
  <c r="M255" i="14"/>
  <c r="L255" i="14"/>
  <c r="K255" i="14"/>
  <c r="J255" i="14"/>
  <c r="I255" i="14"/>
  <c r="H255" i="14"/>
  <c r="AG254" i="14"/>
  <c r="AE253" i="14"/>
  <c r="AD253" i="14"/>
  <c r="AC253" i="14"/>
  <c r="AB253" i="14"/>
  <c r="AA253" i="14"/>
  <c r="Z253" i="14"/>
  <c r="Y253" i="14"/>
  <c r="X253" i="14"/>
  <c r="W253" i="14"/>
  <c r="V253" i="14"/>
  <c r="U253" i="14"/>
  <c r="T253" i="14"/>
  <c r="S253" i="14"/>
  <c r="R253" i="14"/>
  <c r="Q253" i="14"/>
  <c r="P253" i="14"/>
  <c r="O253" i="14"/>
  <c r="N253" i="14"/>
  <c r="M253" i="14"/>
  <c r="L253" i="14"/>
  <c r="K253" i="14"/>
  <c r="J253" i="14"/>
  <c r="I253" i="14"/>
  <c r="H253" i="14"/>
  <c r="E253" i="14"/>
  <c r="D253" i="14"/>
  <c r="C253" i="14"/>
  <c r="B253" i="14"/>
  <c r="AE252" i="14"/>
  <c r="AD252" i="14"/>
  <c r="AC252" i="14"/>
  <c r="AB252" i="14"/>
  <c r="AA252" i="14"/>
  <c r="Z252" i="14"/>
  <c r="Y252" i="14"/>
  <c r="X252" i="14"/>
  <c r="W252" i="14"/>
  <c r="V252" i="14"/>
  <c r="U252" i="14"/>
  <c r="T252" i="14"/>
  <c r="S252" i="14"/>
  <c r="R252" i="14"/>
  <c r="Q252" i="14"/>
  <c r="P252" i="14"/>
  <c r="O252" i="14"/>
  <c r="N252" i="14"/>
  <c r="M252" i="14"/>
  <c r="L252" i="14"/>
  <c r="K252" i="14"/>
  <c r="J252" i="14"/>
  <c r="I252" i="14"/>
  <c r="H252" i="14"/>
  <c r="AE251" i="14"/>
  <c r="AD251" i="14"/>
  <c r="AC251" i="14"/>
  <c r="AB251" i="14"/>
  <c r="AA251" i="14"/>
  <c r="Z251" i="14"/>
  <c r="Y251" i="14"/>
  <c r="X251" i="14"/>
  <c r="W251" i="14"/>
  <c r="V251" i="14"/>
  <c r="U251" i="14"/>
  <c r="T251" i="14"/>
  <c r="S251" i="14"/>
  <c r="R251" i="14"/>
  <c r="Q251" i="14"/>
  <c r="P251" i="14"/>
  <c r="O251" i="14"/>
  <c r="N251" i="14"/>
  <c r="M251" i="14"/>
  <c r="L251" i="14"/>
  <c r="K251" i="14"/>
  <c r="J251" i="14"/>
  <c r="I251" i="14"/>
  <c r="H251" i="14"/>
  <c r="AE250" i="14"/>
  <c r="AD250" i="14"/>
  <c r="AC250" i="14"/>
  <c r="AB250" i="14"/>
  <c r="AA250" i="14"/>
  <c r="Z250" i="14"/>
  <c r="Y250" i="14"/>
  <c r="X250" i="14"/>
  <c r="W250" i="14"/>
  <c r="V250" i="14"/>
  <c r="U250" i="14"/>
  <c r="T250" i="14"/>
  <c r="S250" i="14"/>
  <c r="R250" i="14"/>
  <c r="Q250" i="14"/>
  <c r="P250" i="14"/>
  <c r="O250" i="14"/>
  <c r="N250" i="14"/>
  <c r="M250" i="14"/>
  <c r="L250" i="14"/>
  <c r="K250" i="14"/>
  <c r="J250" i="14"/>
  <c r="I250" i="14"/>
  <c r="H250" i="14"/>
  <c r="AG248" i="14"/>
  <c r="AG247" i="14"/>
  <c r="E246" i="14"/>
  <c r="D246" i="14" s="1"/>
  <c r="C246" i="14"/>
  <c r="B246" i="14"/>
  <c r="E245" i="14"/>
  <c r="C245" i="14"/>
  <c r="B245" i="14"/>
  <c r="AG245" i="14" s="1"/>
  <c r="E244" i="14"/>
  <c r="D244" i="14" s="1"/>
  <c r="C244" i="14"/>
  <c r="B244" i="14"/>
  <c r="AG244" i="14" s="1"/>
  <c r="AE243" i="14"/>
  <c r="AD243" i="14"/>
  <c r="AC243" i="14"/>
  <c r="AB243" i="14"/>
  <c r="AA243" i="14"/>
  <c r="Z243" i="14"/>
  <c r="Y243" i="14"/>
  <c r="X243" i="14"/>
  <c r="W243" i="14"/>
  <c r="V243" i="14"/>
  <c r="U243" i="14"/>
  <c r="T243" i="14"/>
  <c r="S243" i="14"/>
  <c r="R243" i="14"/>
  <c r="Q243" i="14"/>
  <c r="P243" i="14"/>
  <c r="O243" i="14"/>
  <c r="N243" i="14"/>
  <c r="M243" i="14"/>
  <c r="L243" i="14"/>
  <c r="K243" i="14"/>
  <c r="J243" i="14"/>
  <c r="I243" i="14"/>
  <c r="H243" i="14"/>
  <c r="AG242" i="14"/>
  <c r="AG241" i="14"/>
  <c r="D240" i="14"/>
  <c r="B240" i="14"/>
  <c r="AG240" i="14" s="1"/>
  <c r="E239" i="14"/>
  <c r="C239" i="14"/>
  <c r="B239" i="14"/>
  <c r="AG239" i="14" s="1"/>
  <c r="E238" i="14"/>
  <c r="D238" i="14" s="1"/>
  <c r="C238" i="14"/>
  <c r="B238" i="14"/>
  <c r="AE237" i="14"/>
  <c r="AD237" i="14"/>
  <c r="AC237" i="14"/>
  <c r="AB237" i="14"/>
  <c r="AA237" i="14"/>
  <c r="Z237" i="14"/>
  <c r="Y237" i="14"/>
  <c r="X237" i="14"/>
  <c r="W237" i="14"/>
  <c r="V237" i="14"/>
  <c r="U237" i="14"/>
  <c r="T237" i="14"/>
  <c r="S237" i="14"/>
  <c r="R237" i="14"/>
  <c r="Q237" i="14"/>
  <c r="P237" i="14"/>
  <c r="O237" i="14"/>
  <c r="N237" i="14"/>
  <c r="M237" i="14"/>
  <c r="L237" i="14"/>
  <c r="K237" i="14"/>
  <c r="J237" i="14"/>
  <c r="I237" i="14"/>
  <c r="H237" i="14"/>
  <c r="AG236" i="14"/>
  <c r="AG235" i="14"/>
  <c r="E234" i="14"/>
  <c r="D234" i="14" s="1"/>
  <c r="B234" i="14"/>
  <c r="E233" i="14"/>
  <c r="C233" i="14"/>
  <c r="B233" i="14"/>
  <c r="AG233" i="14" s="1"/>
  <c r="E232" i="14"/>
  <c r="D232" i="14" s="1"/>
  <c r="C232" i="14"/>
  <c r="B232" i="14"/>
  <c r="AG232" i="14" s="1"/>
  <c r="AE231" i="14"/>
  <c r="AD231" i="14"/>
  <c r="AC231" i="14"/>
  <c r="AB231" i="14"/>
  <c r="AA231" i="14"/>
  <c r="Z231" i="14"/>
  <c r="Y231" i="14"/>
  <c r="X231" i="14"/>
  <c r="W231" i="14"/>
  <c r="V231" i="14"/>
  <c r="U231" i="14"/>
  <c r="T231" i="14"/>
  <c r="S231" i="14"/>
  <c r="R231" i="14"/>
  <c r="Q231" i="14"/>
  <c r="P231" i="14"/>
  <c r="O231" i="14"/>
  <c r="N231" i="14"/>
  <c r="M231" i="14"/>
  <c r="L231" i="14"/>
  <c r="K231" i="14"/>
  <c r="J231" i="14"/>
  <c r="I231" i="14"/>
  <c r="H231" i="14"/>
  <c r="AG230" i="14"/>
  <c r="AG229" i="14"/>
  <c r="E228" i="14"/>
  <c r="D228" i="14" s="1"/>
  <c r="B228" i="14"/>
  <c r="E227" i="14"/>
  <c r="C227" i="14"/>
  <c r="B227" i="14"/>
  <c r="AG227" i="14" s="1"/>
  <c r="E226" i="14"/>
  <c r="D226" i="14" s="1"/>
  <c r="C226" i="14"/>
  <c r="B226" i="14"/>
  <c r="AE225" i="14"/>
  <c r="AD225" i="14"/>
  <c r="AC225" i="14"/>
  <c r="AB225" i="14"/>
  <c r="AA225" i="14"/>
  <c r="Z225" i="14"/>
  <c r="Y225" i="14"/>
  <c r="X225" i="14"/>
  <c r="W225" i="14"/>
  <c r="V225" i="14"/>
  <c r="U225" i="14"/>
  <c r="T225" i="14"/>
  <c r="S225" i="14"/>
  <c r="R225" i="14"/>
  <c r="Q225" i="14"/>
  <c r="P225" i="14"/>
  <c r="O225" i="14"/>
  <c r="N225" i="14"/>
  <c r="M225" i="14"/>
  <c r="L225" i="14"/>
  <c r="K225" i="14"/>
  <c r="J225" i="14"/>
  <c r="I225" i="14"/>
  <c r="H225" i="14"/>
  <c r="AG224" i="14"/>
  <c r="AE223" i="14"/>
  <c r="AD223" i="14"/>
  <c r="AC223" i="14"/>
  <c r="AB223" i="14"/>
  <c r="AA223" i="14"/>
  <c r="Z223" i="14"/>
  <c r="Y223" i="14"/>
  <c r="X223" i="14"/>
  <c r="W223" i="14"/>
  <c r="V223" i="14"/>
  <c r="U223" i="14"/>
  <c r="T223" i="14"/>
  <c r="S223" i="14"/>
  <c r="R223" i="14"/>
  <c r="Q223" i="14"/>
  <c r="P223" i="14"/>
  <c r="O223" i="14"/>
  <c r="N223" i="14"/>
  <c r="M223" i="14"/>
  <c r="L223" i="14"/>
  <c r="K223" i="14"/>
  <c r="J223" i="14"/>
  <c r="I223" i="14"/>
  <c r="H223" i="14"/>
  <c r="E223" i="14"/>
  <c r="D223" i="14"/>
  <c r="C223" i="14"/>
  <c r="B223" i="14"/>
  <c r="AE222" i="14"/>
  <c r="AD222" i="14"/>
  <c r="AC222" i="14"/>
  <c r="AB222" i="14"/>
  <c r="AA222" i="14"/>
  <c r="Z222" i="14"/>
  <c r="Y222" i="14"/>
  <c r="X222" i="14"/>
  <c r="W222" i="14"/>
  <c r="V222" i="14"/>
  <c r="U222" i="14"/>
  <c r="T222" i="14"/>
  <c r="S222" i="14"/>
  <c r="R222" i="14"/>
  <c r="Q222" i="14"/>
  <c r="P222" i="14"/>
  <c r="O222" i="14"/>
  <c r="N222" i="14"/>
  <c r="M222" i="14"/>
  <c r="L222" i="14"/>
  <c r="K222" i="14"/>
  <c r="J222" i="14"/>
  <c r="I222" i="14"/>
  <c r="H222" i="14"/>
  <c r="AE221" i="14"/>
  <c r="AD221" i="14"/>
  <c r="AC221" i="14"/>
  <c r="AB221" i="14"/>
  <c r="AA221" i="14"/>
  <c r="Z221" i="14"/>
  <c r="Y221" i="14"/>
  <c r="X221" i="14"/>
  <c r="W221" i="14"/>
  <c r="V221" i="14"/>
  <c r="U221" i="14"/>
  <c r="T221" i="14"/>
  <c r="S221" i="14"/>
  <c r="R221" i="14"/>
  <c r="Q221" i="14"/>
  <c r="P221" i="14"/>
  <c r="O221" i="14"/>
  <c r="N221" i="14"/>
  <c r="M221" i="14"/>
  <c r="L221" i="14"/>
  <c r="K221" i="14"/>
  <c r="J221" i="14"/>
  <c r="I221" i="14"/>
  <c r="H221" i="14"/>
  <c r="AE220" i="14"/>
  <c r="AD220" i="14"/>
  <c r="AC220" i="14"/>
  <c r="AB220" i="14"/>
  <c r="AA220" i="14"/>
  <c r="Z220" i="14"/>
  <c r="Y220" i="14"/>
  <c r="X220" i="14"/>
  <c r="W220" i="14"/>
  <c r="V220" i="14"/>
  <c r="U220" i="14"/>
  <c r="T220" i="14"/>
  <c r="S220" i="14"/>
  <c r="R220" i="14"/>
  <c r="Q220" i="14"/>
  <c r="P220" i="14"/>
  <c r="O220" i="14"/>
  <c r="O219" i="14" s="1"/>
  <c r="N220" i="14"/>
  <c r="M220" i="14"/>
  <c r="L220" i="14"/>
  <c r="K220" i="14"/>
  <c r="J220" i="14"/>
  <c r="I220" i="14"/>
  <c r="H220" i="14"/>
  <c r="AG218" i="14"/>
  <c r="AG217" i="14"/>
  <c r="E216" i="14"/>
  <c r="D216" i="14" s="1"/>
  <c r="C216" i="14"/>
  <c r="C204" i="14" s="1"/>
  <c r="B216" i="14"/>
  <c r="E215" i="14"/>
  <c r="C215" i="14"/>
  <c r="B215" i="14"/>
  <c r="AG215" i="14" s="1"/>
  <c r="E214" i="14"/>
  <c r="D214" i="14" s="1"/>
  <c r="C214" i="14"/>
  <c r="B214" i="14"/>
  <c r="AG214" i="14" s="1"/>
  <c r="AE213" i="14"/>
  <c r="AD213" i="14"/>
  <c r="AC213" i="14"/>
  <c r="AB213" i="14"/>
  <c r="AA213" i="14"/>
  <c r="Z213" i="14"/>
  <c r="Y213" i="14"/>
  <c r="X213" i="14"/>
  <c r="W213" i="14"/>
  <c r="V213" i="14"/>
  <c r="U213" i="14"/>
  <c r="T213" i="14"/>
  <c r="S213" i="14"/>
  <c r="R213" i="14"/>
  <c r="Q213" i="14"/>
  <c r="P213" i="14"/>
  <c r="O213" i="14"/>
  <c r="N213" i="14"/>
  <c r="M213" i="14"/>
  <c r="L213" i="14"/>
  <c r="K213" i="14"/>
  <c r="J213" i="14"/>
  <c r="I213" i="14"/>
  <c r="H213" i="14"/>
  <c r="AG212" i="14"/>
  <c r="AG211" i="14"/>
  <c r="E210" i="14"/>
  <c r="D210" i="14" s="1"/>
  <c r="AG210" i="14"/>
  <c r="E209" i="14"/>
  <c r="C209" i="14"/>
  <c r="B209" i="14"/>
  <c r="AG209" i="14" s="1"/>
  <c r="E208" i="14"/>
  <c r="D208" i="14" s="1"/>
  <c r="C208" i="14"/>
  <c r="B208" i="14"/>
  <c r="AE207" i="14"/>
  <c r="AD207" i="14"/>
  <c r="AC207" i="14"/>
  <c r="AB207" i="14"/>
  <c r="AA207" i="14"/>
  <c r="Z207" i="14"/>
  <c r="Y207" i="14"/>
  <c r="X207" i="14"/>
  <c r="W207" i="14"/>
  <c r="V207" i="14"/>
  <c r="U207" i="14"/>
  <c r="T207" i="14"/>
  <c r="S207" i="14"/>
  <c r="R207" i="14"/>
  <c r="Q207" i="14"/>
  <c r="P207" i="14"/>
  <c r="O207" i="14"/>
  <c r="N207" i="14"/>
  <c r="M207" i="14"/>
  <c r="L207" i="14"/>
  <c r="K207" i="14"/>
  <c r="J207" i="14"/>
  <c r="I207" i="14"/>
  <c r="H207" i="14"/>
  <c r="AG206" i="14"/>
  <c r="AE205" i="14"/>
  <c r="AD205" i="14"/>
  <c r="AC205" i="14"/>
  <c r="AB205" i="14"/>
  <c r="AA205" i="14"/>
  <c r="Z205" i="14"/>
  <c r="Y205" i="14"/>
  <c r="X205" i="14"/>
  <c r="W205" i="14"/>
  <c r="V205" i="14"/>
  <c r="U205" i="14"/>
  <c r="T205" i="14"/>
  <c r="S205" i="14"/>
  <c r="R205" i="14"/>
  <c r="Q205" i="14"/>
  <c r="P205" i="14"/>
  <c r="O205" i="14"/>
  <c r="N205" i="14"/>
  <c r="M205" i="14"/>
  <c r="L205" i="14"/>
  <c r="K205" i="14"/>
  <c r="J205" i="14"/>
  <c r="I205" i="14"/>
  <c r="H205" i="14"/>
  <c r="E205" i="14"/>
  <c r="D205" i="14"/>
  <c r="C205" i="14"/>
  <c r="B205" i="14"/>
  <c r="AE204" i="14"/>
  <c r="AD204" i="14"/>
  <c r="AC204" i="14"/>
  <c r="AB204" i="14"/>
  <c r="AA204" i="14"/>
  <c r="Z204" i="14"/>
  <c r="Y204" i="14"/>
  <c r="X204" i="14"/>
  <c r="W204" i="14"/>
  <c r="V204" i="14"/>
  <c r="U204" i="14"/>
  <c r="T204" i="14"/>
  <c r="S204" i="14"/>
  <c r="R204" i="14"/>
  <c r="Q204" i="14"/>
  <c r="P204" i="14"/>
  <c r="O204" i="14"/>
  <c r="N204" i="14"/>
  <c r="M204" i="14"/>
  <c r="L204" i="14"/>
  <c r="K204" i="14"/>
  <c r="J204" i="14"/>
  <c r="I204" i="14"/>
  <c r="H204" i="14"/>
  <c r="AE203" i="14"/>
  <c r="AD203" i="14"/>
  <c r="AC203" i="14"/>
  <c r="AB203" i="14"/>
  <c r="AA203" i="14"/>
  <c r="Z203" i="14"/>
  <c r="Y203" i="14"/>
  <c r="X203" i="14"/>
  <c r="W203" i="14"/>
  <c r="V203" i="14"/>
  <c r="U203" i="14"/>
  <c r="T203" i="14"/>
  <c r="S203" i="14"/>
  <c r="R203" i="14"/>
  <c r="Q203" i="14"/>
  <c r="P203" i="14"/>
  <c r="O203" i="14"/>
  <c r="N203" i="14"/>
  <c r="M203" i="14"/>
  <c r="L203" i="14"/>
  <c r="K203" i="14"/>
  <c r="J203" i="14"/>
  <c r="I203" i="14"/>
  <c r="H203" i="14"/>
  <c r="AE202" i="14"/>
  <c r="AD202" i="14"/>
  <c r="AC202" i="14"/>
  <c r="AB202" i="14"/>
  <c r="AA202" i="14"/>
  <c r="Z202" i="14"/>
  <c r="Y202" i="14"/>
  <c r="X202" i="14"/>
  <c r="W202" i="14"/>
  <c r="V202" i="14"/>
  <c r="U202" i="14"/>
  <c r="T202" i="14"/>
  <c r="S202" i="14"/>
  <c r="R202" i="14"/>
  <c r="Q202" i="14"/>
  <c r="P202" i="14"/>
  <c r="O202" i="14"/>
  <c r="N202" i="14"/>
  <c r="M202" i="14"/>
  <c r="L202" i="14"/>
  <c r="K202" i="14"/>
  <c r="J202" i="14"/>
  <c r="I202" i="14"/>
  <c r="H202" i="14"/>
  <c r="AG200" i="14"/>
  <c r="AG199" i="14"/>
  <c r="AG198" i="14"/>
  <c r="B197" i="14"/>
  <c r="AG197" i="14" s="1"/>
  <c r="D190" i="14"/>
  <c r="B190" i="14"/>
  <c r="E189" i="14"/>
  <c r="C189" i="14"/>
  <c r="B195" i="14"/>
  <c r="AG195" i="14" s="1"/>
  <c r="AE194" i="14"/>
  <c r="AD194" i="14"/>
  <c r="AC194" i="14"/>
  <c r="AB194" i="14"/>
  <c r="AA194" i="14"/>
  <c r="Z194" i="14"/>
  <c r="Y194" i="14"/>
  <c r="X194" i="14"/>
  <c r="W194" i="14"/>
  <c r="V194" i="14"/>
  <c r="U194" i="14"/>
  <c r="T194" i="14"/>
  <c r="S194" i="14"/>
  <c r="R194" i="14"/>
  <c r="Q194" i="14"/>
  <c r="P194" i="14"/>
  <c r="O194" i="14"/>
  <c r="N194" i="14"/>
  <c r="M194" i="14"/>
  <c r="L194" i="14"/>
  <c r="K194" i="14"/>
  <c r="J194" i="14"/>
  <c r="I194" i="14"/>
  <c r="H194" i="14"/>
  <c r="AG193" i="14"/>
  <c r="AE192" i="14"/>
  <c r="AD192" i="14"/>
  <c r="AC192" i="14"/>
  <c r="AB192" i="14"/>
  <c r="AA192" i="14"/>
  <c r="Z192" i="14"/>
  <c r="Y192" i="14"/>
  <c r="X192" i="14"/>
  <c r="W192" i="14"/>
  <c r="V192" i="14"/>
  <c r="U192" i="14"/>
  <c r="T192" i="14"/>
  <c r="S192" i="14"/>
  <c r="R192" i="14"/>
  <c r="Q192" i="14"/>
  <c r="P192" i="14"/>
  <c r="O192" i="14"/>
  <c r="N192" i="14"/>
  <c r="M192" i="14"/>
  <c r="L192" i="14"/>
  <c r="K192" i="14"/>
  <c r="J192" i="14"/>
  <c r="I192" i="14"/>
  <c r="H192" i="14"/>
  <c r="E192" i="14"/>
  <c r="D192" i="14"/>
  <c r="C192" i="14"/>
  <c r="B192" i="14"/>
  <c r="AE191" i="14"/>
  <c r="AD191" i="14"/>
  <c r="AC191" i="14"/>
  <c r="AB191" i="14"/>
  <c r="AA191" i="14"/>
  <c r="Z191" i="14"/>
  <c r="Y191" i="14"/>
  <c r="X191" i="14"/>
  <c r="W191" i="14"/>
  <c r="V191" i="14"/>
  <c r="U191" i="14"/>
  <c r="T191" i="14"/>
  <c r="S191" i="14"/>
  <c r="R191" i="14"/>
  <c r="Q191" i="14"/>
  <c r="P191" i="14"/>
  <c r="O191" i="14"/>
  <c r="N191" i="14"/>
  <c r="M191" i="14"/>
  <c r="L191" i="14"/>
  <c r="K191" i="14"/>
  <c r="J191" i="14"/>
  <c r="I191" i="14"/>
  <c r="H191" i="14"/>
  <c r="AE190" i="14"/>
  <c r="AD190" i="14"/>
  <c r="AC190" i="14"/>
  <c r="AB190" i="14"/>
  <c r="AA190" i="14"/>
  <c r="Z190" i="14"/>
  <c r="Y190" i="14"/>
  <c r="X190" i="14"/>
  <c r="W190" i="14"/>
  <c r="V190" i="14"/>
  <c r="U190" i="14"/>
  <c r="T190" i="14"/>
  <c r="S190" i="14"/>
  <c r="R190" i="14"/>
  <c r="Q190" i="14"/>
  <c r="P190" i="14"/>
  <c r="O190" i="14"/>
  <c r="N190" i="14"/>
  <c r="M190" i="14"/>
  <c r="L190" i="14"/>
  <c r="K190" i="14"/>
  <c r="J190" i="14"/>
  <c r="I190" i="14"/>
  <c r="H190" i="14"/>
  <c r="AE189" i="14"/>
  <c r="AD189" i="14"/>
  <c r="AC189" i="14"/>
  <c r="AB189" i="14"/>
  <c r="AA189" i="14"/>
  <c r="Z189" i="14"/>
  <c r="Y189" i="14"/>
  <c r="X189" i="14"/>
  <c r="W189" i="14"/>
  <c r="V189" i="14"/>
  <c r="U189" i="14"/>
  <c r="T189" i="14"/>
  <c r="S189" i="14"/>
  <c r="R189" i="14"/>
  <c r="Q189" i="14"/>
  <c r="P189" i="14"/>
  <c r="O189" i="14"/>
  <c r="N189" i="14"/>
  <c r="M189" i="14"/>
  <c r="L189" i="14"/>
  <c r="K189" i="14"/>
  <c r="J189" i="14"/>
  <c r="I189" i="14"/>
  <c r="H189" i="14"/>
  <c r="AG187" i="14"/>
  <c r="AG186" i="14"/>
  <c r="B185" i="14"/>
  <c r="AG185" i="14" s="1"/>
  <c r="E184" i="14"/>
  <c r="E178" i="14" s="1"/>
  <c r="C184" i="14"/>
  <c r="C178" i="14" s="1"/>
  <c r="B184" i="14"/>
  <c r="AG184" i="14" s="1"/>
  <c r="E183" i="14"/>
  <c r="C183" i="14"/>
  <c r="C177" i="14" s="1"/>
  <c r="B183" i="14"/>
  <c r="AG183" i="14" s="1"/>
  <c r="AE182" i="14"/>
  <c r="AD182" i="14"/>
  <c r="AC182" i="14"/>
  <c r="AB182" i="14"/>
  <c r="AA182" i="14"/>
  <c r="Z182" i="14"/>
  <c r="Y182" i="14"/>
  <c r="X182" i="14"/>
  <c r="W182" i="14"/>
  <c r="V182" i="14"/>
  <c r="U182" i="14"/>
  <c r="T182" i="14"/>
  <c r="S182" i="14"/>
  <c r="R182" i="14"/>
  <c r="Q182" i="14"/>
  <c r="P182" i="14"/>
  <c r="O182" i="14"/>
  <c r="N182" i="14"/>
  <c r="M182" i="14"/>
  <c r="L182" i="14"/>
  <c r="J182" i="14"/>
  <c r="I182" i="14"/>
  <c r="H182" i="14"/>
  <c r="AG181" i="14"/>
  <c r="AE180" i="14"/>
  <c r="AD180" i="14"/>
  <c r="AC180" i="14"/>
  <c r="AB180" i="14"/>
  <c r="AA180" i="14"/>
  <c r="Z180" i="14"/>
  <c r="Y180" i="14"/>
  <c r="X180" i="14"/>
  <c r="W180" i="14"/>
  <c r="V180" i="14"/>
  <c r="U180" i="14"/>
  <c r="T180" i="14"/>
  <c r="S180" i="14"/>
  <c r="R180" i="14"/>
  <c r="Q180" i="14"/>
  <c r="P180" i="14"/>
  <c r="O180" i="14"/>
  <c r="N180" i="14"/>
  <c r="M180" i="14"/>
  <c r="L180" i="14"/>
  <c r="K180" i="14"/>
  <c r="J180" i="14"/>
  <c r="I180" i="14"/>
  <c r="H180" i="14"/>
  <c r="E180" i="14"/>
  <c r="D180" i="14"/>
  <c r="C180" i="14"/>
  <c r="B180" i="14"/>
  <c r="AE179" i="14"/>
  <c r="AD179" i="14"/>
  <c r="AC179" i="14"/>
  <c r="AB179" i="14"/>
  <c r="AA179" i="14"/>
  <c r="Z179" i="14"/>
  <c r="Y179" i="14"/>
  <c r="X179" i="14"/>
  <c r="W179" i="14"/>
  <c r="V179" i="14"/>
  <c r="U179" i="14"/>
  <c r="T179" i="14"/>
  <c r="S179" i="14"/>
  <c r="R179" i="14"/>
  <c r="Q179" i="14"/>
  <c r="P179" i="14"/>
  <c r="O179" i="14"/>
  <c r="N179" i="14"/>
  <c r="M179" i="14"/>
  <c r="L179" i="14"/>
  <c r="K179" i="14"/>
  <c r="J179" i="14"/>
  <c r="I179" i="14"/>
  <c r="H179" i="14"/>
  <c r="C179" i="14"/>
  <c r="AE178" i="14"/>
  <c r="AD178" i="14"/>
  <c r="AC178" i="14"/>
  <c r="AB178" i="14"/>
  <c r="AA178" i="14"/>
  <c r="Z178" i="14"/>
  <c r="Y178" i="14"/>
  <c r="X178" i="14"/>
  <c r="W178" i="14"/>
  <c r="V178" i="14"/>
  <c r="U178" i="14"/>
  <c r="T178" i="14"/>
  <c r="S178" i="14"/>
  <c r="R178" i="14"/>
  <c r="Q178" i="14"/>
  <c r="P178" i="14"/>
  <c r="O178" i="14"/>
  <c r="N178" i="14"/>
  <c r="M178" i="14"/>
  <c r="L178" i="14"/>
  <c r="K178" i="14"/>
  <c r="J178" i="14"/>
  <c r="I178" i="14"/>
  <c r="H178" i="14"/>
  <c r="AE177" i="14"/>
  <c r="AD177" i="14"/>
  <c r="AC177" i="14"/>
  <c r="AB177" i="14"/>
  <c r="AA177" i="14"/>
  <c r="Z177" i="14"/>
  <c r="Y177" i="14"/>
  <c r="X177" i="14"/>
  <c r="W177" i="14"/>
  <c r="V177" i="14"/>
  <c r="U177" i="14"/>
  <c r="T177" i="14"/>
  <c r="S177" i="14"/>
  <c r="R177" i="14"/>
  <c r="Q177" i="14"/>
  <c r="P177" i="14"/>
  <c r="O177" i="14"/>
  <c r="N177" i="14"/>
  <c r="M177" i="14"/>
  <c r="L177" i="14"/>
  <c r="K177" i="14"/>
  <c r="J177" i="14"/>
  <c r="I177" i="14"/>
  <c r="H177" i="14"/>
  <c r="AG175" i="14"/>
  <c r="AG173" i="14"/>
  <c r="AG172" i="14"/>
  <c r="E171" i="14"/>
  <c r="E168" i="14" s="1"/>
  <c r="C171" i="14"/>
  <c r="C165" i="14" s="1"/>
  <c r="B171" i="14"/>
  <c r="B168" i="14" s="1"/>
  <c r="AG170" i="14"/>
  <c r="AG169" i="14"/>
  <c r="AE168" i="14"/>
  <c r="AD168" i="14"/>
  <c r="AC168" i="14"/>
  <c r="AB168" i="14"/>
  <c r="AA168" i="14"/>
  <c r="Z168" i="14"/>
  <c r="Y168" i="14"/>
  <c r="X168" i="14"/>
  <c r="W168" i="14"/>
  <c r="V168" i="14"/>
  <c r="U168" i="14"/>
  <c r="T168" i="14"/>
  <c r="S168" i="14"/>
  <c r="R168" i="14"/>
  <c r="Q168" i="14"/>
  <c r="P168" i="14"/>
  <c r="O168" i="14"/>
  <c r="N168" i="14"/>
  <c r="M168" i="14"/>
  <c r="L168" i="14"/>
  <c r="K168" i="14"/>
  <c r="J168" i="14"/>
  <c r="I168" i="14"/>
  <c r="H168" i="14"/>
  <c r="C168" i="14"/>
  <c r="AG167" i="14"/>
  <c r="AE166" i="14"/>
  <c r="AD166" i="14"/>
  <c r="AC166" i="14"/>
  <c r="AB166" i="14"/>
  <c r="AA166" i="14"/>
  <c r="Z166" i="14"/>
  <c r="Y166" i="14"/>
  <c r="X166" i="14"/>
  <c r="W166" i="14"/>
  <c r="V166" i="14"/>
  <c r="U166" i="14"/>
  <c r="T166" i="14"/>
  <c r="S166" i="14"/>
  <c r="R166" i="14"/>
  <c r="Q166" i="14"/>
  <c r="P166" i="14"/>
  <c r="O166" i="14"/>
  <c r="N166" i="14"/>
  <c r="M166" i="14"/>
  <c r="L166" i="14"/>
  <c r="K166" i="14"/>
  <c r="J166" i="14"/>
  <c r="I166" i="14"/>
  <c r="H166" i="14"/>
  <c r="E166" i="14"/>
  <c r="D166" i="14"/>
  <c r="C166" i="14"/>
  <c r="B166" i="14"/>
  <c r="AE165" i="14"/>
  <c r="AD165" i="14"/>
  <c r="AC165" i="14"/>
  <c r="AB165" i="14"/>
  <c r="AA165" i="14"/>
  <c r="Z165" i="14"/>
  <c r="Y165" i="14"/>
  <c r="X165" i="14"/>
  <c r="W165" i="14"/>
  <c r="V165" i="14"/>
  <c r="U165" i="14"/>
  <c r="T165" i="14"/>
  <c r="S165" i="14"/>
  <c r="R165" i="14"/>
  <c r="Q165" i="14"/>
  <c r="P165" i="14"/>
  <c r="O165" i="14"/>
  <c r="N165" i="14"/>
  <c r="M165" i="14"/>
  <c r="L165" i="14"/>
  <c r="K165" i="14"/>
  <c r="J165" i="14"/>
  <c r="I165" i="14"/>
  <c r="H165" i="14"/>
  <c r="AE164" i="14"/>
  <c r="AD164" i="14"/>
  <c r="AC164" i="14"/>
  <c r="AB164" i="14"/>
  <c r="AA164" i="14"/>
  <c r="Z164" i="14"/>
  <c r="Y164" i="14"/>
  <c r="X164" i="14"/>
  <c r="W164" i="14"/>
  <c r="V164" i="14"/>
  <c r="U164" i="14"/>
  <c r="T164" i="14"/>
  <c r="S164" i="14"/>
  <c r="R164" i="14"/>
  <c r="Q164" i="14"/>
  <c r="P164" i="14"/>
  <c r="O164" i="14"/>
  <c r="N164" i="14"/>
  <c r="M164" i="14"/>
  <c r="L164" i="14"/>
  <c r="K164" i="14"/>
  <c r="J164" i="14"/>
  <c r="I164" i="14"/>
  <c r="H164" i="14"/>
  <c r="E164" i="14"/>
  <c r="D164" i="14"/>
  <c r="C164" i="14"/>
  <c r="B164" i="14"/>
  <c r="AE163" i="14"/>
  <c r="AD163" i="14"/>
  <c r="AC163" i="14"/>
  <c r="AB163" i="14"/>
  <c r="AA163" i="14"/>
  <c r="Z163" i="14"/>
  <c r="Y163" i="14"/>
  <c r="X163" i="14"/>
  <c r="W163" i="14"/>
  <c r="V163" i="14"/>
  <c r="U163" i="14"/>
  <c r="T163" i="14"/>
  <c r="S163" i="14"/>
  <c r="R163" i="14"/>
  <c r="Q163" i="14"/>
  <c r="P163" i="14"/>
  <c r="O163" i="14"/>
  <c r="N163" i="14"/>
  <c r="M163" i="14"/>
  <c r="L163" i="14"/>
  <c r="K163" i="14"/>
  <c r="J163" i="14"/>
  <c r="I163" i="14"/>
  <c r="H163" i="14"/>
  <c r="E163" i="14"/>
  <c r="D163" i="14"/>
  <c r="C163" i="14"/>
  <c r="B163" i="14"/>
  <c r="AG161" i="14"/>
  <c r="AG160" i="14"/>
  <c r="AG159" i="14"/>
  <c r="AG158" i="14"/>
  <c r="B157" i="14"/>
  <c r="B154" i="14" s="1"/>
  <c r="AG154" i="14" s="1"/>
  <c r="AG156" i="14"/>
  <c r="AG155" i="14"/>
  <c r="B143" i="14"/>
  <c r="AG146" i="14"/>
  <c r="AE145" i="14"/>
  <c r="AD145" i="14"/>
  <c r="AC145" i="14"/>
  <c r="AB145" i="14"/>
  <c r="AA145" i="14"/>
  <c r="Z145" i="14"/>
  <c r="Y145" i="14"/>
  <c r="X145" i="14"/>
  <c r="W145" i="14"/>
  <c r="V145" i="14"/>
  <c r="U145" i="14"/>
  <c r="T145" i="14"/>
  <c r="S145" i="14"/>
  <c r="R145" i="14"/>
  <c r="Q145" i="14"/>
  <c r="P145" i="14"/>
  <c r="O145" i="14"/>
  <c r="N145" i="14"/>
  <c r="M145" i="14"/>
  <c r="L145" i="14"/>
  <c r="K145" i="14"/>
  <c r="J145" i="14"/>
  <c r="I145" i="14"/>
  <c r="H145" i="14"/>
  <c r="E145" i="14"/>
  <c r="D145" i="14"/>
  <c r="C145" i="14"/>
  <c r="B145" i="14"/>
  <c r="AE144" i="14"/>
  <c r="AD144" i="14"/>
  <c r="AC144" i="14"/>
  <c r="AB144" i="14"/>
  <c r="AA144" i="14"/>
  <c r="Z144" i="14"/>
  <c r="Y144" i="14"/>
  <c r="X144" i="14"/>
  <c r="W144" i="14"/>
  <c r="V144" i="14"/>
  <c r="U144" i="14"/>
  <c r="T144" i="14"/>
  <c r="S144" i="14"/>
  <c r="R144" i="14"/>
  <c r="Q144" i="14"/>
  <c r="P144" i="14"/>
  <c r="O144" i="14"/>
  <c r="N144" i="14"/>
  <c r="M144" i="14"/>
  <c r="L144" i="14"/>
  <c r="K144" i="14"/>
  <c r="J144" i="14"/>
  <c r="I144" i="14"/>
  <c r="H144" i="14"/>
  <c r="AE143" i="14"/>
  <c r="AD143" i="14"/>
  <c r="AC143" i="14"/>
  <c r="AB143" i="14"/>
  <c r="AA143" i="14"/>
  <c r="Z143" i="14"/>
  <c r="Y143" i="14"/>
  <c r="X143" i="14"/>
  <c r="W143" i="14"/>
  <c r="V143" i="14"/>
  <c r="U143" i="14"/>
  <c r="T143" i="14"/>
  <c r="S143" i="14"/>
  <c r="R143" i="14"/>
  <c r="Q143" i="14"/>
  <c r="P143" i="14"/>
  <c r="O143" i="14"/>
  <c r="N143" i="14"/>
  <c r="M143" i="14"/>
  <c r="L143" i="14"/>
  <c r="K143" i="14"/>
  <c r="J143" i="14"/>
  <c r="I143" i="14"/>
  <c r="H143" i="14"/>
  <c r="E143" i="14"/>
  <c r="D143" i="14"/>
  <c r="AE142" i="14"/>
  <c r="AD142" i="14"/>
  <c r="AC142" i="14"/>
  <c r="AB142" i="14"/>
  <c r="AA142" i="14"/>
  <c r="Z142" i="14"/>
  <c r="Y142" i="14"/>
  <c r="X142" i="14"/>
  <c r="W142" i="14"/>
  <c r="V142" i="14"/>
  <c r="U142" i="14"/>
  <c r="T142" i="14"/>
  <c r="S142" i="14"/>
  <c r="R142" i="14"/>
  <c r="Q142" i="14"/>
  <c r="P142" i="14"/>
  <c r="O142" i="14"/>
  <c r="N142" i="14"/>
  <c r="M142" i="14"/>
  <c r="L142" i="14"/>
  <c r="K142" i="14"/>
  <c r="J142" i="14"/>
  <c r="I142" i="14"/>
  <c r="H142" i="14"/>
  <c r="E142" i="14"/>
  <c r="D142" i="14"/>
  <c r="C142" i="14"/>
  <c r="B142" i="14"/>
  <c r="AG140" i="14"/>
  <c r="AG139" i="14"/>
  <c r="E138" i="14"/>
  <c r="C138" i="14"/>
  <c r="B138" i="14"/>
  <c r="AG137" i="14"/>
  <c r="AG136" i="14"/>
  <c r="AE135" i="14"/>
  <c r="AD135" i="14"/>
  <c r="AC135" i="14"/>
  <c r="AB135" i="14"/>
  <c r="AA135" i="14"/>
  <c r="Z135" i="14"/>
  <c r="Y135" i="14"/>
  <c r="X135" i="14"/>
  <c r="W135" i="14"/>
  <c r="V135" i="14"/>
  <c r="U135" i="14"/>
  <c r="T135" i="14"/>
  <c r="S135" i="14"/>
  <c r="R135" i="14"/>
  <c r="Q135" i="14"/>
  <c r="P135" i="14"/>
  <c r="O135" i="14"/>
  <c r="N135" i="14"/>
  <c r="M135" i="14"/>
  <c r="L135" i="14"/>
  <c r="K135" i="14"/>
  <c r="J135" i="14"/>
  <c r="I135" i="14"/>
  <c r="H135" i="14"/>
  <c r="AG134" i="14"/>
  <c r="AG133" i="14"/>
  <c r="E132" i="14"/>
  <c r="D132" i="14" s="1"/>
  <c r="C132" i="14"/>
  <c r="B132" i="14"/>
  <c r="AG131" i="14"/>
  <c r="AG130" i="14"/>
  <c r="AE129" i="14"/>
  <c r="AD129" i="14"/>
  <c r="AC129" i="14"/>
  <c r="AB129" i="14"/>
  <c r="AA129" i="14"/>
  <c r="Z129" i="14"/>
  <c r="Y129" i="14"/>
  <c r="X129" i="14"/>
  <c r="W129" i="14"/>
  <c r="V129" i="14"/>
  <c r="U129" i="14"/>
  <c r="T129" i="14"/>
  <c r="S129" i="14"/>
  <c r="R129" i="14"/>
  <c r="Q129" i="14"/>
  <c r="P129" i="14"/>
  <c r="O129" i="14"/>
  <c r="N129" i="14"/>
  <c r="M129" i="14"/>
  <c r="L129" i="14"/>
  <c r="K129" i="14"/>
  <c r="J129" i="14"/>
  <c r="I129" i="14"/>
  <c r="H129" i="14"/>
  <c r="AG128" i="14"/>
  <c r="AG119" i="14"/>
  <c r="E118" i="14"/>
  <c r="D118" i="14" s="1"/>
  <c r="C118" i="14"/>
  <c r="B118" i="14"/>
  <c r="B117" i="14"/>
  <c r="AG117" i="14" s="1"/>
  <c r="AG116" i="14"/>
  <c r="AE115" i="14"/>
  <c r="AD115" i="14"/>
  <c r="AC115" i="14"/>
  <c r="AB115" i="14"/>
  <c r="AA115" i="14"/>
  <c r="Z115" i="14"/>
  <c r="Y115" i="14"/>
  <c r="X115" i="14"/>
  <c r="W115" i="14"/>
  <c r="V115" i="14"/>
  <c r="U115" i="14"/>
  <c r="T115" i="14"/>
  <c r="S115" i="14"/>
  <c r="R115" i="14"/>
  <c r="Q115" i="14"/>
  <c r="P115" i="14"/>
  <c r="O115" i="14"/>
  <c r="N115" i="14"/>
  <c r="M115" i="14"/>
  <c r="L115" i="14"/>
  <c r="K115" i="14"/>
  <c r="J115" i="14"/>
  <c r="I115" i="14"/>
  <c r="H115" i="14"/>
  <c r="AG114" i="14"/>
  <c r="AG113" i="14"/>
  <c r="E112" i="14"/>
  <c r="D112" i="14" s="1"/>
  <c r="C112" i="14"/>
  <c r="C109" i="14" s="1"/>
  <c r="B112" i="14"/>
  <c r="E111" i="14"/>
  <c r="B111" i="14"/>
  <c r="AG110" i="14"/>
  <c r="AE109" i="14"/>
  <c r="AD109" i="14"/>
  <c r="AC109" i="14"/>
  <c r="AB109" i="14"/>
  <c r="AA109" i="14"/>
  <c r="Z109" i="14"/>
  <c r="Y109" i="14"/>
  <c r="X109" i="14"/>
  <c r="W109" i="14"/>
  <c r="V109" i="14"/>
  <c r="U109" i="14"/>
  <c r="T109" i="14"/>
  <c r="S109" i="14"/>
  <c r="R109" i="14"/>
  <c r="Q109" i="14"/>
  <c r="P109" i="14"/>
  <c r="O109" i="14"/>
  <c r="N109" i="14"/>
  <c r="M109" i="14"/>
  <c r="L109" i="14"/>
  <c r="K109" i="14"/>
  <c r="J109" i="14"/>
  <c r="I109" i="14"/>
  <c r="H109" i="14"/>
  <c r="AG108" i="14"/>
  <c r="AG107" i="14"/>
  <c r="C103" i="14"/>
  <c r="B106" i="14"/>
  <c r="AG105" i="14"/>
  <c r="AG104" i="14"/>
  <c r="AE103" i="14"/>
  <c r="AC103" i="14"/>
  <c r="AB103" i="14"/>
  <c r="AA103" i="14"/>
  <c r="Y103" i="14"/>
  <c r="X103" i="14"/>
  <c r="W103" i="14"/>
  <c r="V103" i="14"/>
  <c r="U103" i="14"/>
  <c r="T103" i="14"/>
  <c r="S103" i="14"/>
  <c r="R103" i="14"/>
  <c r="Q103" i="14"/>
  <c r="P103" i="14"/>
  <c r="O103" i="14"/>
  <c r="N103" i="14"/>
  <c r="M103" i="14"/>
  <c r="L103" i="14"/>
  <c r="K103" i="14"/>
  <c r="J103" i="14"/>
  <c r="I103" i="14"/>
  <c r="H103" i="14"/>
  <c r="AG102" i="14"/>
  <c r="AG101" i="14"/>
  <c r="E100" i="14"/>
  <c r="D100" i="14" s="1"/>
  <c r="C100" i="14"/>
  <c r="B100" i="14"/>
  <c r="AG99" i="14"/>
  <c r="AE97" i="14"/>
  <c r="AD97" i="14"/>
  <c r="AC97" i="14"/>
  <c r="AB97" i="14"/>
  <c r="AA97" i="14"/>
  <c r="Z97" i="14"/>
  <c r="Y97" i="14"/>
  <c r="X97" i="14"/>
  <c r="W97" i="14"/>
  <c r="V97" i="14"/>
  <c r="U97" i="14"/>
  <c r="T97" i="14"/>
  <c r="S97" i="14"/>
  <c r="R97" i="14"/>
  <c r="Q97" i="14"/>
  <c r="P97" i="14"/>
  <c r="O97" i="14"/>
  <c r="N97" i="14"/>
  <c r="M97" i="14"/>
  <c r="L97" i="14"/>
  <c r="K97" i="14"/>
  <c r="J97" i="14"/>
  <c r="I97" i="14"/>
  <c r="H97" i="14"/>
  <c r="AG96" i="14"/>
  <c r="AE95" i="14"/>
  <c r="AD89" i="14"/>
  <c r="AC95" i="14"/>
  <c r="AC89" i="14" s="1"/>
  <c r="AB95" i="14"/>
  <c r="AB89" i="14" s="1"/>
  <c r="AA95" i="14"/>
  <c r="Z95" i="14"/>
  <c r="Z89" i="14" s="1"/>
  <c r="Y95" i="14"/>
  <c r="Y89" i="14" s="1"/>
  <c r="X95" i="14"/>
  <c r="X89" i="14" s="1"/>
  <c r="W95" i="14"/>
  <c r="V95" i="14"/>
  <c r="V89" i="14" s="1"/>
  <c r="U95" i="14"/>
  <c r="U89" i="14" s="1"/>
  <c r="T95" i="14"/>
  <c r="T89" i="14" s="1"/>
  <c r="S95" i="14"/>
  <c r="R95" i="14"/>
  <c r="R89" i="14" s="1"/>
  <c r="Q95" i="14"/>
  <c r="Q89" i="14" s="1"/>
  <c r="P95" i="14"/>
  <c r="P89" i="14" s="1"/>
  <c r="O95" i="14"/>
  <c r="N95" i="14"/>
  <c r="N89" i="14" s="1"/>
  <c r="M95" i="14"/>
  <c r="M89" i="14" s="1"/>
  <c r="L95" i="14"/>
  <c r="L89" i="14" s="1"/>
  <c r="K95" i="14"/>
  <c r="J95" i="14"/>
  <c r="J89" i="14" s="1"/>
  <c r="I95" i="14"/>
  <c r="I89" i="14" s="1"/>
  <c r="H95" i="14"/>
  <c r="H89" i="14" s="1"/>
  <c r="E95" i="14"/>
  <c r="D95" i="14"/>
  <c r="AE94" i="14"/>
  <c r="AE88" i="14" s="1"/>
  <c r="AD94" i="14"/>
  <c r="AD88" i="14" s="1"/>
  <c r="AC94" i="14"/>
  <c r="AC88" i="14" s="1"/>
  <c r="AB94" i="14"/>
  <c r="AB88" i="14" s="1"/>
  <c r="AA94" i="14"/>
  <c r="AA88" i="14" s="1"/>
  <c r="Z94" i="14"/>
  <c r="Z88" i="14" s="1"/>
  <c r="Y94" i="14"/>
  <c r="Y88" i="14" s="1"/>
  <c r="X94" i="14"/>
  <c r="X88" i="14" s="1"/>
  <c r="W94" i="14"/>
  <c r="W88" i="14" s="1"/>
  <c r="V94" i="14"/>
  <c r="V88" i="14" s="1"/>
  <c r="U94" i="14"/>
  <c r="T94" i="14"/>
  <c r="T88" i="14" s="1"/>
  <c r="S94" i="14"/>
  <c r="S88" i="14" s="1"/>
  <c r="R94" i="14"/>
  <c r="R88" i="14" s="1"/>
  <c r="Q94" i="14"/>
  <c r="Q88" i="14" s="1"/>
  <c r="P94" i="14"/>
  <c r="P88" i="14" s="1"/>
  <c r="O94" i="14"/>
  <c r="O88" i="14" s="1"/>
  <c r="N94" i="14"/>
  <c r="N88" i="14" s="1"/>
  <c r="M94" i="14"/>
  <c r="M88" i="14" s="1"/>
  <c r="L94" i="14"/>
  <c r="L88" i="14" s="1"/>
  <c r="K94" i="14"/>
  <c r="K88" i="14" s="1"/>
  <c r="J94" i="14"/>
  <c r="J88" i="14" s="1"/>
  <c r="I94" i="14"/>
  <c r="I88" i="14" s="1"/>
  <c r="H94" i="14"/>
  <c r="H88" i="14" s="1"/>
  <c r="C88" i="14" s="1"/>
  <c r="AE93" i="14"/>
  <c r="AE87" i="14" s="1"/>
  <c r="AD93" i="14"/>
  <c r="AD87" i="14" s="1"/>
  <c r="AC93" i="14"/>
  <c r="AC87" i="14" s="1"/>
  <c r="AB93" i="14"/>
  <c r="AB87" i="14" s="1"/>
  <c r="AA93" i="14"/>
  <c r="AA87" i="14" s="1"/>
  <c r="Z93" i="14"/>
  <c r="Z87" i="14" s="1"/>
  <c r="Y93" i="14"/>
  <c r="Y87" i="14" s="1"/>
  <c r="X93" i="14"/>
  <c r="X87" i="14" s="1"/>
  <c r="W93" i="14"/>
  <c r="W87" i="14" s="1"/>
  <c r="V93" i="14"/>
  <c r="V87" i="14" s="1"/>
  <c r="U93" i="14"/>
  <c r="U87" i="14" s="1"/>
  <c r="T93" i="14"/>
  <c r="T87" i="14" s="1"/>
  <c r="S93" i="14"/>
  <c r="S87" i="14" s="1"/>
  <c r="R93" i="14"/>
  <c r="R87" i="14" s="1"/>
  <c r="Q93" i="14"/>
  <c r="Q87" i="14" s="1"/>
  <c r="P93" i="14"/>
  <c r="P87" i="14" s="1"/>
  <c r="O93" i="14"/>
  <c r="O87" i="14" s="1"/>
  <c r="N93" i="14"/>
  <c r="N87" i="14" s="1"/>
  <c r="M93" i="14"/>
  <c r="M87" i="14" s="1"/>
  <c r="L93" i="14"/>
  <c r="L87" i="14" s="1"/>
  <c r="K93" i="14"/>
  <c r="K87" i="14" s="1"/>
  <c r="J93" i="14"/>
  <c r="J87" i="14" s="1"/>
  <c r="I93" i="14"/>
  <c r="I87" i="14" s="1"/>
  <c r="AE86" i="14"/>
  <c r="AD86" i="14"/>
  <c r="AC86" i="14"/>
  <c r="AB86" i="14"/>
  <c r="AA86" i="14"/>
  <c r="Y86" i="14"/>
  <c r="X86" i="14"/>
  <c r="W86" i="14"/>
  <c r="V86" i="14"/>
  <c r="U86" i="14"/>
  <c r="T86" i="14"/>
  <c r="S86" i="14"/>
  <c r="R86" i="14"/>
  <c r="Q86" i="14"/>
  <c r="P86" i="14"/>
  <c r="O86" i="14"/>
  <c r="N86" i="14"/>
  <c r="M86" i="14"/>
  <c r="L86" i="14"/>
  <c r="K86" i="14"/>
  <c r="J86" i="14"/>
  <c r="I86" i="14"/>
  <c r="H86" i="14"/>
  <c r="AG90" i="14"/>
  <c r="AG84" i="14"/>
  <c r="AG77" i="14"/>
  <c r="D76" i="14"/>
  <c r="D73" i="14" s="1"/>
  <c r="C73" i="14"/>
  <c r="B76" i="14"/>
  <c r="AG75" i="14"/>
  <c r="AG74" i="14"/>
  <c r="AE73" i="14"/>
  <c r="AD73" i="14"/>
  <c r="AC73" i="14"/>
  <c r="AB73" i="14"/>
  <c r="AA73" i="14"/>
  <c r="Z73" i="14"/>
  <c r="Y73" i="14"/>
  <c r="X73" i="14"/>
  <c r="W73" i="14"/>
  <c r="V73" i="14"/>
  <c r="U73" i="14"/>
  <c r="T73" i="14"/>
  <c r="S73" i="14"/>
  <c r="R73" i="14"/>
  <c r="Q73" i="14"/>
  <c r="P73" i="14"/>
  <c r="O73" i="14"/>
  <c r="N73" i="14"/>
  <c r="L73" i="14"/>
  <c r="K73" i="14"/>
  <c r="J73" i="14"/>
  <c r="I73" i="14"/>
  <c r="H73" i="14"/>
  <c r="AG72" i="14"/>
  <c r="AG71" i="14"/>
  <c r="D67" i="14"/>
  <c r="B67" i="14"/>
  <c r="AG69" i="14"/>
  <c r="AG68" i="14"/>
  <c r="AE67" i="14"/>
  <c r="AD67" i="14"/>
  <c r="AC67" i="14"/>
  <c r="AB67" i="14"/>
  <c r="AA67" i="14"/>
  <c r="Z67" i="14"/>
  <c r="Y67" i="14"/>
  <c r="X67" i="14"/>
  <c r="W67" i="14"/>
  <c r="V67" i="14"/>
  <c r="U67" i="14"/>
  <c r="T67" i="14"/>
  <c r="S67" i="14"/>
  <c r="R67" i="14"/>
  <c r="Q67" i="14"/>
  <c r="P67" i="14"/>
  <c r="N67" i="14"/>
  <c r="M67" i="14"/>
  <c r="L67" i="14"/>
  <c r="K67" i="14"/>
  <c r="J67" i="14"/>
  <c r="I67" i="14"/>
  <c r="H67" i="14"/>
  <c r="AG66" i="14"/>
  <c r="AE65" i="14"/>
  <c r="AD65" i="14"/>
  <c r="AC65" i="14"/>
  <c r="AB65" i="14"/>
  <c r="AA65" i="14"/>
  <c r="Z65" i="14"/>
  <c r="Y65" i="14"/>
  <c r="X65" i="14"/>
  <c r="W65" i="14"/>
  <c r="V65" i="14"/>
  <c r="U65" i="14"/>
  <c r="T65" i="14"/>
  <c r="S65" i="14"/>
  <c r="R65" i="14"/>
  <c r="Q65" i="14"/>
  <c r="P65" i="14"/>
  <c r="O65" i="14"/>
  <c r="N65" i="14"/>
  <c r="M65" i="14"/>
  <c r="L65" i="14"/>
  <c r="K65" i="14"/>
  <c r="J65" i="14"/>
  <c r="I65" i="14"/>
  <c r="H65" i="14"/>
  <c r="E65" i="14"/>
  <c r="D65" i="14"/>
  <c r="C65" i="14"/>
  <c r="B65" i="14"/>
  <c r="AE63" i="14"/>
  <c r="AD63" i="14"/>
  <c r="AC63" i="14"/>
  <c r="AB63" i="14"/>
  <c r="AA63" i="14"/>
  <c r="Z63" i="14"/>
  <c r="Y63" i="14"/>
  <c r="X63" i="14"/>
  <c r="W63" i="14"/>
  <c r="V63" i="14"/>
  <c r="U63" i="14"/>
  <c r="T63" i="14"/>
  <c r="S63" i="14"/>
  <c r="R63" i="14"/>
  <c r="Q63" i="14"/>
  <c r="P63" i="14"/>
  <c r="O63" i="14"/>
  <c r="N63" i="14"/>
  <c r="M63" i="14"/>
  <c r="L63" i="14"/>
  <c r="K63" i="14"/>
  <c r="J63" i="14"/>
  <c r="I63" i="14"/>
  <c r="H63" i="14"/>
  <c r="E63" i="14"/>
  <c r="D63" i="14"/>
  <c r="C63" i="14"/>
  <c r="B63" i="14"/>
  <c r="AE62" i="14"/>
  <c r="AD62" i="14"/>
  <c r="AC62" i="14"/>
  <c r="AB62" i="14"/>
  <c r="AA62" i="14"/>
  <c r="Z62" i="14"/>
  <c r="Y62" i="14"/>
  <c r="X62" i="14"/>
  <c r="W62" i="14"/>
  <c r="V62" i="14"/>
  <c r="U62" i="14"/>
  <c r="T62" i="14"/>
  <c r="S62" i="14"/>
  <c r="R62" i="14"/>
  <c r="Q62" i="14"/>
  <c r="P62" i="14"/>
  <c r="O62" i="14"/>
  <c r="N62" i="14"/>
  <c r="M62" i="14"/>
  <c r="M61" i="14" s="1"/>
  <c r="L62" i="14"/>
  <c r="K62" i="14"/>
  <c r="J62" i="14"/>
  <c r="I62" i="14"/>
  <c r="H62" i="14"/>
  <c r="E62" i="14"/>
  <c r="D62" i="14"/>
  <c r="C62" i="14"/>
  <c r="B62" i="14"/>
  <c r="AG60" i="14"/>
  <c r="AG53" i="14"/>
  <c r="E52" i="14"/>
  <c r="D52" i="14" s="1"/>
  <c r="D49" i="14" s="1"/>
  <c r="C52" i="14"/>
  <c r="C49" i="14" s="1"/>
  <c r="B52" i="14"/>
  <c r="AG51" i="14"/>
  <c r="AG50" i="14"/>
  <c r="AE49" i="14"/>
  <c r="AD49" i="14"/>
  <c r="AC49" i="14"/>
  <c r="AB49" i="14"/>
  <c r="AA49" i="14"/>
  <c r="Z49" i="14"/>
  <c r="Y49" i="14"/>
  <c r="X49" i="14"/>
  <c r="W49" i="14"/>
  <c r="V49" i="14"/>
  <c r="U49" i="14"/>
  <c r="T49" i="14"/>
  <c r="S49" i="14"/>
  <c r="R49" i="14"/>
  <c r="Q49" i="14"/>
  <c r="P49" i="14"/>
  <c r="O49" i="14"/>
  <c r="N49" i="14"/>
  <c r="M49" i="14"/>
  <c r="L49" i="14"/>
  <c r="K49" i="14"/>
  <c r="J49" i="14"/>
  <c r="I49" i="14"/>
  <c r="H49" i="14"/>
  <c r="AG48" i="14"/>
  <c r="AG47" i="14"/>
  <c r="E43" i="14"/>
  <c r="B46" i="14"/>
  <c r="B43" i="14" s="1"/>
  <c r="AG45" i="14"/>
  <c r="AG44" i="14"/>
  <c r="AE43" i="14"/>
  <c r="AD43" i="14"/>
  <c r="AC43" i="14"/>
  <c r="AB43" i="14"/>
  <c r="AA43" i="14"/>
  <c r="Z43" i="14"/>
  <c r="Y43" i="14"/>
  <c r="X43" i="14"/>
  <c r="W43" i="14"/>
  <c r="V43" i="14"/>
  <c r="U43" i="14"/>
  <c r="T43" i="14"/>
  <c r="S43" i="14"/>
  <c r="R43" i="14"/>
  <c r="Q43" i="14"/>
  <c r="P43" i="14"/>
  <c r="O43" i="14"/>
  <c r="M43" i="14"/>
  <c r="L43" i="14"/>
  <c r="K43" i="14"/>
  <c r="J43" i="14"/>
  <c r="I43" i="14"/>
  <c r="H43" i="14"/>
  <c r="C43" i="14"/>
  <c r="AG42" i="14"/>
  <c r="AG41" i="14"/>
  <c r="AG40" i="14"/>
  <c r="E39" i="14"/>
  <c r="C39" i="14"/>
  <c r="B39" i="14"/>
  <c r="AG39" i="14" s="1"/>
  <c r="E38" i="14"/>
  <c r="D38" i="14" s="1"/>
  <c r="C38" i="14"/>
  <c r="B38" i="14"/>
  <c r="AE37" i="14"/>
  <c r="AD37" i="14"/>
  <c r="AC37" i="14"/>
  <c r="AB37" i="14"/>
  <c r="AA37" i="14"/>
  <c r="Z37" i="14"/>
  <c r="Y37" i="14"/>
  <c r="X37" i="14"/>
  <c r="W37" i="14"/>
  <c r="V37" i="14"/>
  <c r="U37" i="14"/>
  <c r="T37" i="14"/>
  <c r="S37" i="14"/>
  <c r="R37" i="14"/>
  <c r="Q37" i="14"/>
  <c r="P37" i="14"/>
  <c r="O37" i="14"/>
  <c r="N37" i="14"/>
  <c r="M37" i="14"/>
  <c r="L37" i="14"/>
  <c r="K37" i="14"/>
  <c r="J37" i="14"/>
  <c r="I37" i="14"/>
  <c r="H37" i="14"/>
  <c r="AG36" i="14"/>
  <c r="AE35" i="14"/>
  <c r="AD35" i="14"/>
  <c r="AC35" i="14"/>
  <c r="AB35" i="14"/>
  <c r="AA35" i="14"/>
  <c r="Z35" i="14"/>
  <c r="Y35" i="14"/>
  <c r="X35" i="14"/>
  <c r="W35" i="14"/>
  <c r="V35" i="14"/>
  <c r="U35" i="14"/>
  <c r="T35" i="14"/>
  <c r="S35" i="14"/>
  <c r="R35" i="14"/>
  <c r="Q35" i="14"/>
  <c r="P35" i="14"/>
  <c r="O35" i="14"/>
  <c r="N35" i="14"/>
  <c r="M35" i="14"/>
  <c r="L35" i="14"/>
  <c r="K35" i="14"/>
  <c r="J35" i="14"/>
  <c r="I35" i="14"/>
  <c r="H35" i="14"/>
  <c r="AE33" i="14"/>
  <c r="AD33" i="14"/>
  <c r="AC33" i="14"/>
  <c r="AB33" i="14"/>
  <c r="AA33" i="14"/>
  <c r="Z33" i="14"/>
  <c r="Y33" i="14"/>
  <c r="X33" i="14"/>
  <c r="W33" i="14"/>
  <c r="V33" i="14"/>
  <c r="U33" i="14"/>
  <c r="T33" i="14"/>
  <c r="S33" i="14"/>
  <c r="R33" i="14"/>
  <c r="Q33" i="14"/>
  <c r="P33" i="14"/>
  <c r="O33" i="14"/>
  <c r="N33" i="14"/>
  <c r="M33" i="14"/>
  <c r="L33" i="14"/>
  <c r="K33" i="14"/>
  <c r="J33" i="14"/>
  <c r="I33" i="14"/>
  <c r="H33" i="14"/>
  <c r="C33" i="14" s="1"/>
  <c r="AE32" i="14"/>
  <c r="AD32" i="14"/>
  <c r="AC32" i="14"/>
  <c r="AB32" i="14"/>
  <c r="AA32" i="14"/>
  <c r="Z32" i="14"/>
  <c r="Y32" i="14"/>
  <c r="X32" i="14"/>
  <c r="W32" i="14"/>
  <c r="V32" i="14"/>
  <c r="U32" i="14"/>
  <c r="T32" i="14"/>
  <c r="S32" i="14"/>
  <c r="R32" i="14"/>
  <c r="Q32" i="14"/>
  <c r="P32" i="14"/>
  <c r="O32" i="14"/>
  <c r="N32" i="14"/>
  <c r="M32" i="14"/>
  <c r="L32" i="14"/>
  <c r="K32" i="14"/>
  <c r="J32" i="14"/>
  <c r="I32" i="14"/>
  <c r="H32" i="14"/>
  <c r="AG30" i="14"/>
  <c r="AG29" i="14"/>
  <c r="E28" i="14"/>
  <c r="C28" i="14"/>
  <c r="B28" i="14"/>
  <c r="E27" i="14"/>
  <c r="C27" i="14"/>
  <c r="B27" i="14"/>
  <c r="AG27" i="14" s="1"/>
  <c r="E26" i="14"/>
  <c r="D26" i="14" s="1"/>
  <c r="C26" i="14"/>
  <c r="B26" i="14"/>
  <c r="AG26" i="14" s="1"/>
  <c r="E25" i="14"/>
  <c r="C25" i="14"/>
  <c r="B25" i="14"/>
  <c r="AG25" i="14" s="1"/>
  <c r="AE24" i="14"/>
  <c r="AD24" i="14"/>
  <c r="AC24" i="14"/>
  <c r="AB24" i="14"/>
  <c r="AA24" i="14"/>
  <c r="Z24" i="14"/>
  <c r="Y24" i="14"/>
  <c r="X24" i="14"/>
  <c r="W24" i="14"/>
  <c r="V24" i="14"/>
  <c r="U24" i="14"/>
  <c r="T24" i="14"/>
  <c r="S24" i="14"/>
  <c r="R24" i="14"/>
  <c r="Q24" i="14"/>
  <c r="P24" i="14"/>
  <c r="O24" i="14"/>
  <c r="N24" i="14"/>
  <c r="M24" i="14"/>
  <c r="L24" i="14"/>
  <c r="K24" i="14"/>
  <c r="J24" i="14"/>
  <c r="I24" i="14"/>
  <c r="H24" i="14"/>
  <c r="AG23" i="14"/>
  <c r="AG22" i="14"/>
  <c r="B21" i="14"/>
  <c r="E20" i="14"/>
  <c r="C20" i="14"/>
  <c r="B20" i="14"/>
  <c r="E19" i="14"/>
  <c r="C19" i="14"/>
  <c r="B19" i="14"/>
  <c r="AE18" i="14"/>
  <c r="AD18" i="14"/>
  <c r="AC18" i="14"/>
  <c r="AB18" i="14"/>
  <c r="AA18" i="14"/>
  <c r="Z18" i="14"/>
  <c r="Y18" i="14"/>
  <c r="X18" i="14"/>
  <c r="W18" i="14"/>
  <c r="V18" i="14"/>
  <c r="U18" i="14"/>
  <c r="T18" i="14"/>
  <c r="S18" i="14"/>
  <c r="R18" i="14"/>
  <c r="Q18" i="14"/>
  <c r="P18" i="14"/>
  <c r="O18" i="14"/>
  <c r="N18" i="14"/>
  <c r="M18" i="14"/>
  <c r="L18" i="14"/>
  <c r="K18" i="14"/>
  <c r="J18" i="14"/>
  <c r="I18" i="14"/>
  <c r="H18" i="14"/>
  <c r="AG17" i="14"/>
  <c r="AE16" i="14"/>
  <c r="AD16" i="14"/>
  <c r="AC16" i="14"/>
  <c r="AB16" i="14"/>
  <c r="AA16" i="14"/>
  <c r="Z16" i="14"/>
  <c r="Y16" i="14"/>
  <c r="X16" i="14"/>
  <c r="W16" i="14"/>
  <c r="V16" i="14"/>
  <c r="U16" i="14"/>
  <c r="T16" i="14"/>
  <c r="S16" i="14"/>
  <c r="R16" i="14"/>
  <c r="Q16" i="14"/>
  <c r="P16" i="14"/>
  <c r="O16" i="14"/>
  <c r="N16" i="14"/>
  <c r="M16" i="14"/>
  <c r="L16" i="14"/>
  <c r="K16" i="14"/>
  <c r="J16" i="14"/>
  <c r="I16" i="14"/>
  <c r="H16" i="14"/>
  <c r="E16" i="14"/>
  <c r="D16" i="14"/>
  <c r="C16" i="14"/>
  <c r="B16" i="14"/>
  <c r="AE15" i="14"/>
  <c r="AD15" i="14"/>
  <c r="AC15" i="14"/>
  <c r="AB15" i="14"/>
  <c r="AA15" i="14"/>
  <c r="Z15" i="14"/>
  <c r="Y15" i="14"/>
  <c r="X15" i="14"/>
  <c r="W15" i="14"/>
  <c r="V15" i="14"/>
  <c r="U15" i="14"/>
  <c r="T15" i="14"/>
  <c r="S15" i="14"/>
  <c r="R15" i="14"/>
  <c r="Q15" i="14"/>
  <c r="P15" i="14"/>
  <c r="O15" i="14"/>
  <c r="N15" i="14"/>
  <c r="M15" i="14"/>
  <c r="L15" i="14"/>
  <c r="K15" i="14"/>
  <c r="J15" i="14"/>
  <c r="I15" i="14"/>
  <c r="H15" i="14"/>
  <c r="AE14" i="14"/>
  <c r="AD14" i="14"/>
  <c r="AC14" i="14"/>
  <c r="AB14" i="14"/>
  <c r="AA14" i="14"/>
  <c r="Z14" i="14"/>
  <c r="Y14" i="14"/>
  <c r="X14" i="14"/>
  <c r="W14" i="14"/>
  <c r="V14" i="14"/>
  <c r="U14" i="14"/>
  <c r="T14" i="14"/>
  <c r="S14" i="14"/>
  <c r="R14" i="14"/>
  <c r="Q14" i="14"/>
  <c r="P14" i="14"/>
  <c r="O14" i="14"/>
  <c r="N14" i="14"/>
  <c r="M14" i="14"/>
  <c r="L14" i="14"/>
  <c r="K14" i="14"/>
  <c r="J14" i="14"/>
  <c r="I14" i="14"/>
  <c r="H14" i="14"/>
  <c r="AE13" i="14"/>
  <c r="AD13" i="14"/>
  <c r="AC13" i="14"/>
  <c r="AB13" i="14"/>
  <c r="AA13" i="14"/>
  <c r="Z13" i="14"/>
  <c r="Y13" i="14"/>
  <c r="X13" i="14"/>
  <c r="W13" i="14"/>
  <c r="V13" i="14"/>
  <c r="U13" i="14"/>
  <c r="T13" i="14"/>
  <c r="S13" i="14"/>
  <c r="R13" i="14"/>
  <c r="Q13" i="14"/>
  <c r="P13" i="14"/>
  <c r="O13" i="14"/>
  <c r="N13" i="14"/>
  <c r="M13" i="14"/>
  <c r="L13" i="14"/>
  <c r="K13" i="14"/>
  <c r="J13" i="14"/>
  <c r="I13" i="14"/>
  <c r="H13" i="14"/>
  <c r="AG11" i="14"/>
  <c r="E110" i="11"/>
  <c r="E107" i="11"/>
  <c r="E105" i="11"/>
  <c r="D100" i="11"/>
  <c r="C100" i="11"/>
  <c r="B100" i="11"/>
  <c r="D98" i="11"/>
  <c r="D97" i="11"/>
  <c r="C97" i="11"/>
  <c r="B97" i="11"/>
  <c r="B96" i="11" s="1"/>
  <c r="AD96" i="11"/>
  <c r="AB96" i="11"/>
  <c r="Z96" i="11"/>
  <c r="X96" i="11"/>
  <c r="T96" i="11"/>
  <c r="R96" i="11"/>
  <c r="N96" i="11"/>
  <c r="L96" i="11"/>
  <c r="J96" i="11"/>
  <c r="I96" i="11"/>
  <c r="H96" i="11"/>
  <c r="C94" i="11"/>
  <c r="B94" i="11"/>
  <c r="D91" i="11"/>
  <c r="D90" i="11" s="1"/>
  <c r="C91" i="11"/>
  <c r="AB90" i="11"/>
  <c r="Z90" i="11"/>
  <c r="X90" i="11"/>
  <c r="V90" i="11"/>
  <c r="T90" i="11"/>
  <c r="R90" i="11"/>
  <c r="N90" i="11"/>
  <c r="L90" i="11"/>
  <c r="J90" i="11"/>
  <c r="I90" i="11"/>
  <c r="H90" i="11"/>
  <c r="D88" i="11"/>
  <c r="C88" i="11"/>
  <c r="B88" i="11"/>
  <c r="D86" i="11"/>
  <c r="B103" i="11"/>
  <c r="D85" i="11"/>
  <c r="B85" i="11"/>
  <c r="AD84" i="11"/>
  <c r="AB84" i="11"/>
  <c r="Z84" i="11"/>
  <c r="W84" i="11"/>
  <c r="U84" i="11"/>
  <c r="T84" i="11"/>
  <c r="S84" i="11"/>
  <c r="R84" i="11"/>
  <c r="O84" i="11"/>
  <c r="N84" i="11"/>
  <c r="L84" i="11"/>
  <c r="J84" i="11"/>
  <c r="I84" i="11"/>
  <c r="H84" i="11"/>
  <c r="AE82" i="11"/>
  <c r="AD82" i="11"/>
  <c r="AC82" i="11"/>
  <c r="AB82" i="11"/>
  <c r="AA82" i="11"/>
  <c r="Z82" i="11"/>
  <c r="Y82" i="11"/>
  <c r="X82" i="11"/>
  <c r="V82" i="11"/>
  <c r="U82" i="11"/>
  <c r="T82" i="11"/>
  <c r="R82" i="11"/>
  <c r="O80" i="11" s="1"/>
  <c r="Q81" i="11"/>
  <c r="P82" i="11"/>
  <c r="O82" i="11"/>
  <c r="N82" i="11"/>
  <c r="M82" i="11"/>
  <c r="L82" i="11"/>
  <c r="K82" i="11"/>
  <c r="J82" i="11"/>
  <c r="I82" i="11"/>
  <c r="H82" i="11"/>
  <c r="D82" i="11"/>
  <c r="AE81" i="11"/>
  <c r="AD81" i="11"/>
  <c r="AC81" i="11"/>
  <c r="AC78" i="11" s="1"/>
  <c r="AC77" i="11" s="1"/>
  <c r="AB81" i="11"/>
  <c r="AA81" i="11"/>
  <c r="Z81" i="11"/>
  <c r="Y81" i="11"/>
  <c r="Y78" i="11" s="1"/>
  <c r="Y77" i="11" s="1"/>
  <c r="X81" i="11"/>
  <c r="V81" i="11"/>
  <c r="U81" i="11"/>
  <c r="T81" i="11"/>
  <c r="S81" i="11"/>
  <c r="R81" i="11"/>
  <c r="N81" i="11"/>
  <c r="M81" i="11"/>
  <c r="L81" i="11"/>
  <c r="K81" i="11"/>
  <c r="J81" i="11"/>
  <c r="AE80" i="11"/>
  <c r="AD80" i="11"/>
  <c r="AB80" i="11"/>
  <c r="Z80" i="11"/>
  <c r="Y80" i="11"/>
  <c r="X80" i="11"/>
  <c r="U80" i="11"/>
  <c r="T80" i="11"/>
  <c r="S80" i="11"/>
  <c r="R80" i="11"/>
  <c r="N80" i="11"/>
  <c r="M80" i="11"/>
  <c r="L80" i="11"/>
  <c r="K80" i="11"/>
  <c r="J80" i="11"/>
  <c r="I80" i="11"/>
  <c r="H80" i="11"/>
  <c r="AE79" i="11"/>
  <c r="AD79" i="11"/>
  <c r="AB79" i="11"/>
  <c r="AA79" i="11"/>
  <c r="AA78" i="11" s="1"/>
  <c r="AA77" i="11" s="1"/>
  <c r="Z79" i="11"/>
  <c r="Y79" i="11"/>
  <c r="X79" i="11"/>
  <c r="W79" i="11"/>
  <c r="W78" i="11" s="1"/>
  <c r="W77" i="11" s="1"/>
  <c r="V79" i="11"/>
  <c r="U79" i="11"/>
  <c r="T79" i="11"/>
  <c r="S79" i="11"/>
  <c r="R79" i="11"/>
  <c r="Q79" i="11"/>
  <c r="P79" i="11"/>
  <c r="O79" i="11"/>
  <c r="N79" i="11"/>
  <c r="M79" i="11"/>
  <c r="L79" i="11"/>
  <c r="K79" i="11"/>
  <c r="J79" i="11"/>
  <c r="I79" i="11"/>
  <c r="H79" i="11"/>
  <c r="D79" i="11"/>
  <c r="D78" i="11" s="1"/>
  <c r="D74" i="11"/>
  <c r="C74" i="11"/>
  <c r="B74" i="11"/>
  <c r="D72" i="11"/>
  <c r="C72" i="11"/>
  <c r="B72" i="11"/>
  <c r="D71" i="11"/>
  <c r="C71" i="11"/>
  <c r="B71" i="11"/>
  <c r="AD70" i="11"/>
  <c r="AB70" i="11"/>
  <c r="Z70" i="11"/>
  <c r="X70" i="11"/>
  <c r="V70" i="11"/>
  <c r="T70" i="11"/>
  <c r="R70" i="11"/>
  <c r="P70" i="11"/>
  <c r="L70" i="11"/>
  <c r="J70" i="11"/>
  <c r="I70" i="11"/>
  <c r="H70" i="11"/>
  <c r="D68" i="11"/>
  <c r="C68" i="11"/>
  <c r="B68" i="11"/>
  <c r="D67" i="11"/>
  <c r="D66" i="11"/>
  <c r="C66" i="11"/>
  <c r="B66" i="11"/>
  <c r="D65" i="11"/>
  <c r="C65" i="11"/>
  <c r="B65" i="11"/>
  <c r="AB64" i="11"/>
  <c r="Z64" i="11"/>
  <c r="X64" i="11"/>
  <c r="V64" i="11"/>
  <c r="T64" i="11"/>
  <c r="R64" i="11"/>
  <c r="P64" i="11"/>
  <c r="N64" i="11"/>
  <c r="L64" i="11"/>
  <c r="J64" i="11"/>
  <c r="H64" i="11"/>
  <c r="AE62" i="11"/>
  <c r="AD62" i="11"/>
  <c r="AC62" i="11"/>
  <c r="AB62" i="11"/>
  <c r="AA62" i="11"/>
  <c r="Z62" i="11"/>
  <c r="Y62" i="11"/>
  <c r="X62" i="11"/>
  <c r="W62" i="11"/>
  <c r="V62" i="11"/>
  <c r="U62" i="11"/>
  <c r="T62" i="11"/>
  <c r="S62" i="11"/>
  <c r="R62" i="11"/>
  <c r="Q62" i="11"/>
  <c r="P62" i="11"/>
  <c r="O62" i="11"/>
  <c r="N62" i="11"/>
  <c r="M62" i="11"/>
  <c r="L62" i="11"/>
  <c r="K62" i="11"/>
  <c r="J62" i="11"/>
  <c r="I62" i="11"/>
  <c r="H62" i="11"/>
  <c r="D62" i="11"/>
  <c r="AC61" i="11"/>
  <c r="AC58" i="11" s="1"/>
  <c r="AC57" i="11" s="1"/>
  <c r="AB61" i="11"/>
  <c r="AA61" i="11"/>
  <c r="AA58" i="11" s="1"/>
  <c r="AA57" i="11" s="1"/>
  <c r="Z61" i="11"/>
  <c r="Y61" i="11"/>
  <c r="Y58" i="11" s="1"/>
  <c r="Y57" i="11" s="1"/>
  <c r="X61" i="11"/>
  <c r="W61" i="11"/>
  <c r="V61" i="11"/>
  <c r="U61" i="11"/>
  <c r="U58" i="11" s="1"/>
  <c r="U57" i="11" s="1"/>
  <c r="T61" i="11"/>
  <c r="S61" i="11"/>
  <c r="R61" i="11"/>
  <c r="Q58" i="11"/>
  <c r="Q57" i="11" s="1"/>
  <c r="P61" i="11"/>
  <c r="O61" i="11"/>
  <c r="O58" i="11" s="1"/>
  <c r="O57" i="11" s="1"/>
  <c r="N61" i="11"/>
  <c r="M61" i="11"/>
  <c r="M58" i="11" s="1"/>
  <c r="M57" i="11" s="1"/>
  <c r="L61" i="11"/>
  <c r="J61" i="11"/>
  <c r="I61" i="11"/>
  <c r="H61" i="11"/>
  <c r="AE60" i="11"/>
  <c r="AD60" i="11"/>
  <c r="AC60" i="11"/>
  <c r="AB60" i="11"/>
  <c r="AA60" i="11"/>
  <c r="Z60" i="11"/>
  <c r="Y60" i="11"/>
  <c r="X60" i="11"/>
  <c r="W60" i="11"/>
  <c r="V60" i="11"/>
  <c r="U60" i="11"/>
  <c r="T60" i="11"/>
  <c r="S60" i="11"/>
  <c r="R60" i="11"/>
  <c r="Q60" i="11"/>
  <c r="P60" i="11"/>
  <c r="N60" i="11"/>
  <c r="M60" i="11"/>
  <c r="L60" i="11"/>
  <c r="K60" i="11"/>
  <c r="J60" i="11"/>
  <c r="I60" i="11"/>
  <c r="H60" i="11"/>
  <c r="D60" i="11"/>
  <c r="AE59" i="11"/>
  <c r="AD59" i="11"/>
  <c r="AC59" i="11"/>
  <c r="AB59" i="11"/>
  <c r="AA59" i="11"/>
  <c r="Z59" i="11"/>
  <c r="Y59" i="11"/>
  <c r="X59" i="11"/>
  <c r="W59" i="11"/>
  <c r="V59" i="11"/>
  <c r="U59" i="11"/>
  <c r="T59" i="11"/>
  <c r="S59" i="11"/>
  <c r="R59" i="11"/>
  <c r="Q59" i="11"/>
  <c r="P59" i="11"/>
  <c r="N59" i="11"/>
  <c r="M59" i="11"/>
  <c r="L59" i="11"/>
  <c r="K59" i="11"/>
  <c r="J59" i="11"/>
  <c r="I59" i="11"/>
  <c r="H59" i="11"/>
  <c r="D54" i="11"/>
  <c r="C54" i="11"/>
  <c r="B54" i="11"/>
  <c r="E53" i="11"/>
  <c r="D53" i="11"/>
  <c r="C53" i="11"/>
  <c r="B53" i="11"/>
  <c r="D52" i="11"/>
  <c r="C52" i="11"/>
  <c r="B52" i="11"/>
  <c r="D51" i="11"/>
  <c r="C51" i="11"/>
  <c r="B51" i="11"/>
  <c r="AD50" i="11"/>
  <c r="AD49" i="11" s="1"/>
  <c r="AB50" i="11"/>
  <c r="AB49" i="11" s="1"/>
  <c r="X50" i="11"/>
  <c r="X49" i="11" s="1"/>
  <c r="V50" i="11"/>
  <c r="V49" i="11" s="1"/>
  <c r="T50" i="11"/>
  <c r="T49" i="11" s="1"/>
  <c r="R50" i="11"/>
  <c r="R49" i="11" s="1"/>
  <c r="P50" i="11"/>
  <c r="P49" i="11" s="1"/>
  <c r="N50" i="11"/>
  <c r="N49" i="11" s="1"/>
  <c r="L50" i="11"/>
  <c r="L49" i="11" s="1"/>
  <c r="J50" i="11"/>
  <c r="J49" i="11" s="1"/>
  <c r="I50" i="11"/>
  <c r="I49" i="11" s="1"/>
  <c r="H50" i="11"/>
  <c r="H49" i="11" s="1"/>
  <c r="G50" i="11"/>
  <c r="F50" i="11"/>
  <c r="F49" i="11" s="1"/>
  <c r="D48" i="11"/>
  <c r="C48" i="11"/>
  <c r="B48" i="11"/>
  <c r="E44" i="11"/>
  <c r="E43" i="11" s="1"/>
  <c r="B47" i="11"/>
  <c r="D46" i="11"/>
  <c r="C46" i="11"/>
  <c r="B46" i="11"/>
  <c r="D45" i="11"/>
  <c r="C45" i="11"/>
  <c r="AD44" i="11"/>
  <c r="AD43" i="11" s="1"/>
  <c r="AB44" i="11"/>
  <c r="AB43" i="11" s="1"/>
  <c r="X44" i="11"/>
  <c r="X43" i="11" s="1"/>
  <c r="V43" i="11"/>
  <c r="L44" i="11"/>
  <c r="L43" i="11" s="1"/>
  <c r="J44" i="11"/>
  <c r="J43" i="11" s="1"/>
  <c r="I44" i="11"/>
  <c r="I43" i="11" s="1"/>
  <c r="H44" i="11"/>
  <c r="H43" i="11" s="1"/>
  <c r="F43" i="11"/>
  <c r="D28" i="11"/>
  <c r="C28" i="11"/>
  <c r="B28" i="11"/>
  <c r="D26" i="11"/>
  <c r="C26" i="11"/>
  <c r="B26" i="11"/>
  <c r="D25" i="11"/>
  <c r="C25" i="11"/>
  <c r="B25" i="11"/>
  <c r="AD24" i="11"/>
  <c r="AB24" i="11"/>
  <c r="Z24" i="11"/>
  <c r="X24" i="11"/>
  <c r="T24" i="11"/>
  <c r="R24" i="11"/>
  <c r="P24" i="11"/>
  <c r="L24" i="11"/>
  <c r="J24" i="11"/>
  <c r="I24" i="11"/>
  <c r="H24" i="11"/>
  <c r="D22" i="11"/>
  <c r="D20" i="11"/>
  <c r="D19" i="11"/>
  <c r="AD18" i="11"/>
  <c r="AB18" i="11"/>
  <c r="Z18" i="11"/>
  <c r="X18" i="11"/>
  <c r="T18" i="11"/>
  <c r="R18" i="11"/>
  <c r="L18" i="11"/>
  <c r="J18" i="11"/>
  <c r="AE16" i="11"/>
  <c r="AD16" i="11"/>
  <c r="AC16" i="11"/>
  <c r="AB16" i="11"/>
  <c r="AA16" i="11"/>
  <c r="Z16" i="11"/>
  <c r="Y16" i="11"/>
  <c r="X16" i="11"/>
  <c r="V16" i="11"/>
  <c r="U16" i="11"/>
  <c r="T16" i="11"/>
  <c r="S16" i="11"/>
  <c r="R16" i="11"/>
  <c r="Q16" i="11"/>
  <c r="P16" i="11"/>
  <c r="O16" i="11"/>
  <c r="N16" i="11"/>
  <c r="M16" i="11"/>
  <c r="L16" i="11"/>
  <c r="K16" i="11"/>
  <c r="J16" i="11"/>
  <c r="AE15" i="11"/>
  <c r="AE12" i="11" s="1"/>
  <c r="AE11" i="11" s="1"/>
  <c r="AD15" i="11"/>
  <c r="AC15" i="11"/>
  <c r="AB15" i="11"/>
  <c r="AA15" i="11"/>
  <c r="Z15" i="11"/>
  <c r="Y15" i="11"/>
  <c r="U15" i="11"/>
  <c r="T15" i="11"/>
  <c r="S15" i="11"/>
  <c r="R15" i="11"/>
  <c r="Q15" i="11"/>
  <c r="P15" i="11"/>
  <c r="O15" i="11"/>
  <c r="N15" i="11"/>
  <c r="M15" i="11"/>
  <c r="L15" i="11"/>
  <c r="K15" i="11"/>
  <c r="J15" i="11"/>
  <c r="AE14" i="11"/>
  <c r="AD14" i="11"/>
  <c r="AC14" i="11"/>
  <c r="AB14" i="11"/>
  <c r="AA14" i="11"/>
  <c r="Z14" i="11"/>
  <c r="Y14" i="11"/>
  <c r="X14" i="11"/>
  <c r="V14" i="11"/>
  <c r="U14" i="11"/>
  <c r="T14" i="11"/>
  <c r="S14" i="11"/>
  <c r="R14" i="11"/>
  <c r="Q14" i="11"/>
  <c r="P14" i="11"/>
  <c r="O14" i="11"/>
  <c r="N14" i="11"/>
  <c r="M14" i="11"/>
  <c r="L14" i="11"/>
  <c r="K14" i="11"/>
  <c r="J14" i="11"/>
  <c r="AE13" i="11"/>
  <c r="AD13" i="11"/>
  <c r="AC13" i="11"/>
  <c r="AB13" i="11"/>
  <c r="AA13" i="11"/>
  <c r="Z13" i="11"/>
  <c r="Y13" i="11"/>
  <c r="X13" i="11"/>
  <c r="U13" i="11"/>
  <c r="T13" i="11"/>
  <c r="S13" i="11"/>
  <c r="R13" i="11"/>
  <c r="Q13" i="11"/>
  <c r="P13" i="11"/>
  <c r="O13" i="11"/>
  <c r="N13" i="11"/>
  <c r="M13" i="11"/>
  <c r="L13" i="11"/>
  <c r="K13" i="11"/>
  <c r="J13" i="11"/>
  <c r="G143" i="9"/>
  <c r="G94" i="9"/>
  <c r="F94" i="9"/>
  <c r="AG77" i="9"/>
  <c r="D81" i="9"/>
  <c r="C81" i="9"/>
  <c r="AG76" i="9"/>
  <c r="C80" i="9"/>
  <c r="AG75" i="9"/>
  <c r="AG72" i="9"/>
  <c r="AG70" i="9"/>
  <c r="AG69" i="9"/>
  <c r="AG66" i="9"/>
  <c r="AG65" i="9"/>
  <c r="AG64" i="9"/>
  <c r="AG63" i="9"/>
  <c r="AG58" i="9"/>
  <c r="AG57" i="9"/>
  <c r="AG54" i="9"/>
  <c r="AG52" i="9"/>
  <c r="AG48" i="9"/>
  <c r="AG47" i="9"/>
  <c r="AG46" i="9"/>
  <c r="AG42" i="9"/>
  <c r="AG41" i="9"/>
  <c r="AG39" i="9"/>
  <c r="AG29" i="9"/>
  <c r="AG28" i="9"/>
  <c r="AG27" i="9"/>
  <c r="AG23" i="9"/>
  <c r="AG22" i="9"/>
  <c r="AG21" i="9"/>
  <c r="AG18" i="9"/>
  <c r="AG17" i="9"/>
  <c r="AG16" i="9"/>
  <c r="AE299" i="8"/>
  <c r="AD299" i="8"/>
  <c r="AC299" i="8"/>
  <c r="AB299" i="8"/>
  <c r="AA299" i="8"/>
  <c r="Z299" i="8"/>
  <c r="Y299" i="8"/>
  <c r="X299" i="8"/>
  <c r="W299" i="8"/>
  <c r="V299" i="8"/>
  <c r="U299" i="8"/>
  <c r="T299" i="8"/>
  <c r="S299" i="8"/>
  <c r="R299" i="8"/>
  <c r="Q299" i="8"/>
  <c r="P299" i="8"/>
  <c r="O299" i="8"/>
  <c r="N299" i="8"/>
  <c r="M299" i="8"/>
  <c r="L299" i="8"/>
  <c r="K299" i="8"/>
  <c r="J299" i="8"/>
  <c r="AE296" i="8"/>
  <c r="AE295" i="8" s="1"/>
  <c r="AD296" i="8"/>
  <c r="AD295" i="8" s="1"/>
  <c r="AC296" i="8"/>
  <c r="AB296" i="8"/>
  <c r="AB295" i="8" s="1"/>
  <c r="AA296" i="8"/>
  <c r="AA295" i="8" s="1"/>
  <c r="Z296" i="8"/>
  <c r="Y296" i="8"/>
  <c r="X296" i="8"/>
  <c r="W296" i="8"/>
  <c r="W295" i="8" s="1"/>
  <c r="V296" i="8"/>
  <c r="U296" i="8"/>
  <c r="T296" i="8"/>
  <c r="T295" i="8" s="1"/>
  <c r="S296" i="8"/>
  <c r="S295" i="8" s="1"/>
  <c r="R296" i="8"/>
  <c r="R295" i="8" s="1"/>
  <c r="Q296" i="8"/>
  <c r="P296" i="8"/>
  <c r="P295" i="8" s="1"/>
  <c r="O296" i="8"/>
  <c r="O295" i="8" s="1"/>
  <c r="N296" i="8"/>
  <c r="M296" i="8"/>
  <c r="L296" i="8"/>
  <c r="L295" i="8" s="1"/>
  <c r="K296" i="8"/>
  <c r="K295" i="8" s="1"/>
  <c r="J296" i="8"/>
  <c r="J295" i="8" s="1"/>
  <c r="I296" i="8"/>
  <c r="H296" i="8"/>
  <c r="AE294" i="8"/>
  <c r="AD294" i="8"/>
  <c r="AC294" i="8"/>
  <c r="AB294" i="8"/>
  <c r="AA294" i="8"/>
  <c r="Z294" i="8"/>
  <c r="Y294" i="8"/>
  <c r="X294" i="8"/>
  <c r="W294" i="8"/>
  <c r="V294" i="8"/>
  <c r="U294" i="8"/>
  <c r="T294" i="8"/>
  <c r="S294" i="8"/>
  <c r="R294" i="8"/>
  <c r="Q294" i="8"/>
  <c r="P294" i="8"/>
  <c r="O294" i="8"/>
  <c r="N294" i="8"/>
  <c r="M294" i="8"/>
  <c r="L294" i="8"/>
  <c r="K294" i="8"/>
  <c r="J294" i="8"/>
  <c r="I294" i="8"/>
  <c r="H294" i="8"/>
  <c r="E287" i="8"/>
  <c r="B287" i="8"/>
  <c r="AE284" i="8"/>
  <c r="AD284" i="8"/>
  <c r="AC284" i="8"/>
  <c r="AB284" i="8"/>
  <c r="AA284" i="8"/>
  <c r="Z284" i="8"/>
  <c r="Y284" i="8"/>
  <c r="X284" i="8"/>
  <c r="W284" i="8"/>
  <c r="V284" i="8"/>
  <c r="U284" i="8"/>
  <c r="T284" i="8"/>
  <c r="S284" i="8"/>
  <c r="R284" i="8"/>
  <c r="Q284" i="8"/>
  <c r="P284" i="8"/>
  <c r="O284" i="8"/>
  <c r="N284" i="8"/>
  <c r="M284" i="8"/>
  <c r="L284" i="8"/>
  <c r="K284" i="8"/>
  <c r="J284" i="8"/>
  <c r="I284" i="8"/>
  <c r="H284" i="8"/>
  <c r="E281" i="8"/>
  <c r="C278" i="8"/>
  <c r="B281" i="8"/>
  <c r="AE278" i="8"/>
  <c r="AD278" i="8"/>
  <c r="AC278" i="8"/>
  <c r="AB278" i="8"/>
  <c r="AA278" i="8"/>
  <c r="Z278" i="8"/>
  <c r="Y278" i="8"/>
  <c r="X278" i="8"/>
  <c r="W278" i="8"/>
  <c r="V278" i="8"/>
  <c r="U278" i="8"/>
  <c r="T278" i="8"/>
  <c r="S278" i="8"/>
  <c r="R278" i="8"/>
  <c r="Q278" i="8"/>
  <c r="P278" i="8"/>
  <c r="O278" i="8"/>
  <c r="N278" i="8"/>
  <c r="M278" i="8"/>
  <c r="L278" i="8"/>
  <c r="K278" i="8"/>
  <c r="J278" i="8"/>
  <c r="I278" i="8"/>
  <c r="H278" i="8"/>
  <c r="AE275" i="8"/>
  <c r="AE272" i="8" s="1"/>
  <c r="AD275" i="8"/>
  <c r="AD272" i="8" s="1"/>
  <c r="AC275" i="8"/>
  <c r="AC272" i="8" s="1"/>
  <c r="AB275" i="8"/>
  <c r="AB272" i="8" s="1"/>
  <c r="AA275" i="8"/>
  <c r="AA272" i="8" s="1"/>
  <c r="Z275" i="8"/>
  <c r="Z272" i="8" s="1"/>
  <c r="Y275" i="8"/>
  <c r="Y272" i="8" s="1"/>
  <c r="X275" i="8"/>
  <c r="X272" i="8" s="1"/>
  <c r="W275" i="8"/>
  <c r="W272" i="8" s="1"/>
  <c r="V275" i="8"/>
  <c r="V272" i="8" s="1"/>
  <c r="U275" i="8"/>
  <c r="U272" i="8" s="1"/>
  <c r="T275" i="8"/>
  <c r="T272" i="8" s="1"/>
  <c r="S275" i="8"/>
  <c r="S272" i="8" s="1"/>
  <c r="R275" i="8"/>
  <c r="R272" i="8" s="1"/>
  <c r="Q275" i="8"/>
  <c r="Q272" i="8" s="1"/>
  <c r="P275" i="8"/>
  <c r="P272" i="8" s="1"/>
  <c r="O275" i="8"/>
  <c r="O272" i="8" s="1"/>
  <c r="N275" i="8"/>
  <c r="N272" i="8" s="1"/>
  <c r="M275" i="8"/>
  <c r="M272" i="8" s="1"/>
  <c r="L275" i="8"/>
  <c r="L272" i="8" s="1"/>
  <c r="K275" i="8"/>
  <c r="K272" i="8" s="1"/>
  <c r="J275" i="8"/>
  <c r="J272" i="8" s="1"/>
  <c r="I275" i="8"/>
  <c r="H275" i="8"/>
  <c r="C264" i="8"/>
  <c r="B267" i="8"/>
  <c r="AE264" i="8"/>
  <c r="AD264" i="8"/>
  <c r="AC264" i="8"/>
  <c r="AB264" i="8"/>
  <c r="AA264" i="8"/>
  <c r="Z264" i="8"/>
  <c r="Y264" i="8"/>
  <c r="X264" i="8"/>
  <c r="W264" i="8"/>
  <c r="V264" i="8"/>
  <c r="U264" i="8"/>
  <c r="T264" i="8"/>
  <c r="S264" i="8"/>
  <c r="R264" i="8"/>
  <c r="Q264" i="8"/>
  <c r="P264" i="8"/>
  <c r="O264" i="8"/>
  <c r="N264" i="8"/>
  <c r="M264" i="8"/>
  <c r="L264" i="8"/>
  <c r="K264" i="8"/>
  <c r="J264" i="8"/>
  <c r="I264" i="8"/>
  <c r="H264" i="8"/>
  <c r="D260" i="8"/>
  <c r="C254" i="8"/>
  <c r="C252" i="8" s="1"/>
  <c r="B260" i="8"/>
  <c r="AE258" i="8"/>
  <c r="AD258" i="8"/>
  <c r="AC258" i="8"/>
  <c r="AB258" i="8"/>
  <c r="AA258" i="8"/>
  <c r="Z258" i="8"/>
  <c r="Y258" i="8"/>
  <c r="X258" i="8"/>
  <c r="W258" i="8"/>
  <c r="V258" i="8"/>
  <c r="U258" i="8"/>
  <c r="T258" i="8"/>
  <c r="S258" i="8"/>
  <c r="R258" i="8"/>
  <c r="Q258" i="8"/>
  <c r="P258" i="8"/>
  <c r="O258" i="8"/>
  <c r="N258" i="8"/>
  <c r="M258" i="8"/>
  <c r="L258" i="8"/>
  <c r="K258" i="8"/>
  <c r="J258" i="8"/>
  <c r="I258" i="8"/>
  <c r="H258" i="8"/>
  <c r="AE254" i="8"/>
  <c r="AD254" i="8"/>
  <c r="AC254" i="8"/>
  <c r="AB254" i="8"/>
  <c r="AA254" i="8"/>
  <c r="Z254" i="8"/>
  <c r="Y254" i="8"/>
  <c r="X254" i="8"/>
  <c r="W254" i="8"/>
  <c r="V254" i="8"/>
  <c r="U254" i="8"/>
  <c r="T254" i="8"/>
  <c r="S254" i="8"/>
  <c r="R254" i="8"/>
  <c r="Q254" i="8"/>
  <c r="P254" i="8"/>
  <c r="O254" i="8"/>
  <c r="N254" i="8"/>
  <c r="M254" i="8"/>
  <c r="L254" i="8"/>
  <c r="K254" i="8"/>
  <c r="J254" i="8"/>
  <c r="I254" i="8"/>
  <c r="H254" i="8"/>
  <c r="E249" i="8"/>
  <c r="C246" i="8"/>
  <c r="B249" i="8"/>
  <c r="AE246" i="8"/>
  <c r="AD246" i="8"/>
  <c r="AC246" i="8"/>
  <c r="AB246" i="8"/>
  <c r="AA246" i="8"/>
  <c r="Z246" i="8"/>
  <c r="Y246" i="8"/>
  <c r="X246" i="8"/>
  <c r="W246" i="8"/>
  <c r="V246" i="8"/>
  <c r="U246" i="8"/>
  <c r="T246" i="8"/>
  <c r="S246" i="8"/>
  <c r="R246" i="8"/>
  <c r="Q246" i="8"/>
  <c r="P246" i="8"/>
  <c r="O246" i="8"/>
  <c r="N246" i="8"/>
  <c r="M246" i="8"/>
  <c r="L246" i="8"/>
  <c r="K246" i="8"/>
  <c r="J246" i="8"/>
  <c r="I246" i="8"/>
  <c r="H246" i="8"/>
  <c r="C240" i="8"/>
  <c r="AE240" i="8"/>
  <c r="AD240" i="8"/>
  <c r="AC240" i="8"/>
  <c r="AB240" i="8"/>
  <c r="AA240" i="8"/>
  <c r="Z240" i="8"/>
  <c r="Y240" i="8"/>
  <c r="X240" i="8"/>
  <c r="W240" i="8"/>
  <c r="V240" i="8"/>
  <c r="U240" i="8"/>
  <c r="T240" i="8"/>
  <c r="S240" i="8"/>
  <c r="R240" i="8"/>
  <c r="Q240" i="8"/>
  <c r="P240" i="8"/>
  <c r="O240" i="8"/>
  <c r="N240" i="8"/>
  <c r="M240" i="8"/>
  <c r="L240" i="8"/>
  <c r="K240" i="8"/>
  <c r="J240" i="8"/>
  <c r="I240" i="8"/>
  <c r="H240" i="8"/>
  <c r="AE237" i="8"/>
  <c r="AE234" i="8" s="1"/>
  <c r="AD237" i="8"/>
  <c r="AD234" i="8" s="1"/>
  <c r="AC237" i="8"/>
  <c r="AC234" i="8" s="1"/>
  <c r="AB237" i="8"/>
  <c r="AB234" i="8" s="1"/>
  <c r="AA237" i="8"/>
  <c r="AA234" i="8" s="1"/>
  <c r="Z237" i="8"/>
  <c r="Z234" i="8" s="1"/>
  <c r="Y237" i="8"/>
  <c r="Y234" i="8" s="1"/>
  <c r="X237" i="8"/>
  <c r="X234" i="8" s="1"/>
  <c r="W237" i="8"/>
  <c r="W234" i="8" s="1"/>
  <c r="V237" i="8"/>
  <c r="V234" i="8" s="1"/>
  <c r="U237" i="8"/>
  <c r="U234" i="8" s="1"/>
  <c r="T237" i="8"/>
  <c r="T234" i="8" s="1"/>
  <c r="S237" i="8"/>
  <c r="S234" i="8" s="1"/>
  <c r="R237" i="8"/>
  <c r="R234" i="8" s="1"/>
  <c r="Q237" i="8"/>
  <c r="Q234" i="8" s="1"/>
  <c r="P237" i="8"/>
  <c r="P234" i="8" s="1"/>
  <c r="O237" i="8"/>
  <c r="O234" i="8" s="1"/>
  <c r="N237" i="8"/>
  <c r="N234" i="8" s="1"/>
  <c r="M237" i="8"/>
  <c r="M234" i="8" s="1"/>
  <c r="L237" i="8"/>
  <c r="L234" i="8" s="1"/>
  <c r="K237" i="8"/>
  <c r="K234" i="8" s="1"/>
  <c r="J237" i="8"/>
  <c r="J234" i="8" s="1"/>
  <c r="I237" i="8"/>
  <c r="H237" i="8"/>
  <c r="C226" i="8"/>
  <c r="B229" i="8"/>
  <c r="AE226" i="8"/>
  <c r="AD226" i="8"/>
  <c r="AC226" i="8"/>
  <c r="AB226" i="8"/>
  <c r="AA226" i="8"/>
  <c r="Z226" i="8"/>
  <c r="Y226" i="8"/>
  <c r="X226" i="8"/>
  <c r="W226" i="8"/>
  <c r="V226" i="8"/>
  <c r="U226" i="8"/>
  <c r="T226" i="8"/>
  <c r="S226" i="8"/>
  <c r="R226" i="8"/>
  <c r="Q226" i="8"/>
  <c r="P226" i="8"/>
  <c r="O226" i="8"/>
  <c r="N226" i="8"/>
  <c r="M226" i="8"/>
  <c r="L226" i="8"/>
  <c r="K226" i="8"/>
  <c r="J226" i="8"/>
  <c r="I226" i="8"/>
  <c r="H226" i="8"/>
  <c r="H223" i="8"/>
  <c r="D223" i="8"/>
  <c r="D220" i="8" s="1"/>
  <c r="AE220" i="8"/>
  <c r="AD220" i="8"/>
  <c r="AC220" i="8"/>
  <c r="AB220" i="8"/>
  <c r="AA220" i="8"/>
  <c r="Z220" i="8"/>
  <c r="Y220" i="8"/>
  <c r="X220" i="8"/>
  <c r="W220" i="8"/>
  <c r="V220" i="8"/>
  <c r="U220" i="8"/>
  <c r="T220" i="8"/>
  <c r="S220" i="8"/>
  <c r="R220" i="8"/>
  <c r="Q220" i="8"/>
  <c r="P220" i="8"/>
  <c r="O220" i="8"/>
  <c r="N220" i="8"/>
  <c r="M220" i="8"/>
  <c r="L220" i="8"/>
  <c r="K220" i="8"/>
  <c r="J220" i="8"/>
  <c r="I220" i="8"/>
  <c r="D214" i="8"/>
  <c r="C214" i="8"/>
  <c r="B217" i="8"/>
  <c r="AE214" i="8"/>
  <c r="AD214" i="8"/>
  <c r="AC214" i="8"/>
  <c r="AB214" i="8"/>
  <c r="AA214" i="8"/>
  <c r="Z214" i="8"/>
  <c r="Y214" i="8"/>
  <c r="X214" i="8"/>
  <c r="W214" i="8"/>
  <c r="V214" i="8"/>
  <c r="U214" i="8"/>
  <c r="T214" i="8"/>
  <c r="S214" i="8"/>
  <c r="R214" i="8"/>
  <c r="Q214" i="8"/>
  <c r="P214" i="8"/>
  <c r="O214" i="8"/>
  <c r="N214" i="8"/>
  <c r="M214" i="8"/>
  <c r="L214" i="8"/>
  <c r="K214" i="8"/>
  <c r="J214" i="8"/>
  <c r="I214" i="8"/>
  <c r="H214" i="8"/>
  <c r="D211" i="8"/>
  <c r="D208" i="8" s="1"/>
  <c r="C208" i="8"/>
  <c r="B211" i="8"/>
  <c r="AE208" i="8"/>
  <c r="AD208" i="8"/>
  <c r="AC208" i="8"/>
  <c r="AB208" i="8"/>
  <c r="AA208" i="8"/>
  <c r="Z208" i="8"/>
  <c r="Y208" i="8"/>
  <c r="X208" i="8"/>
  <c r="W208" i="8"/>
  <c r="V208" i="8"/>
  <c r="U208" i="8"/>
  <c r="T208" i="8"/>
  <c r="S208" i="8"/>
  <c r="R208" i="8"/>
  <c r="Q208" i="8"/>
  <c r="P208" i="8"/>
  <c r="O208" i="8"/>
  <c r="N208" i="8"/>
  <c r="M208" i="8"/>
  <c r="L208" i="8"/>
  <c r="K208" i="8"/>
  <c r="J208" i="8"/>
  <c r="I208" i="8"/>
  <c r="H208" i="8"/>
  <c r="B206" i="8"/>
  <c r="B205" i="8"/>
  <c r="AE202" i="8"/>
  <c r="AD202" i="8"/>
  <c r="AC202" i="8"/>
  <c r="AB202" i="8"/>
  <c r="AA202" i="8"/>
  <c r="Z202" i="8"/>
  <c r="Y202" i="8"/>
  <c r="X202" i="8"/>
  <c r="W202" i="8"/>
  <c r="V202" i="8"/>
  <c r="U202" i="8"/>
  <c r="T202" i="8"/>
  <c r="S202" i="8"/>
  <c r="R202" i="8"/>
  <c r="Q202" i="8"/>
  <c r="P202" i="8"/>
  <c r="O202" i="8"/>
  <c r="N202" i="8"/>
  <c r="M202" i="8"/>
  <c r="L202" i="8"/>
  <c r="K202" i="8"/>
  <c r="J202" i="8"/>
  <c r="I202" i="8"/>
  <c r="H202" i="8"/>
  <c r="AE200" i="8"/>
  <c r="E200" i="8" s="1"/>
  <c r="AD200" i="8"/>
  <c r="AC200" i="8"/>
  <c r="AB200" i="8"/>
  <c r="AA200" i="8"/>
  <c r="Z200" i="8"/>
  <c r="Y200" i="8"/>
  <c r="X200" i="8"/>
  <c r="W200" i="8"/>
  <c r="V200" i="8"/>
  <c r="U200" i="8"/>
  <c r="T200" i="8"/>
  <c r="S200" i="8"/>
  <c r="R200" i="8"/>
  <c r="Q200" i="8"/>
  <c r="P200" i="8"/>
  <c r="O200" i="8"/>
  <c r="N200" i="8"/>
  <c r="M200" i="8"/>
  <c r="L200" i="8"/>
  <c r="K200" i="8"/>
  <c r="J200" i="8"/>
  <c r="I200" i="8"/>
  <c r="H200" i="8"/>
  <c r="AE199" i="8"/>
  <c r="AE196" i="8" s="1"/>
  <c r="AD199" i="8"/>
  <c r="AD196" i="8" s="1"/>
  <c r="AC199" i="8"/>
  <c r="AC196" i="8" s="1"/>
  <c r="AB199" i="8"/>
  <c r="AB196" i="8" s="1"/>
  <c r="AA199" i="8"/>
  <c r="AA196" i="8" s="1"/>
  <c r="Z199" i="8"/>
  <c r="Z196" i="8" s="1"/>
  <c r="Y199" i="8"/>
  <c r="Y196" i="8" s="1"/>
  <c r="X199" i="8"/>
  <c r="X196" i="8" s="1"/>
  <c r="W199" i="8"/>
  <c r="W196" i="8" s="1"/>
  <c r="V199" i="8"/>
  <c r="V196" i="8" s="1"/>
  <c r="U199" i="8"/>
  <c r="U196" i="8" s="1"/>
  <c r="T199" i="8"/>
  <c r="T196" i="8" s="1"/>
  <c r="S199" i="8"/>
  <c r="S196" i="8" s="1"/>
  <c r="R199" i="8"/>
  <c r="R196" i="8" s="1"/>
  <c r="Q199" i="8"/>
  <c r="Q196" i="8" s="1"/>
  <c r="P199" i="8"/>
  <c r="P196" i="8" s="1"/>
  <c r="O199" i="8"/>
  <c r="O196" i="8" s="1"/>
  <c r="N199" i="8"/>
  <c r="N196" i="8" s="1"/>
  <c r="M199" i="8"/>
  <c r="M196" i="8" s="1"/>
  <c r="L199" i="8"/>
  <c r="L196" i="8" s="1"/>
  <c r="K199" i="8"/>
  <c r="K196" i="8" s="1"/>
  <c r="J199" i="8"/>
  <c r="J196" i="8" s="1"/>
  <c r="I199" i="8"/>
  <c r="E194" i="8"/>
  <c r="E163" i="8" s="1"/>
  <c r="C194" i="8"/>
  <c r="C163" i="8" s="1"/>
  <c r="B194" i="8"/>
  <c r="E193" i="8"/>
  <c r="E162" i="8" s="1"/>
  <c r="E304" i="8" s="1"/>
  <c r="C193" i="8"/>
  <c r="C162" i="8" s="1"/>
  <c r="B193" i="8"/>
  <c r="E192" i="8"/>
  <c r="C192" i="8"/>
  <c r="B192" i="8"/>
  <c r="K141" i="8"/>
  <c r="K138" i="8" s="1"/>
  <c r="AA141" i="8"/>
  <c r="AA138" i="8" s="1"/>
  <c r="B142" i="8"/>
  <c r="E136" i="8"/>
  <c r="D136" i="8" s="1"/>
  <c r="C136" i="8"/>
  <c r="B136" i="8"/>
  <c r="E135" i="8"/>
  <c r="B135" i="8"/>
  <c r="E134" i="8"/>
  <c r="D134" i="8" s="1"/>
  <c r="C134" i="8"/>
  <c r="B134" i="8"/>
  <c r="E133" i="8"/>
  <c r="C133" i="8"/>
  <c r="B133" i="8"/>
  <c r="AE132" i="8"/>
  <c r="AD132" i="8"/>
  <c r="AC132" i="8"/>
  <c r="AB132" i="8"/>
  <c r="AA132" i="8"/>
  <c r="Z132" i="8"/>
  <c r="Y132" i="8"/>
  <c r="X132" i="8"/>
  <c r="W132" i="8"/>
  <c r="V132" i="8"/>
  <c r="U132" i="8"/>
  <c r="T132" i="8"/>
  <c r="S132" i="8"/>
  <c r="R132" i="8"/>
  <c r="Q132" i="8"/>
  <c r="P132" i="8"/>
  <c r="O132" i="8"/>
  <c r="N132" i="8"/>
  <c r="M132" i="8"/>
  <c r="L132" i="8"/>
  <c r="K132" i="8"/>
  <c r="J132" i="8"/>
  <c r="I132" i="8"/>
  <c r="H132" i="8"/>
  <c r="E130" i="8"/>
  <c r="D130" i="8" s="1"/>
  <c r="C130" i="8"/>
  <c r="B130" i="8"/>
  <c r="B129" i="8"/>
  <c r="E128" i="8"/>
  <c r="C128" i="8"/>
  <c r="B128" i="8"/>
  <c r="E127" i="8"/>
  <c r="C127" i="8"/>
  <c r="B127" i="8"/>
  <c r="AE126" i="8"/>
  <c r="AD126" i="8"/>
  <c r="AC126" i="8"/>
  <c r="AB126" i="8"/>
  <c r="AA126" i="8"/>
  <c r="Z126" i="8"/>
  <c r="Y126" i="8"/>
  <c r="X126" i="8"/>
  <c r="W126" i="8"/>
  <c r="V126" i="8"/>
  <c r="U126" i="8"/>
  <c r="T126" i="8"/>
  <c r="S126" i="8"/>
  <c r="R126" i="8"/>
  <c r="Q126" i="8"/>
  <c r="P126" i="8"/>
  <c r="O126" i="8"/>
  <c r="N126" i="8"/>
  <c r="M126" i="8"/>
  <c r="L126" i="8"/>
  <c r="K126" i="8"/>
  <c r="J126" i="8"/>
  <c r="I126" i="8"/>
  <c r="H126" i="8"/>
  <c r="B123" i="8"/>
  <c r="U120" i="8"/>
  <c r="T120" i="8"/>
  <c r="S120" i="8"/>
  <c r="R120" i="8"/>
  <c r="Q120" i="8"/>
  <c r="P120" i="8"/>
  <c r="O120" i="8"/>
  <c r="N120" i="8"/>
  <c r="M120" i="8"/>
  <c r="L120" i="8"/>
  <c r="K120" i="8"/>
  <c r="J120" i="8"/>
  <c r="I120" i="8"/>
  <c r="H120" i="8"/>
  <c r="H293" i="8"/>
  <c r="AE117" i="8"/>
  <c r="AE114" i="8" s="1"/>
  <c r="AD117" i="8"/>
  <c r="AD114" i="8" s="1"/>
  <c r="AC117" i="8"/>
  <c r="AB117" i="8"/>
  <c r="AB114" i="8" s="1"/>
  <c r="AA117" i="8"/>
  <c r="AA114" i="8" s="1"/>
  <c r="Z117" i="8"/>
  <c r="Z114" i="8" s="1"/>
  <c r="Y117" i="8"/>
  <c r="Y114" i="8" s="1"/>
  <c r="X117" i="8"/>
  <c r="X114" i="8" s="1"/>
  <c r="W117" i="8"/>
  <c r="W114" i="8" s="1"/>
  <c r="V117" i="8"/>
  <c r="V114" i="8" s="1"/>
  <c r="U117" i="8"/>
  <c r="U114" i="8" s="1"/>
  <c r="T117" i="8"/>
  <c r="T114" i="8" s="1"/>
  <c r="S117" i="8"/>
  <c r="S114" i="8" s="1"/>
  <c r="R117" i="8"/>
  <c r="R114" i="8" s="1"/>
  <c r="Q117" i="8"/>
  <c r="Q114" i="8" s="1"/>
  <c r="P117" i="8"/>
  <c r="P114" i="8" s="1"/>
  <c r="O117" i="8"/>
  <c r="O114" i="8" s="1"/>
  <c r="N117" i="8"/>
  <c r="N114" i="8" s="1"/>
  <c r="M117" i="8"/>
  <c r="M114" i="8" s="1"/>
  <c r="L117" i="8"/>
  <c r="L114" i="8" s="1"/>
  <c r="K117" i="8"/>
  <c r="K114" i="8" s="1"/>
  <c r="J117" i="8"/>
  <c r="I117" i="8"/>
  <c r="H117" i="8"/>
  <c r="H114" i="8" s="1"/>
  <c r="C108" i="8"/>
  <c r="B111" i="8"/>
  <c r="AE108" i="8"/>
  <c r="AD108" i="8"/>
  <c r="AC108" i="8"/>
  <c r="AB108" i="8"/>
  <c r="AA108" i="8"/>
  <c r="Z108" i="8"/>
  <c r="Y108" i="8"/>
  <c r="X108" i="8"/>
  <c r="W108" i="8"/>
  <c r="V108" i="8"/>
  <c r="U108" i="8"/>
  <c r="T108" i="8"/>
  <c r="S108" i="8"/>
  <c r="R108" i="8"/>
  <c r="Q108" i="8"/>
  <c r="P108" i="8"/>
  <c r="O108" i="8"/>
  <c r="N108" i="8"/>
  <c r="M108" i="8"/>
  <c r="L108" i="8"/>
  <c r="K108" i="8"/>
  <c r="J108" i="8"/>
  <c r="I108" i="8"/>
  <c r="H108" i="8"/>
  <c r="D102" i="8"/>
  <c r="C102" i="8"/>
  <c r="B105" i="8"/>
  <c r="AE102" i="8"/>
  <c r="AD102" i="8"/>
  <c r="AC102" i="8"/>
  <c r="AB102" i="8"/>
  <c r="AA102" i="8"/>
  <c r="Z102" i="8"/>
  <c r="Y102" i="8"/>
  <c r="X102" i="8"/>
  <c r="W102" i="8"/>
  <c r="V102" i="8"/>
  <c r="U102" i="8"/>
  <c r="T102" i="8"/>
  <c r="S102" i="8"/>
  <c r="R102" i="8"/>
  <c r="Q102" i="8"/>
  <c r="P102" i="8"/>
  <c r="O102" i="8"/>
  <c r="N102" i="8"/>
  <c r="M102" i="8"/>
  <c r="L102" i="8"/>
  <c r="K102" i="8"/>
  <c r="J102" i="8"/>
  <c r="I102" i="8"/>
  <c r="H102" i="8"/>
  <c r="E99" i="8"/>
  <c r="D99" i="8" s="1"/>
  <c r="D96" i="8" s="1"/>
  <c r="C96" i="8"/>
  <c r="B99" i="8"/>
  <c r="AE96" i="8"/>
  <c r="AD96" i="8"/>
  <c r="AC96" i="8"/>
  <c r="AB96" i="8"/>
  <c r="AA96" i="8"/>
  <c r="Z96" i="8"/>
  <c r="Y96" i="8"/>
  <c r="X96" i="8"/>
  <c r="W96" i="8"/>
  <c r="V96" i="8"/>
  <c r="U96" i="8"/>
  <c r="T96" i="8"/>
  <c r="S96" i="8"/>
  <c r="R96" i="8"/>
  <c r="Q96" i="8"/>
  <c r="P96" i="8"/>
  <c r="O96" i="8"/>
  <c r="N96" i="8"/>
  <c r="M96" i="8"/>
  <c r="L96" i="8"/>
  <c r="K96" i="8"/>
  <c r="J96" i="8"/>
  <c r="I96" i="8"/>
  <c r="H96" i="8"/>
  <c r="E93" i="8"/>
  <c r="D93" i="8" s="1"/>
  <c r="D90" i="8" s="1"/>
  <c r="C90" i="8"/>
  <c r="B93" i="8"/>
  <c r="AE90" i="8"/>
  <c r="AD90" i="8"/>
  <c r="AC90" i="8"/>
  <c r="AB90" i="8"/>
  <c r="AA90" i="8"/>
  <c r="Z90" i="8"/>
  <c r="Y90" i="8"/>
  <c r="X90" i="8"/>
  <c r="W90" i="8"/>
  <c r="V90" i="8"/>
  <c r="U90" i="8"/>
  <c r="T90" i="8"/>
  <c r="S90" i="8"/>
  <c r="R90" i="8"/>
  <c r="Q90" i="8"/>
  <c r="P90" i="8"/>
  <c r="O90" i="8"/>
  <c r="N90" i="8"/>
  <c r="M90" i="8"/>
  <c r="L90" i="8"/>
  <c r="K90" i="8"/>
  <c r="J90" i="8"/>
  <c r="I90" i="8"/>
  <c r="H90" i="8"/>
  <c r="E87" i="8"/>
  <c r="C84" i="8"/>
  <c r="AE84" i="8"/>
  <c r="AD84" i="8"/>
  <c r="AC84" i="8"/>
  <c r="AB84" i="8"/>
  <c r="AA84" i="8"/>
  <c r="Z84" i="8"/>
  <c r="Y84" i="8"/>
  <c r="X84" i="8"/>
  <c r="W84" i="8"/>
  <c r="V84" i="8"/>
  <c r="U84" i="8"/>
  <c r="T84" i="8"/>
  <c r="S84" i="8"/>
  <c r="R84" i="8"/>
  <c r="Q84" i="8"/>
  <c r="P84" i="8"/>
  <c r="O84" i="8"/>
  <c r="N84" i="8"/>
  <c r="M84" i="8"/>
  <c r="L84" i="8"/>
  <c r="K84" i="8"/>
  <c r="J84" i="8"/>
  <c r="I84" i="8"/>
  <c r="H84" i="8"/>
  <c r="AE81" i="8"/>
  <c r="AE78" i="8" s="1"/>
  <c r="AD81" i="8"/>
  <c r="AD78" i="8" s="1"/>
  <c r="AC81" i="8"/>
  <c r="AC78" i="8" s="1"/>
  <c r="AB81" i="8"/>
  <c r="AB78" i="8" s="1"/>
  <c r="AA81" i="8"/>
  <c r="AA78" i="8" s="1"/>
  <c r="Z81" i="8"/>
  <c r="Z78" i="8" s="1"/>
  <c r="Y81" i="8"/>
  <c r="Y78" i="8" s="1"/>
  <c r="X81" i="8"/>
  <c r="X78" i="8" s="1"/>
  <c r="W81" i="8"/>
  <c r="W78" i="8" s="1"/>
  <c r="V81" i="8"/>
  <c r="V78" i="8" s="1"/>
  <c r="U81" i="8"/>
  <c r="U78" i="8" s="1"/>
  <c r="T81" i="8"/>
  <c r="T78" i="8" s="1"/>
  <c r="S81" i="8"/>
  <c r="S78" i="8" s="1"/>
  <c r="R81" i="8"/>
  <c r="R78" i="8" s="1"/>
  <c r="Q81" i="8"/>
  <c r="P81" i="8"/>
  <c r="P78" i="8" s="1"/>
  <c r="O81" i="8"/>
  <c r="O78" i="8" s="1"/>
  <c r="N81" i="8"/>
  <c r="N78" i="8" s="1"/>
  <c r="M81" i="8"/>
  <c r="M78" i="8" s="1"/>
  <c r="L81" i="8"/>
  <c r="L78" i="8" s="1"/>
  <c r="K81" i="8"/>
  <c r="K78" i="8" s="1"/>
  <c r="J81" i="8"/>
  <c r="J78" i="8" s="1"/>
  <c r="I81" i="8"/>
  <c r="I78" i="8" s="1"/>
  <c r="H81" i="8"/>
  <c r="E74" i="8"/>
  <c r="B74" i="8"/>
  <c r="E73" i="8"/>
  <c r="B73" i="8"/>
  <c r="AE71" i="8"/>
  <c r="AD71" i="8"/>
  <c r="AC71" i="8"/>
  <c r="AB71" i="8"/>
  <c r="AA71" i="8"/>
  <c r="Z71" i="8"/>
  <c r="Y71" i="8"/>
  <c r="X71" i="8"/>
  <c r="W71" i="8"/>
  <c r="V71" i="8"/>
  <c r="U71" i="8"/>
  <c r="T71" i="8"/>
  <c r="S71" i="8"/>
  <c r="R71" i="8"/>
  <c r="Q71" i="8"/>
  <c r="P71" i="8"/>
  <c r="O71" i="8"/>
  <c r="N71" i="8"/>
  <c r="M71" i="8"/>
  <c r="L71" i="8"/>
  <c r="K71" i="8"/>
  <c r="J71" i="8"/>
  <c r="I71" i="8"/>
  <c r="H71" i="8"/>
  <c r="E68" i="8"/>
  <c r="D68" i="8" s="1"/>
  <c r="B68" i="8"/>
  <c r="B67" i="8"/>
  <c r="E66" i="8"/>
  <c r="D66" i="8" s="1"/>
  <c r="B66" i="8"/>
  <c r="AE64" i="8"/>
  <c r="AD64" i="8"/>
  <c r="AC64" i="8"/>
  <c r="AB64" i="8"/>
  <c r="AA64" i="8"/>
  <c r="Z64" i="8"/>
  <c r="Y64" i="8"/>
  <c r="X64" i="8"/>
  <c r="W64" i="8"/>
  <c r="V64" i="8"/>
  <c r="U64" i="8"/>
  <c r="T64" i="8"/>
  <c r="R64" i="8"/>
  <c r="Q64" i="8"/>
  <c r="P64" i="8"/>
  <c r="O64" i="8"/>
  <c r="N64" i="8"/>
  <c r="M64" i="8"/>
  <c r="L64" i="8"/>
  <c r="K64" i="8"/>
  <c r="J64" i="8"/>
  <c r="I64" i="8"/>
  <c r="H64" i="8"/>
  <c r="AE58" i="8"/>
  <c r="AD58" i="8"/>
  <c r="AC58" i="8"/>
  <c r="AB58" i="8"/>
  <c r="AA58" i="8"/>
  <c r="Z58" i="8"/>
  <c r="Y58" i="8"/>
  <c r="X58" i="8"/>
  <c r="W58" i="8"/>
  <c r="V58" i="8"/>
  <c r="U58" i="8"/>
  <c r="S58" i="8"/>
  <c r="R58" i="8"/>
  <c r="Q58" i="8"/>
  <c r="O58" i="8"/>
  <c r="N58" i="8"/>
  <c r="M58" i="8"/>
  <c r="L58" i="8"/>
  <c r="K58" i="8"/>
  <c r="J58" i="8"/>
  <c r="H58" i="8"/>
  <c r="E55" i="8"/>
  <c r="C52" i="8"/>
  <c r="B55" i="8"/>
  <c r="AE52" i="8"/>
  <c r="AD52" i="8"/>
  <c r="AC52" i="8"/>
  <c r="AB52" i="8"/>
  <c r="AA52" i="8"/>
  <c r="Z52" i="8"/>
  <c r="Y52" i="8"/>
  <c r="X52" i="8"/>
  <c r="W52" i="8"/>
  <c r="V52" i="8"/>
  <c r="U52" i="8"/>
  <c r="T52" i="8"/>
  <c r="S52" i="8"/>
  <c r="R52" i="8"/>
  <c r="Q52" i="8"/>
  <c r="P52" i="8"/>
  <c r="O52" i="8"/>
  <c r="N52" i="8"/>
  <c r="M52" i="8"/>
  <c r="L52" i="8"/>
  <c r="K52" i="8"/>
  <c r="J52" i="8"/>
  <c r="I52" i="8"/>
  <c r="H52" i="8"/>
  <c r="E49" i="8"/>
  <c r="E306" i="8" s="1"/>
  <c r="E47" i="8"/>
  <c r="D47" i="8" s="1"/>
  <c r="E46" i="8"/>
  <c r="C40" i="8"/>
  <c r="AE45" i="8"/>
  <c r="AD45" i="8"/>
  <c r="AC45" i="8"/>
  <c r="AB45" i="8"/>
  <c r="AA45" i="8"/>
  <c r="Z45" i="8"/>
  <c r="Y45" i="8"/>
  <c r="X45" i="8"/>
  <c r="W45" i="8"/>
  <c r="V45" i="8"/>
  <c r="U45" i="8"/>
  <c r="T45" i="8"/>
  <c r="S45" i="8"/>
  <c r="R45" i="8"/>
  <c r="Q45" i="8"/>
  <c r="P45" i="8"/>
  <c r="O45" i="8"/>
  <c r="N45" i="8"/>
  <c r="M45" i="8"/>
  <c r="L45" i="8"/>
  <c r="K45" i="8"/>
  <c r="J45" i="8"/>
  <c r="I45" i="8"/>
  <c r="H45" i="8"/>
  <c r="AE42" i="8"/>
  <c r="AD42" i="8"/>
  <c r="AC42" i="8"/>
  <c r="AB42" i="8"/>
  <c r="AA42" i="8"/>
  <c r="Z42" i="8"/>
  <c r="Y42" i="8"/>
  <c r="X42" i="8"/>
  <c r="W42" i="8"/>
  <c r="V42" i="8"/>
  <c r="U42" i="8"/>
  <c r="S42" i="8"/>
  <c r="R42" i="8"/>
  <c r="Q42" i="8"/>
  <c r="O42" i="8"/>
  <c r="N42" i="8"/>
  <c r="M42" i="8"/>
  <c r="L42" i="8"/>
  <c r="K42" i="8"/>
  <c r="J42" i="8"/>
  <c r="I42" i="8"/>
  <c r="H42" i="8"/>
  <c r="AE40" i="8"/>
  <c r="AE290" i="8" s="1"/>
  <c r="AD40" i="8"/>
  <c r="AD290" i="8" s="1"/>
  <c r="AC40" i="8"/>
  <c r="AC290" i="8" s="1"/>
  <c r="AB40" i="8"/>
  <c r="AB290" i="8" s="1"/>
  <c r="AA40" i="8"/>
  <c r="AA290" i="8" s="1"/>
  <c r="Z40" i="8"/>
  <c r="Z290" i="8" s="1"/>
  <c r="Y40" i="8"/>
  <c r="Y290" i="8" s="1"/>
  <c r="X40" i="8"/>
  <c r="X290" i="8" s="1"/>
  <c r="W40" i="8"/>
  <c r="W290" i="8" s="1"/>
  <c r="V40" i="8"/>
  <c r="V290" i="8" s="1"/>
  <c r="U40" i="8"/>
  <c r="U290" i="8" s="1"/>
  <c r="T40" i="8"/>
  <c r="T290" i="8" s="1"/>
  <c r="S40" i="8"/>
  <c r="S290" i="8" s="1"/>
  <c r="Q40" i="8"/>
  <c r="Q290" i="8" s="1"/>
  <c r="P40" i="8"/>
  <c r="P290" i="8" s="1"/>
  <c r="O40" i="8"/>
  <c r="O290" i="8" s="1"/>
  <c r="N40" i="8"/>
  <c r="N290" i="8" s="1"/>
  <c r="M40" i="8"/>
  <c r="M290" i="8" s="1"/>
  <c r="L40" i="8"/>
  <c r="L290" i="8" s="1"/>
  <c r="K40" i="8"/>
  <c r="K290" i="8" s="1"/>
  <c r="J40" i="8"/>
  <c r="J290" i="8" s="1"/>
  <c r="I40" i="8"/>
  <c r="H40" i="8"/>
  <c r="E22" i="8"/>
  <c r="B22" i="8"/>
  <c r="E21" i="8"/>
  <c r="D21" i="8" s="1"/>
  <c r="B21" i="8"/>
  <c r="E20" i="8"/>
  <c r="B20" i="8"/>
  <c r="E19" i="8"/>
  <c r="B19" i="8"/>
  <c r="AE18" i="8"/>
  <c r="AD18" i="8"/>
  <c r="AC18" i="8"/>
  <c r="AB18" i="8"/>
  <c r="AA18" i="8"/>
  <c r="Z18" i="8"/>
  <c r="Y18" i="8"/>
  <c r="X18" i="8"/>
  <c r="W18" i="8"/>
  <c r="V18" i="8"/>
  <c r="U18" i="8"/>
  <c r="T18" i="8"/>
  <c r="S18" i="8"/>
  <c r="R18" i="8"/>
  <c r="Q18" i="8"/>
  <c r="P18" i="8"/>
  <c r="O18" i="8"/>
  <c r="N18" i="8"/>
  <c r="M18" i="8"/>
  <c r="L18" i="8"/>
  <c r="K18" i="8"/>
  <c r="J18" i="8"/>
  <c r="I18" i="8"/>
  <c r="H18" i="8"/>
  <c r="E16" i="8"/>
  <c r="C16" i="8"/>
  <c r="B16" i="8"/>
  <c r="E15" i="8"/>
  <c r="D15" i="8" s="1"/>
  <c r="C15" i="8"/>
  <c r="B15" i="8"/>
  <c r="E14" i="8"/>
  <c r="C14" i="8"/>
  <c r="B14" i="8"/>
  <c r="E13" i="8"/>
  <c r="D13" i="8" s="1"/>
  <c r="C13" i="8"/>
  <c r="B13" i="8"/>
  <c r="AE12" i="8"/>
  <c r="AD12" i="8"/>
  <c r="AC12" i="8"/>
  <c r="AB12" i="8"/>
  <c r="AA12" i="8"/>
  <c r="Z12" i="8"/>
  <c r="Y12" i="8"/>
  <c r="X12" i="8"/>
  <c r="W12" i="8"/>
  <c r="V12" i="8"/>
  <c r="U12" i="8"/>
  <c r="T12" i="8"/>
  <c r="S12" i="8"/>
  <c r="R12" i="8"/>
  <c r="Q12" i="8"/>
  <c r="P12" i="8"/>
  <c r="O12" i="8"/>
  <c r="N12" i="8"/>
  <c r="M12" i="8"/>
  <c r="L12" i="8"/>
  <c r="K12" i="8"/>
  <c r="J12" i="8"/>
  <c r="I12" i="8"/>
  <c r="H12" i="8"/>
  <c r="AB292" i="8" l="1"/>
  <c r="AB304" i="8"/>
  <c r="X292" i="8"/>
  <c r="X304" i="8"/>
  <c r="V304" i="8"/>
  <c r="V292" i="8"/>
  <c r="R292" i="8"/>
  <c r="R304" i="8"/>
  <c r="N292" i="8"/>
  <c r="N304" i="8"/>
  <c r="J304" i="8"/>
  <c r="J292" i="8"/>
  <c r="H304" i="8"/>
  <c r="H292" i="8"/>
  <c r="C159" i="8"/>
  <c r="AC305" i="8"/>
  <c r="AC293" i="8"/>
  <c r="I305" i="8"/>
  <c r="I293" i="8"/>
  <c r="K305" i="8"/>
  <c r="K293" i="8"/>
  <c r="M305" i="8"/>
  <c r="M293" i="8"/>
  <c r="O305" i="8"/>
  <c r="O293" i="8"/>
  <c r="Q305" i="8"/>
  <c r="Q293" i="8"/>
  <c r="S305" i="8"/>
  <c r="S293" i="8"/>
  <c r="U305" i="8"/>
  <c r="U293" i="8"/>
  <c r="W305" i="8"/>
  <c r="W293" i="8"/>
  <c r="Y305" i="8"/>
  <c r="Y293" i="8"/>
  <c r="AA305" i="8"/>
  <c r="AA293" i="8"/>
  <c r="J293" i="8"/>
  <c r="J305" i="8"/>
  <c r="L293" i="8"/>
  <c r="L305" i="8"/>
  <c r="N293" i="8"/>
  <c r="N305" i="8"/>
  <c r="P293" i="8"/>
  <c r="P305" i="8"/>
  <c r="R293" i="8"/>
  <c r="R305" i="8"/>
  <c r="T293" i="8"/>
  <c r="T305" i="8"/>
  <c r="V293" i="8"/>
  <c r="V305" i="8"/>
  <c r="X293" i="8"/>
  <c r="X305" i="8"/>
  <c r="Z293" i="8"/>
  <c r="Z305" i="8"/>
  <c r="H305" i="8"/>
  <c r="C190" i="8"/>
  <c r="E190" i="8"/>
  <c r="D19" i="8"/>
  <c r="F19" i="8"/>
  <c r="C61" i="8"/>
  <c r="G61" i="8" s="1"/>
  <c r="G73" i="8"/>
  <c r="F73" i="8"/>
  <c r="D74" i="8"/>
  <c r="G74" i="8"/>
  <c r="F74" i="8"/>
  <c r="D87" i="8"/>
  <c r="D84" i="8" s="1"/>
  <c r="F87" i="8"/>
  <c r="B96" i="8"/>
  <c r="B108" i="8"/>
  <c r="G135" i="8"/>
  <c r="F135" i="8"/>
  <c r="G190" i="8"/>
  <c r="B163" i="8"/>
  <c r="I196" i="8"/>
  <c r="G200" i="8"/>
  <c r="F205" i="8"/>
  <c r="B223" i="8"/>
  <c r="C223" i="8"/>
  <c r="C199" i="8" s="1"/>
  <c r="I234" i="8"/>
  <c r="I252" i="8"/>
  <c r="K252" i="8"/>
  <c r="M252" i="8"/>
  <c r="O252" i="8"/>
  <c r="Q252" i="8"/>
  <c r="S252" i="8"/>
  <c r="U252" i="8"/>
  <c r="W252" i="8"/>
  <c r="Y252" i="8"/>
  <c r="AA252" i="8"/>
  <c r="AC252" i="8"/>
  <c r="AE252" i="8"/>
  <c r="I272" i="8"/>
  <c r="E294" i="8"/>
  <c r="D49" i="8"/>
  <c r="F55" i="8"/>
  <c r="E42" i="8"/>
  <c r="H78" i="8"/>
  <c r="B81" i="8"/>
  <c r="F123" i="8"/>
  <c r="D128" i="8"/>
  <c r="E116" i="8"/>
  <c r="B162" i="8"/>
  <c r="F206" i="8"/>
  <c r="B208" i="8"/>
  <c r="F217" i="8"/>
  <c r="F229" i="8"/>
  <c r="H234" i="8"/>
  <c r="F243" i="8"/>
  <c r="F249" i="8"/>
  <c r="H252" i="8"/>
  <c r="J252" i="8"/>
  <c r="L252" i="8"/>
  <c r="N252" i="8"/>
  <c r="P252" i="8"/>
  <c r="R252" i="8"/>
  <c r="T252" i="8"/>
  <c r="V252" i="8"/>
  <c r="X252" i="8"/>
  <c r="Z252" i="8"/>
  <c r="AB252" i="8"/>
  <c r="AD252" i="8"/>
  <c r="B258" i="8"/>
  <c r="F267" i="8"/>
  <c r="H272" i="8"/>
  <c r="H295" i="8"/>
  <c r="I114" i="8"/>
  <c r="I290" i="8"/>
  <c r="J114" i="8"/>
  <c r="G162" i="8"/>
  <c r="F162" i="8"/>
  <c r="B159" i="8"/>
  <c r="Q78" i="8"/>
  <c r="B35" i="14"/>
  <c r="B86" i="14"/>
  <c r="C374" i="14"/>
  <c r="AC61" i="14"/>
  <c r="C373" i="14"/>
  <c r="C368" i="14"/>
  <c r="C86" i="14"/>
  <c r="C87" i="14"/>
  <c r="C377" i="14" s="1"/>
  <c r="C89" i="14"/>
  <c r="C369" i="14" s="1"/>
  <c r="P78" i="11"/>
  <c r="C70" i="11"/>
  <c r="B64" i="11"/>
  <c r="E106" i="11"/>
  <c r="AE219" i="14"/>
  <c r="O78" i="11"/>
  <c r="L111" i="17"/>
  <c r="O249" i="14"/>
  <c r="E159" i="8"/>
  <c r="Q61" i="14"/>
  <c r="Y61" i="14"/>
  <c r="B190" i="8"/>
  <c r="G163" i="8"/>
  <c r="F163" i="8"/>
  <c r="C96" i="11"/>
  <c r="G96" i="11" s="1"/>
  <c r="Z295" i="8"/>
  <c r="D76" i="17"/>
  <c r="G76" i="17"/>
  <c r="F76" i="17"/>
  <c r="C112" i="17"/>
  <c r="C106" i="17"/>
  <c r="AD367" i="14"/>
  <c r="AD387" i="14" s="1"/>
  <c r="AG86" i="14"/>
  <c r="X366" i="14"/>
  <c r="X386" i="14" s="1"/>
  <c r="B374" i="14"/>
  <c r="H369" i="14"/>
  <c r="Y366" i="14"/>
  <c r="Y386" i="14" s="1"/>
  <c r="X367" i="14"/>
  <c r="X387" i="14" s="1"/>
  <c r="D98" i="14"/>
  <c r="D92" i="14" s="1"/>
  <c r="F92" i="14"/>
  <c r="AG276" i="14"/>
  <c r="W58" i="11"/>
  <c r="W57" i="11" s="1"/>
  <c r="X105" i="11"/>
  <c r="E50" i="11"/>
  <c r="E49" i="11" s="1"/>
  <c r="C342" i="14"/>
  <c r="O102" i="11"/>
  <c r="S58" i="11"/>
  <c r="S57" i="11" s="1"/>
  <c r="O104" i="11"/>
  <c r="U78" i="11"/>
  <c r="U77" i="11" s="1"/>
  <c r="AC114" i="8"/>
  <c r="H199" i="8"/>
  <c r="V104" i="11"/>
  <c r="C80" i="11"/>
  <c r="V107" i="11"/>
  <c r="B84" i="11"/>
  <c r="F84" i="11" s="1"/>
  <c r="B44" i="11"/>
  <c r="B43" i="11" s="1"/>
  <c r="W102" i="11"/>
  <c r="E191" i="14"/>
  <c r="D64" i="11"/>
  <c r="Q77" i="11"/>
  <c r="B59" i="11"/>
  <c r="C59" i="11"/>
  <c r="P102" i="11"/>
  <c r="X102" i="11"/>
  <c r="C64" i="11"/>
  <c r="S78" i="11"/>
  <c r="S77" i="11" s="1"/>
  <c r="E154" i="14"/>
  <c r="F154" i="14" s="1"/>
  <c r="D157" i="14"/>
  <c r="D154" i="14" s="1"/>
  <c r="E121" i="17"/>
  <c r="G121" i="17" s="1"/>
  <c r="D193" i="8"/>
  <c r="C44" i="11"/>
  <c r="J102" i="11"/>
  <c r="R102" i="11"/>
  <c r="Z102" i="11"/>
  <c r="O77" i="11"/>
  <c r="N104" i="11"/>
  <c r="E117" i="17"/>
  <c r="G117" i="17" s="1"/>
  <c r="B89" i="14"/>
  <c r="AG89" i="14" s="1"/>
  <c r="E119" i="17"/>
  <c r="F119" i="17" s="1"/>
  <c r="D41" i="17"/>
  <c r="E118" i="17"/>
  <c r="N295" i="8"/>
  <c r="G157" i="14"/>
  <c r="C222" i="14"/>
  <c r="C349" i="14"/>
  <c r="B64" i="8"/>
  <c r="AE201" i="14"/>
  <c r="C94" i="14"/>
  <c r="C97" i="14"/>
  <c r="N313" i="14"/>
  <c r="N366" i="14" s="1"/>
  <c r="N386" i="14" s="1"/>
  <c r="C325" i="14"/>
  <c r="N314" i="14"/>
  <c r="N367" i="14" s="1"/>
  <c r="N387" i="14" s="1"/>
  <c r="C326" i="14"/>
  <c r="N315" i="14"/>
  <c r="N378" i="14" s="1"/>
  <c r="C327" i="14"/>
  <c r="B87" i="14"/>
  <c r="AG87" i="14" s="1"/>
  <c r="AG111" i="14"/>
  <c r="B93" i="14"/>
  <c r="K219" i="14"/>
  <c r="S219" i="14"/>
  <c r="AA219" i="14"/>
  <c r="AG228" i="14"/>
  <c r="B222" i="14"/>
  <c r="L369" i="14"/>
  <c r="L389" i="14" s="1"/>
  <c r="Q102" i="11"/>
  <c r="Y102" i="11"/>
  <c r="O201" i="14"/>
  <c r="K102" i="11"/>
  <c r="S102" i="11"/>
  <c r="AA102" i="11"/>
  <c r="AE249" i="14"/>
  <c r="L102" i="11"/>
  <c r="T102" i="11"/>
  <c r="AB102" i="11"/>
  <c r="N102" i="11"/>
  <c r="M102" i="11"/>
  <c r="U102" i="11"/>
  <c r="D70" i="11"/>
  <c r="G150" i="18"/>
  <c r="F150" i="18"/>
  <c r="C107" i="17"/>
  <c r="X295" i="8"/>
  <c r="W219" i="14"/>
  <c r="B82" i="11"/>
  <c r="H82" i="9"/>
  <c r="H93" i="9" s="1"/>
  <c r="G21" i="14"/>
  <c r="AG28" i="14"/>
  <c r="C14" i="14"/>
  <c r="C372" i="14" s="1"/>
  <c r="AD368" i="14"/>
  <c r="AD373" i="14"/>
  <c r="C13" i="14"/>
  <c r="C371" i="14" s="1"/>
  <c r="D20" i="14"/>
  <c r="D14" i="14" s="1"/>
  <c r="B15" i="14"/>
  <c r="D28" i="14"/>
  <c r="T368" i="14"/>
  <c r="T388" i="14" s="1"/>
  <c r="AD377" i="14"/>
  <c r="B179" i="14"/>
  <c r="AG179" i="14" s="1"/>
  <c r="C50" i="11"/>
  <c r="V78" i="11"/>
  <c r="V77" i="11" s="1"/>
  <c r="K372" i="14"/>
  <c r="O372" i="14"/>
  <c r="S372" i="14"/>
  <c r="W372" i="14"/>
  <c r="AA372" i="14"/>
  <c r="AC372" i="14"/>
  <c r="AE372" i="14"/>
  <c r="K374" i="14"/>
  <c r="O374" i="14"/>
  <c r="S374" i="14"/>
  <c r="W374" i="14"/>
  <c r="AA374" i="14"/>
  <c r="AE374" i="14"/>
  <c r="E237" i="8"/>
  <c r="M12" i="11"/>
  <c r="M11" i="11" s="1"/>
  <c r="E351" i="14"/>
  <c r="C31" i="15"/>
  <c r="AH31" i="15" s="1"/>
  <c r="AB58" i="11"/>
  <c r="K78" i="11"/>
  <c r="K77" i="11" s="1"/>
  <c r="D26" i="15"/>
  <c r="D24" i="15"/>
  <c r="B107" i="17"/>
  <c r="C108" i="17"/>
  <c r="E110" i="17"/>
  <c r="C71" i="8"/>
  <c r="J108" i="11"/>
  <c r="N108" i="11"/>
  <c r="R108" i="11"/>
  <c r="V108" i="11"/>
  <c r="Z108" i="11"/>
  <c r="AD108" i="11"/>
  <c r="M78" i="11"/>
  <c r="M77" i="11" s="1"/>
  <c r="L58" i="11"/>
  <c r="L57" i="11" s="1"/>
  <c r="E14" i="14"/>
  <c r="H371" i="14"/>
  <c r="P371" i="14"/>
  <c r="X371" i="14"/>
  <c r="L371" i="14"/>
  <c r="T371" i="14"/>
  <c r="AB371" i="14"/>
  <c r="E251" i="14"/>
  <c r="H314" i="14"/>
  <c r="H315" i="14"/>
  <c r="J371" i="14"/>
  <c r="R371" i="14"/>
  <c r="V371" i="14"/>
  <c r="AD371" i="14"/>
  <c r="N371" i="14"/>
  <c r="Z371" i="14"/>
  <c r="C207" i="14"/>
  <c r="H313" i="14"/>
  <c r="E165" i="14"/>
  <c r="E162" i="14" s="1"/>
  <c r="E225" i="14"/>
  <c r="E250" i="14"/>
  <c r="B349" i="14"/>
  <c r="AG349" i="14" s="1"/>
  <c r="E129" i="14"/>
  <c r="P378" i="14"/>
  <c r="P188" i="14"/>
  <c r="I372" i="14"/>
  <c r="M372" i="14"/>
  <c r="Q372" i="14"/>
  <c r="U372" i="14"/>
  <c r="Y372" i="14"/>
  <c r="I374" i="14"/>
  <c r="M374" i="14"/>
  <c r="Q374" i="14"/>
  <c r="U374" i="14"/>
  <c r="Y374" i="14"/>
  <c r="AC374" i="14"/>
  <c r="AE31" i="14"/>
  <c r="J373" i="14"/>
  <c r="N373" i="14"/>
  <c r="R373" i="14"/>
  <c r="V373" i="14"/>
  <c r="Z373" i="14"/>
  <c r="T176" i="14"/>
  <c r="L378" i="14"/>
  <c r="AB378" i="14"/>
  <c r="AG166" i="14"/>
  <c r="AG192" i="14"/>
  <c r="H373" i="14"/>
  <c r="L373" i="14"/>
  <c r="P373" i="14"/>
  <c r="X373" i="14"/>
  <c r="AB373" i="14"/>
  <c r="T378" i="14"/>
  <c r="X378" i="14"/>
  <c r="B85" i="9"/>
  <c r="E109" i="14"/>
  <c r="G109" i="14" s="1"/>
  <c r="H176" i="14"/>
  <c r="L176" i="14"/>
  <c r="P176" i="14"/>
  <c r="X176" i="14"/>
  <c r="AB176" i="14"/>
  <c r="B182" i="14"/>
  <c r="AG182" i="14" s="1"/>
  <c r="J348" i="14"/>
  <c r="N348" i="14"/>
  <c r="R348" i="14"/>
  <c r="V348" i="14"/>
  <c r="Z348" i="14"/>
  <c r="AD348" i="14"/>
  <c r="B106" i="17"/>
  <c r="L39" i="8"/>
  <c r="E108" i="8"/>
  <c r="F108" i="8" s="1"/>
  <c r="E141" i="8"/>
  <c r="B237" i="8"/>
  <c r="B234" i="8" s="1"/>
  <c r="B264" i="8"/>
  <c r="B189" i="14"/>
  <c r="AG189" i="14" s="1"/>
  <c r="B270" i="14"/>
  <c r="AG270" i="14" s="1"/>
  <c r="E292" i="14"/>
  <c r="D292" i="14" s="1"/>
  <c r="B325" i="14"/>
  <c r="B110" i="17"/>
  <c r="P42" i="8"/>
  <c r="B40" i="8"/>
  <c r="E220" i="8"/>
  <c r="C237" i="8"/>
  <c r="C234" i="8" s="1"/>
  <c r="E73" i="14"/>
  <c r="G73" i="14" s="1"/>
  <c r="D138" i="14"/>
  <c r="G138" i="14"/>
  <c r="W162" i="14"/>
  <c r="B177" i="14"/>
  <c r="AG177" i="14" s="1"/>
  <c r="E261" i="14"/>
  <c r="E106" i="17"/>
  <c r="C110" i="17"/>
  <c r="B18" i="14"/>
  <c r="AG18" i="14" s="1"/>
  <c r="L12" i="14"/>
  <c r="B13" i="14"/>
  <c r="B24" i="14"/>
  <c r="AG24" i="14" s="1"/>
  <c r="E108" i="17"/>
  <c r="D34" i="17"/>
  <c r="E107" i="17"/>
  <c r="AG103" i="17"/>
  <c r="B108" i="17"/>
  <c r="D50" i="17"/>
  <c r="B80" i="17"/>
  <c r="AG80" i="17" s="1"/>
  <c r="B39" i="17"/>
  <c r="AG39" i="17" s="1"/>
  <c r="C18" i="17"/>
  <c r="AB111" i="17"/>
  <c r="U124" i="17"/>
  <c r="Y124" i="17"/>
  <c r="AC124" i="17"/>
  <c r="K12" i="11"/>
  <c r="K11" i="11" s="1"/>
  <c r="V141" i="8"/>
  <c r="I58" i="11"/>
  <c r="I57" i="11" s="1"/>
  <c r="AD78" i="11"/>
  <c r="AD77" i="11" s="1"/>
  <c r="J162" i="14"/>
  <c r="N162" i="14"/>
  <c r="R162" i="14"/>
  <c r="V162" i="14"/>
  <c r="Z162" i="14"/>
  <c r="AD162" i="14"/>
  <c r="D184" i="14"/>
  <c r="D178" i="14" s="1"/>
  <c r="E271" i="14"/>
  <c r="G271" i="14" s="1"/>
  <c r="G295" i="14"/>
  <c r="G301" i="14"/>
  <c r="X312" i="14"/>
  <c r="E326" i="14"/>
  <c r="D326" i="14" s="1"/>
  <c r="E327" i="14"/>
  <c r="B330" i="14"/>
  <c r="AG330" i="14" s="1"/>
  <c r="C12" i="17"/>
  <c r="E12" i="17"/>
  <c r="AB12" i="14"/>
  <c r="P12" i="14"/>
  <c r="X12" i="14"/>
  <c r="S162" i="14"/>
  <c r="D171" i="14"/>
  <c r="D168" i="14" s="1"/>
  <c r="C176" i="14"/>
  <c r="K176" i="14"/>
  <c r="O176" i="14"/>
  <c r="S176" i="14"/>
  <c r="W176" i="14"/>
  <c r="AA176" i="14"/>
  <c r="AE176" i="14"/>
  <c r="E237" i="14"/>
  <c r="E243" i="14"/>
  <c r="E272" i="14"/>
  <c r="G272" i="14" s="1"/>
  <c r="B46" i="17"/>
  <c r="AG46" i="17" s="1"/>
  <c r="C86" i="9"/>
  <c r="U91" i="14"/>
  <c r="D252" i="14"/>
  <c r="C32" i="17"/>
  <c r="G16" i="8"/>
  <c r="C85" i="9"/>
  <c r="D106" i="14"/>
  <c r="D103" i="14" s="1"/>
  <c r="H188" i="14"/>
  <c r="C202" i="14"/>
  <c r="AB271" i="14"/>
  <c r="AB269" i="14" s="1"/>
  <c r="AB275" i="14"/>
  <c r="G103" i="17"/>
  <c r="K58" i="11"/>
  <c r="K57" i="11" s="1"/>
  <c r="E93" i="14"/>
  <c r="F43" i="14"/>
  <c r="I61" i="14"/>
  <c r="I314" i="14"/>
  <c r="E314" i="14" s="1"/>
  <c r="D314" i="14" s="1"/>
  <c r="I315" i="14"/>
  <c r="I378" i="14" s="1"/>
  <c r="T373" i="14"/>
  <c r="B252" i="14"/>
  <c r="AG252" i="14" s="1"/>
  <c r="B94" i="14"/>
  <c r="AG94" i="14" s="1"/>
  <c r="C12" i="8"/>
  <c r="Z141" i="8"/>
  <c r="Z138" i="8" s="1"/>
  <c r="K109" i="11"/>
  <c r="K106" i="11" s="1"/>
  <c r="O109" i="11"/>
  <c r="O106" i="11" s="1"/>
  <c r="S109" i="11"/>
  <c r="S106" i="11" s="1"/>
  <c r="W109" i="11"/>
  <c r="W106" i="11" s="1"/>
  <c r="AA109" i="11"/>
  <c r="AA106" i="11" s="1"/>
  <c r="AE109" i="11"/>
  <c r="E70" i="11"/>
  <c r="E84" i="8"/>
  <c r="N138" i="8"/>
  <c r="E214" i="8"/>
  <c r="B246" i="8"/>
  <c r="E254" i="8"/>
  <c r="E252" i="8" s="1"/>
  <c r="G252" i="8" s="1"/>
  <c r="L108" i="11"/>
  <c r="P108" i="11"/>
  <c r="T108" i="11"/>
  <c r="X108" i="11"/>
  <c r="AB108" i="11"/>
  <c r="M109" i="11"/>
  <c r="M106" i="11" s="1"/>
  <c r="U109" i="11"/>
  <c r="U106" i="11" s="1"/>
  <c r="Y109" i="11"/>
  <c r="Y106" i="11" s="1"/>
  <c r="AC109" i="11"/>
  <c r="AC106" i="11" s="1"/>
  <c r="C60" i="11"/>
  <c r="N78" i="11"/>
  <c r="N77" i="11" s="1"/>
  <c r="C62" i="11"/>
  <c r="B33" i="14"/>
  <c r="AG33" i="14" s="1"/>
  <c r="E49" i="14"/>
  <c r="G49" i="14" s="1"/>
  <c r="E86" i="14"/>
  <c r="U88" i="14"/>
  <c r="E88" i="14" s="1"/>
  <c r="AG95" i="14"/>
  <c r="AG145" i="14"/>
  <c r="F168" i="14"/>
  <c r="B191" i="14"/>
  <c r="AG191" i="14" s="1"/>
  <c r="C225" i="14"/>
  <c r="B289" i="14"/>
  <c r="R288" i="14"/>
  <c r="Z288" i="14"/>
  <c r="B294" i="14"/>
  <c r="AG294" i="14" s="1"/>
  <c r="AB324" i="14"/>
  <c r="I348" i="14"/>
  <c r="M348" i="14"/>
  <c r="Q348" i="14"/>
  <c r="U348" i="14"/>
  <c r="Y348" i="14"/>
  <c r="AC348" i="14"/>
  <c r="E350" i="14"/>
  <c r="B360" i="14"/>
  <c r="AG360" i="14" s="1"/>
  <c r="B113" i="17"/>
  <c r="AG113" i="17" s="1"/>
  <c r="C114" i="17"/>
  <c r="AG119" i="17"/>
  <c r="G71" i="17"/>
  <c r="C74" i="17"/>
  <c r="M368" i="14"/>
  <c r="M388" i="14" s="1"/>
  <c r="Q368" i="14"/>
  <c r="Q388" i="14" s="1"/>
  <c r="Y368" i="14"/>
  <c r="Y388" i="14" s="1"/>
  <c r="AC368" i="14"/>
  <c r="AC388" i="14" s="1"/>
  <c r="C220" i="14"/>
  <c r="G20" i="15"/>
  <c r="G17" i="15" s="1"/>
  <c r="G16" i="15" s="1"/>
  <c r="F20" i="15"/>
  <c r="F17" i="15" s="1"/>
  <c r="F16" i="15" s="1"/>
  <c r="AC22" i="15"/>
  <c r="AC27" i="15" s="1"/>
  <c r="AC30" i="15"/>
  <c r="I141" i="14"/>
  <c r="M141" i="14"/>
  <c r="Q141" i="14"/>
  <c r="Y141" i="14"/>
  <c r="AC141" i="14"/>
  <c r="C162" i="14"/>
  <c r="B203" i="14"/>
  <c r="AG203" i="14" s="1"/>
  <c r="S201" i="14"/>
  <c r="C203" i="14"/>
  <c r="E213" i="14"/>
  <c r="E221" i="14"/>
  <c r="K249" i="14"/>
  <c r="B291" i="14"/>
  <c r="AG291" i="14" s="1"/>
  <c r="E32" i="14"/>
  <c r="E33" i="14"/>
  <c r="D33" i="14" s="1"/>
  <c r="M377" i="14"/>
  <c r="U377" i="14"/>
  <c r="AC377" i="14"/>
  <c r="E34" i="14"/>
  <c r="D34" i="14" s="1"/>
  <c r="W31" i="14"/>
  <c r="AA31" i="14"/>
  <c r="E115" i="14"/>
  <c r="E135" i="14"/>
  <c r="X188" i="14"/>
  <c r="B194" i="14"/>
  <c r="AG194" i="14" s="1"/>
  <c r="C243" i="14"/>
  <c r="AG273" i="14"/>
  <c r="E289" i="14"/>
  <c r="D289" i="14" s="1"/>
  <c r="E290" i="14"/>
  <c r="D290" i="14" s="1"/>
  <c r="AG352" i="14"/>
  <c r="E112" i="17"/>
  <c r="C115" i="17"/>
  <c r="B32" i="17"/>
  <c r="AG32" i="17" s="1"/>
  <c r="C39" i="17"/>
  <c r="C80" i="17"/>
  <c r="C94" i="17"/>
  <c r="F14" i="15"/>
  <c r="F10" i="15" s="1"/>
  <c r="G14" i="15"/>
  <c r="G11" i="15" s="1"/>
  <c r="G10" i="15" s="1"/>
  <c r="E275" i="8"/>
  <c r="C275" i="8"/>
  <c r="B275" i="8"/>
  <c r="E199" i="8"/>
  <c r="E208" i="8"/>
  <c r="E96" i="8"/>
  <c r="F96" i="8" s="1"/>
  <c r="E81" i="8"/>
  <c r="B17" i="15"/>
  <c r="B16" i="15" s="1"/>
  <c r="AG16" i="15" s="1"/>
  <c r="J22" i="15"/>
  <c r="J27" i="15" s="1"/>
  <c r="N22" i="15"/>
  <c r="N27" i="15" s="1"/>
  <c r="R22" i="15"/>
  <c r="R27" i="15" s="1"/>
  <c r="V22" i="15"/>
  <c r="V27" i="15" s="1"/>
  <c r="Z22" i="15"/>
  <c r="Z27" i="15" s="1"/>
  <c r="AD22" i="15"/>
  <c r="AD27" i="15" s="1"/>
  <c r="Q22" i="15"/>
  <c r="Q27" i="15" s="1"/>
  <c r="U22" i="15"/>
  <c r="U27" i="15" s="1"/>
  <c r="D11" i="15"/>
  <c r="D10" i="15" s="1"/>
  <c r="B11" i="15"/>
  <c r="B10" i="15" s="1"/>
  <c r="AG10" i="15" s="1"/>
  <c r="C11" i="15"/>
  <c r="C10" i="15" s="1"/>
  <c r="I22" i="15"/>
  <c r="I27" i="15" s="1"/>
  <c r="M22" i="15"/>
  <c r="M27" i="15" s="1"/>
  <c r="Y22" i="15"/>
  <c r="Y27" i="15" s="1"/>
  <c r="G20" i="8"/>
  <c r="E18" i="8"/>
  <c r="X39" i="8"/>
  <c r="S141" i="8"/>
  <c r="C18" i="8"/>
  <c r="V301" i="8"/>
  <c r="E316" i="14"/>
  <c r="D316" i="14" s="1"/>
  <c r="L85" i="14"/>
  <c r="P85" i="14"/>
  <c r="T85" i="14"/>
  <c r="X85" i="14"/>
  <c r="AB85" i="14"/>
  <c r="AG92" i="14"/>
  <c r="G64" i="17"/>
  <c r="E148" i="18"/>
  <c r="F148" i="18" s="1"/>
  <c r="B199" i="8"/>
  <c r="G43" i="11"/>
  <c r="B61" i="11"/>
  <c r="T58" i="11"/>
  <c r="T57" i="11" s="1"/>
  <c r="B79" i="11"/>
  <c r="H78" i="11"/>
  <c r="H77" i="11" s="1"/>
  <c r="L78" i="11"/>
  <c r="L77" i="11" s="1"/>
  <c r="P77" i="11"/>
  <c r="T78" i="11"/>
  <c r="T77" i="11" s="1"/>
  <c r="X78" i="11"/>
  <c r="X77" i="11" s="1"/>
  <c r="AB78" i="11"/>
  <c r="AB77" i="11" s="1"/>
  <c r="K31" i="14"/>
  <c r="O31" i="14"/>
  <c r="S31" i="14"/>
  <c r="J378" i="14"/>
  <c r="R378" i="14"/>
  <c r="V378" i="14"/>
  <c r="Z378" i="14"/>
  <c r="AD378" i="14"/>
  <c r="C37" i="14"/>
  <c r="Q91" i="14"/>
  <c r="J188" i="14"/>
  <c r="N188" i="14"/>
  <c r="R188" i="14"/>
  <c r="V188" i="14"/>
  <c r="Z188" i="14"/>
  <c r="AD188" i="14"/>
  <c r="E203" i="14"/>
  <c r="W201" i="14"/>
  <c r="AA201" i="14"/>
  <c r="C213" i="14"/>
  <c r="E222" i="14"/>
  <c r="E231" i="14"/>
  <c r="E252" i="14"/>
  <c r="C250" i="14"/>
  <c r="C261" i="14"/>
  <c r="H269" i="14"/>
  <c r="P269" i="14"/>
  <c r="E281" i="14"/>
  <c r="B292" i="14"/>
  <c r="AG292" i="14" s="1"/>
  <c r="G307" i="14"/>
  <c r="G319" i="14"/>
  <c r="F152" i="18"/>
  <c r="G152" i="18"/>
  <c r="I104" i="11"/>
  <c r="I101" i="11" s="1"/>
  <c r="I109" i="11"/>
  <c r="G39" i="14"/>
  <c r="AG65" i="14"/>
  <c r="E94" i="14"/>
  <c r="E103" i="14"/>
  <c r="G103" i="14" s="1"/>
  <c r="K162" i="14"/>
  <c r="O162" i="14"/>
  <c r="AA162" i="14"/>
  <c r="AE162" i="14"/>
  <c r="K188" i="14"/>
  <c r="O188" i="14"/>
  <c r="S188" i="14"/>
  <c r="W188" i="14"/>
  <c r="AA188" i="14"/>
  <c r="AE188" i="14"/>
  <c r="B221" i="14"/>
  <c r="AG221" i="14" s="1"/>
  <c r="C231" i="14"/>
  <c r="I269" i="14"/>
  <c r="M269" i="14"/>
  <c r="Q269" i="14"/>
  <c r="U269" i="14"/>
  <c r="Y269" i="14"/>
  <c r="AC269" i="14"/>
  <c r="D152" i="18"/>
  <c r="D148" i="18"/>
  <c r="R78" i="11"/>
  <c r="R77" i="11" s="1"/>
  <c r="Z78" i="11"/>
  <c r="Z77" i="11" s="1"/>
  <c r="L367" i="14"/>
  <c r="L387" i="14" s="1"/>
  <c r="P367" i="14"/>
  <c r="P387" i="14" s="1"/>
  <c r="T367" i="14"/>
  <c r="T387" i="14" s="1"/>
  <c r="D43" i="14"/>
  <c r="U61" i="14"/>
  <c r="B88" i="14"/>
  <c r="AG88" i="14" s="1"/>
  <c r="I91" i="14"/>
  <c r="M91" i="14"/>
  <c r="Y91" i="14"/>
  <c r="AC91" i="14"/>
  <c r="AG143" i="14"/>
  <c r="U141" i="14"/>
  <c r="E144" i="14"/>
  <c r="E141" i="14" s="1"/>
  <c r="L188" i="14"/>
  <c r="T188" i="14"/>
  <c r="AB188" i="14"/>
  <c r="K201" i="14"/>
  <c r="E207" i="14"/>
  <c r="G239" i="14"/>
  <c r="S249" i="14"/>
  <c r="W249" i="14"/>
  <c r="AA249" i="14"/>
  <c r="E255" i="14"/>
  <c r="C255" i="14"/>
  <c r="X269" i="14"/>
  <c r="C281" i="14"/>
  <c r="J288" i="14"/>
  <c r="B306" i="14"/>
  <c r="AG306" i="14" s="1"/>
  <c r="P312" i="14"/>
  <c r="B326" i="14"/>
  <c r="AG326" i="14" s="1"/>
  <c r="B327" i="14"/>
  <c r="AG327" i="14" s="1"/>
  <c r="T324" i="14"/>
  <c r="B342" i="14"/>
  <c r="AG342" i="14" s="1"/>
  <c r="G91" i="17"/>
  <c r="F136" i="18"/>
  <c r="G136" i="18"/>
  <c r="C82" i="11"/>
  <c r="E24" i="11"/>
  <c r="D24" i="11"/>
  <c r="D254" i="8"/>
  <c r="D252" i="8" s="1"/>
  <c r="D258" i="8"/>
  <c r="I141" i="8"/>
  <c r="Q141" i="8"/>
  <c r="Q138" i="8" s="1"/>
  <c r="Y141" i="8"/>
  <c r="Y138" i="8" s="1"/>
  <c r="E12" i="8"/>
  <c r="B120" i="8"/>
  <c r="B126" i="8"/>
  <c r="B132" i="8"/>
  <c r="G192" i="8"/>
  <c r="B202" i="8"/>
  <c r="B226" i="8"/>
  <c r="B278" i="8"/>
  <c r="B284" i="8"/>
  <c r="E11" i="11"/>
  <c r="R12" i="11"/>
  <c r="R11" i="11" s="1"/>
  <c r="B62" i="11"/>
  <c r="J78" i="11"/>
  <c r="J77" i="11" s="1"/>
  <c r="C79" i="11"/>
  <c r="H12" i="14"/>
  <c r="C24" i="14"/>
  <c r="B32" i="14"/>
  <c r="B376" i="14" s="1"/>
  <c r="E90" i="8"/>
  <c r="G90" i="8" s="1"/>
  <c r="E102" i="8"/>
  <c r="G129" i="8"/>
  <c r="E258" i="8"/>
  <c r="D86" i="9"/>
  <c r="Z12" i="11"/>
  <c r="Z11" i="11" s="1"/>
  <c r="G22" i="8"/>
  <c r="H39" i="8"/>
  <c r="AB39" i="8"/>
  <c r="B45" i="8"/>
  <c r="B52" i="8"/>
  <c r="P58" i="8"/>
  <c r="C81" i="8"/>
  <c r="C78" i="8" s="1"/>
  <c r="G127" i="8"/>
  <c r="J12" i="11"/>
  <c r="J11" i="11" s="1"/>
  <c r="B60" i="11"/>
  <c r="I78" i="11"/>
  <c r="I77" i="11" s="1"/>
  <c r="T12" i="14"/>
  <c r="E37" i="14"/>
  <c r="AG34" i="14"/>
  <c r="C135" i="14"/>
  <c r="F180" i="14"/>
  <c r="E190" i="14"/>
  <c r="E220" i="14"/>
  <c r="C237" i="14"/>
  <c r="AG253" i="14"/>
  <c r="C251" i="14"/>
  <c r="C269" i="14"/>
  <c r="L324" i="14"/>
  <c r="AG351" i="14"/>
  <c r="D30" i="17"/>
  <c r="D121" i="17" s="1"/>
  <c r="G35" i="17"/>
  <c r="G49" i="17"/>
  <c r="B68" i="17"/>
  <c r="AG68" i="17" s="1"/>
  <c r="G83" i="17"/>
  <c r="G97" i="17"/>
  <c r="C100" i="17"/>
  <c r="AG63" i="14"/>
  <c r="C61" i="14"/>
  <c r="E67" i="14"/>
  <c r="F67" i="14" s="1"/>
  <c r="J85" i="14"/>
  <c r="N85" i="14"/>
  <c r="R85" i="14"/>
  <c r="V85" i="14"/>
  <c r="Z85" i="14"/>
  <c r="AD85" i="14"/>
  <c r="C129" i="14"/>
  <c r="I176" i="14"/>
  <c r="M176" i="14"/>
  <c r="Q176" i="14"/>
  <c r="U176" i="14"/>
  <c r="Y176" i="14"/>
  <c r="AC176" i="14"/>
  <c r="AG190" i="14"/>
  <c r="E202" i="14"/>
  <c r="E204" i="14"/>
  <c r="AG223" i="14"/>
  <c r="C221" i="14"/>
  <c r="K269" i="14"/>
  <c r="O269" i="14"/>
  <c r="S269" i="14"/>
  <c r="W269" i="14"/>
  <c r="AA269" i="14"/>
  <c r="AE269" i="14"/>
  <c r="C275" i="14"/>
  <c r="K348" i="14"/>
  <c r="O348" i="14"/>
  <c r="S348" i="14"/>
  <c r="W348" i="14"/>
  <c r="AA348" i="14"/>
  <c r="AE348" i="14"/>
  <c r="B31" i="15"/>
  <c r="H22" i="15"/>
  <c r="H27" i="15" s="1"/>
  <c r="L22" i="15"/>
  <c r="L27" i="15" s="1"/>
  <c r="P22" i="15"/>
  <c r="P27" i="15" s="1"/>
  <c r="T22" i="15"/>
  <c r="T27" i="15" s="1"/>
  <c r="X22" i="15"/>
  <c r="X27" i="15" s="1"/>
  <c r="AB22" i="15"/>
  <c r="AB27" i="15" s="1"/>
  <c r="E61" i="14"/>
  <c r="E87" i="14"/>
  <c r="D87" i="14" s="1"/>
  <c r="E97" i="14"/>
  <c r="C115" i="14"/>
  <c r="H162" i="14"/>
  <c r="L162" i="14"/>
  <c r="P162" i="14"/>
  <c r="T162" i="14"/>
  <c r="X162" i="14"/>
  <c r="AB162" i="14"/>
  <c r="AG164" i="14"/>
  <c r="I188" i="14"/>
  <c r="M188" i="14"/>
  <c r="Q188" i="14"/>
  <c r="U188" i="14"/>
  <c r="Y188" i="14"/>
  <c r="AC188" i="14"/>
  <c r="AG205" i="14"/>
  <c r="B251" i="14"/>
  <c r="AG251" i="14" s="1"/>
  <c r="E291" i="14"/>
  <c r="B300" i="14"/>
  <c r="AG300" i="14" s="1"/>
  <c r="B318" i="14"/>
  <c r="AG318" i="14" s="1"/>
  <c r="D13" i="17"/>
  <c r="C68" i="17"/>
  <c r="C88" i="17"/>
  <c r="W126" i="17"/>
  <c r="AA126" i="17"/>
  <c r="AE126" i="17"/>
  <c r="B12" i="8"/>
  <c r="B18" i="8"/>
  <c r="G19" i="8"/>
  <c r="F21" i="8"/>
  <c r="G21" i="8"/>
  <c r="G66" i="8"/>
  <c r="C64" i="8"/>
  <c r="G68" i="8"/>
  <c r="B71" i="8"/>
  <c r="G87" i="8"/>
  <c r="B90" i="8"/>
  <c r="G93" i="8"/>
  <c r="G99" i="8"/>
  <c r="B102" i="8"/>
  <c r="G105" i="8"/>
  <c r="G111" i="8"/>
  <c r="F128" i="8"/>
  <c r="G128" i="8"/>
  <c r="G130" i="8"/>
  <c r="G134" i="8"/>
  <c r="G136" i="8"/>
  <c r="N301" i="8"/>
  <c r="Z301" i="8"/>
  <c r="AD301" i="8"/>
  <c r="D141" i="8"/>
  <c r="D138" i="8" s="1"/>
  <c r="G193" i="8"/>
  <c r="G211" i="8"/>
  <c r="B214" i="8"/>
  <c r="G217" i="8"/>
  <c r="F260" i="8"/>
  <c r="G260" i="8"/>
  <c r="I295" i="8"/>
  <c r="M295" i="8"/>
  <c r="Q295" i="8"/>
  <c r="U295" i="8"/>
  <c r="Y295" i="8"/>
  <c r="AC295" i="8"/>
  <c r="C92" i="9"/>
  <c r="I80" i="9"/>
  <c r="I91" i="9" s="1"/>
  <c r="I85" i="9"/>
  <c r="K80" i="9"/>
  <c r="K91" i="9" s="1"/>
  <c r="K85" i="9"/>
  <c r="M80" i="9"/>
  <c r="M91" i="9" s="1"/>
  <c r="M85" i="9"/>
  <c r="O80" i="9"/>
  <c r="O91" i="9" s="1"/>
  <c r="O85" i="9"/>
  <c r="Q80" i="9"/>
  <c r="Q91" i="9" s="1"/>
  <c r="Q85" i="9"/>
  <c r="S80" i="9"/>
  <c r="S91" i="9" s="1"/>
  <c r="S85" i="9"/>
  <c r="U80" i="9"/>
  <c r="U91" i="9" s="1"/>
  <c r="U85" i="9"/>
  <c r="W80" i="9"/>
  <c r="W91" i="9" s="1"/>
  <c r="W85" i="9"/>
  <c r="Y80" i="9"/>
  <c r="Y91" i="9" s="1"/>
  <c r="Y85" i="9"/>
  <c r="AA80" i="9"/>
  <c r="AA91" i="9" s="1"/>
  <c r="AA85" i="9"/>
  <c r="AC80" i="9"/>
  <c r="AC91" i="9" s="1"/>
  <c r="AC85" i="9"/>
  <c r="AE80" i="9"/>
  <c r="AE91" i="9" s="1"/>
  <c r="AE85" i="9"/>
  <c r="H81" i="9"/>
  <c r="H92" i="9" s="1"/>
  <c r="H86" i="9"/>
  <c r="J81" i="9"/>
  <c r="J92" i="9" s="1"/>
  <c r="J86" i="9"/>
  <c r="L81" i="9"/>
  <c r="L92" i="9" s="1"/>
  <c r="L86" i="9"/>
  <c r="N81" i="9"/>
  <c r="N92" i="9" s="1"/>
  <c r="N86" i="9"/>
  <c r="P81" i="9"/>
  <c r="P92" i="9" s="1"/>
  <c r="P86" i="9"/>
  <c r="R81" i="9"/>
  <c r="R92" i="9" s="1"/>
  <c r="R86" i="9"/>
  <c r="T81" i="9"/>
  <c r="T92" i="9" s="1"/>
  <c r="T86" i="9"/>
  <c r="V81" i="9"/>
  <c r="V92" i="9" s="1"/>
  <c r="V86" i="9"/>
  <c r="X81" i="9"/>
  <c r="X92" i="9" s="1"/>
  <c r="X86" i="9"/>
  <c r="Z81" i="9"/>
  <c r="Z92" i="9" s="1"/>
  <c r="Z86" i="9"/>
  <c r="AB81" i="9"/>
  <c r="AB92" i="9" s="1"/>
  <c r="AB86" i="9"/>
  <c r="AD81" i="9"/>
  <c r="AD92" i="9" s="1"/>
  <c r="AD86" i="9"/>
  <c r="I82" i="9"/>
  <c r="I93" i="9" s="1"/>
  <c r="I87" i="9"/>
  <c r="K82" i="9"/>
  <c r="K93" i="9" s="1"/>
  <c r="K87" i="9"/>
  <c r="M82" i="9"/>
  <c r="M93" i="9" s="1"/>
  <c r="M87" i="9"/>
  <c r="O82" i="9"/>
  <c r="O93" i="9" s="1"/>
  <c r="O87" i="9"/>
  <c r="Q82" i="9"/>
  <c r="Q93" i="9" s="1"/>
  <c r="Q87" i="9"/>
  <c r="S82" i="9"/>
  <c r="S93" i="9" s="1"/>
  <c r="S87" i="9"/>
  <c r="U82" i="9"/>
  <c r="U93" i="9" s="1"/>
  <c r="U87" i="9"/>
  <c r="W82" i="9"/>
  <c r="W93" i="9" s="1"/>
  <c r="W87" i="9"/>
  <c r="Y82" i="9"/>
  <c r="Y93" i="9" s="1"/>
  <c r="Y87" i="9"/>
  <c r="AA82" i="9"/>
  <c r="AA93" i="9" s="1"/>
  <c r="AA87" i="9"/>
  <c r="AC82" i="9"/>
  <c r="AC93" i="9" s="1"/>
  <c r="AC87" i="9"/>
  <c r="AE82" i="9"/>
  <c r="AE93" i="9" s="1"/>
  <c r="AE87" i="9"/>
  <c r="H83" i="9"/>
  <c r="H94" i="9" s="1"/>
  <c r="H88" i="9"/>
  <c r="J83" i="9"/>
  <c r="J94" i="9" s="1"/>
  <c r="J88" i="9"/>
  <c r="L83" i="9"/>
  <c r="L94" i="9" s="1"/>
  <c r="L88" i="9"/>
  <c r="N83" i="9"/>
  <c r="N94" i="9" s="1"/>
  <c r="N88" i="9"/>
  <c r="P83" i="9"/>
  <c r="P94" i="9" s="1"/>
  <c r="P88" i="9"/>
  <c r="R83" i="9"/>
  <c r="R94" i="9" s="1"/>
  <c r="R88" i="9"/>
  <c r="T83" i="9"/>
  <c r="T94" i="9" s="1"/>
  <c r="T88" i="9"/>
  <c r="V83" i="9"/>
  <c r="V94" i="9" s="1"/>
  <c r="V88" i="9"/>
  <c r="X83" i="9"/>
  <c r="X94" i="9" s="1"/>
  <c r="X88" i="9"/>
  <c r="Z83" i="9"/>
  <c r="Z94" i="9" s="1"/>
  <c r="Z88" i="9"/>
  <c r="AB83" i="9"/>
  <c r="AB94" i="9" s="1"/>
  <c r="AB88" i="9"/>
  <c r="AD83" i="9"/>
  <c r="AD94" i="9" s="1"/>
  <c r="AD88" i="9"/>
  <c r="C88" i="9"/>
  <c r="D88" i="9"/>
  <c r="AG71" i="9"/>
  <c r="E81" i="9"/>
  <c r="E92" i="9" s="1"/>
  <c r="G27" i="11"/>
  <c r="C24" i="11"/>
  <c r="D50" i="11"/>
  <c r="D49" i="11" s="1"/>
  <c r="G26" i="14"/>
  <c r="F38" i="14"/>
  <c r="AG38" i="14"/>
  <c r="G38" i="14"/>
  <c r="AG43" i="14"/>
  <c r="B49" i="14"/>
  <c r="AG52" i="14"/>
  <c r="G52" i="14"/>
  <c r="G62" i="14"/>
  <c r="F63" i="14"/>
  <c r="G63" i="14"/>
  <c r="K61" i="14"/>
  <c r="O61" i="14"/>
  <c r="Q377" i="14"/>
  <c r="S61" i="14"/>
  <c r="W61" i="14"/>
  <c r="Y377" i="14"/>
  <c r="AA61" i="14"/>
  <c r="AE61" i="14"/>
  <c r="F65" i="14"/>
  <c r="AG67" i="14"/>
  <c r="G70" i="14"/>
  <c r="B73" i="14"/>
  <c r="AG76" i="14"/>
  <c r="G76" i="14"/>
  <c r="F95" i="14"/>
  <c r="G95" i="14"/>
  <c r="K91" i="14"/>
  <c r="M85" i="14"/>
  <c r="O91" i="14"/>
  <c r="Q85" i="14"/>
  <c r="S91" i="14"/>
  <c r="W91" i="14"/>
  <c r="Y85" i="14"/>
  <c r="AA91" i="14"/>
  <c r="AC85" i="14"/>
  <c r="AE91" i="14"/>
  <c r="F98" i="14"/>
  <c r="AG98" i="14"/>
  <c r="G98" i="14"/>
  <c r="B97" i="14"/>
  <c r="AG97" i="14" s="1"/>
  <c r="G100" i="14"/>
  <c r="B103" i="14"/>
  <c r="AG106" i="14"/>
  <c r="B109" i="14"/>
  <c r="AG112" i="14"/>
  <c r="G112" i="14"/>
  <c r="B115" i="14"/>
  <c r="AG118" i="14"/>
  <c r="G118" i="14"/>
  <c r="B129" i="14"/>
  <c r="AG132" i="14"/>
  <c r="G132" i="14"/>
  <c r="B135" i="14"/>
  <c r="AG138" i="14"/>
  <c r="G142" i="14"/>
  <c r="F143" i="14"/>
  <c r="K141" i="14"/>
  <c r="O141" i="14"/>
  <c r="S141" i="14"/>
  <c r="W141" i="14"/>
  <c r="AA141" i="14"/>
  <c r="AE141" i="14"/>
  <c r="F145" i="14"/>
  <c r="G163" i="14"/>
  <c r="I162" i="14"/>
  <c r="M162" i="14"/>
  <c r="Q162" i="14"/>
  <c r="U162" i="14"/>
  <c r="Y162" i="14"/>
  <c r="AC162" i="14"/>
  <c r="F166" i="14"/>
  <c r="AG168" i="14"/>
  <c r="G171" i="14"/>
  <c r="G178" i="14"/>
  <c r="J176" i="14"/>
  <c r="N176" i="14"/>
  <c r="R176" i="14"/>
  <c r="V176" i="14"/>
  <c r="Z176" i="14"/>
  <c r="AD176" i="14"/>
  <c r="G180" i="14"/>
  <c r="AG180" i="14"/>
  <c r="G184" i="14"/>
  <c r="G192" i="14"/>
  <c r="F196" i="14"/>
  <c r="AG196" i="14"/>
  <c r="I201" i="14"/>
  <c r="M201" i="14"/>
  <c r="Q201" i="14"/>
  <c r="U201" i="14"/>
  <c r="Y201" i="14"/>
  <c r="AC201" i="14"/>
  <c r="F208" i="14"/>
  <c r="AG208" i="14"/>
  <c r="G208" i="14"/>
  <c r="G210" i="14"/>
  <c r="D202" i="14"/>
  <c r="G214" i="14"/>
  <c r="D204" i="14"/>
  <c r="G216" i="14"/>
  <c r="I219" i="14"/>
  <c r="M219" i="14"/>
  <c r="Q219" i="14"/>
  <c r="U219" i="14"/>
  <c r="Y219" i="14"/>
  <c r="AC219" i="14"/>
  <c r="F226" i="14"/>
  <c r="AG226" i="14"/>
  <c r="G226" i="14"/>
  <c r="G228" i="14"/>
  <c r="D220" i="14"/>
  <c r="G232" i="14"/>
  <c r="D222" i="14"/>
  <c r="G234" i="14"/>
  <c r="F238" i="14"/>
  <c r="AG238" i="14"/>
  <c r="G238" i="14"/>
  <c r="G240" i="14"/>
  <c r="G244" i="14"/>
  <c r="G246" i="14"/>
  <c r="I249" i="14"/>
  <c r="M249" i="14"/>
  <c r="Q249" i="14"/>
  <c r="U249" i="14"/>
  <c r="Y249" i="14"/>
  <c r="AC249" i="14"/>
  <c r="F256" i="14"/>
  <c r="AG256" i="14"/>
  <c r="G256" i="14"/>
  <c r="G258" i="14"/>
  <c r="D250" i="14"/>
  <c r="G262" i="14"/>
  <c r="G264" i="14"/>
  <c r="J269" i="14"/>
  <c r="L269" i="14"/>
  <c r="N269" i="14"/>
  <c r="R269" i="14"/>
  <c r="T269" i="14"/>
  <c r="V269" i="14"/>
  <c r="Z269" i="14"/>
  <c r="AD269" i="14"/>
  <c r="G273" i="14"/>
  <c r="G277" i="14"/>
  <c r="AG272" i="14"/>
  <c r="AG278" i="14"/>
  <c r="G278" i="14"/>
  <c r="G282" i="14"/>
  <c r="G284" i="14"/>
  <c r="AG290" i="14"/>
  <c r="L288" i="14"/>
  <c r="N288" i="14"/>
  <c r="P288" i="14"/>
  <c r="T288" i="14"/>
  <c r="V288" i="14"/>
  <c r="X288" i="14"/>
  <c r="AB288" i="14"/>
  <c r="AD288" i="14"/>
  <c r="F296" i="14"/>
  <c r="AG296" i="14"/>
  <c r="G296" i="14"/>
  <c r="C294" i="14"/>
  <c r="F302" i="14"/>
  <c r="AG302" i="14"/>
  <c r="G302" i="14"/>
  <c r="C300" i="14"/>
  <c r="F308" i="14"/>
  <c r="AG308" i="14"/>
  <c r="G308" i="14"/>
  <c r="C306" i="14"/>
  <c r="F320" i="14"/>
  <c r="AG320" i="14"/>
  <c r="G320" i="14"/>
  <c r="C318" i="14"/>
  <c r="K312" i="14"/>
  <c r="M312" i="14"/>
  <c r="O312" i="14"/>
  <c r="Q312" i="14"/>
  <c r="S312" i="14"/>
  <c r="U312" i="14"/>
  <c r="W312" i="14"/>
  <c r="Y312" i="14"/>
  <c r="AA312" i="14"/>
  <c r="AC312" i="14"/>
  <c r="AE312" i="14"/>
  <c r="L312" i="14"/>
  <c r="T312" i="14"/>
  <c r="AB312" i="14"/>
  <c r="G338" i="14"/>
  <c r="G344" i="14"/>
  <c r="H348" i="14"/>
  <c r="L348" i="14"/>
  <c r="P348" i="14"/>
  <c r="T348" i="14"/>
  <c r="X348" i="14"/>
  <c r="AB348" i="14"/>
  <c r="G356" i="14"/>
  <c r="G362" i="14"/>
  <c r="B24" i="15"/>
  <c r="AG24" i="15" s="1"/>
  <c r="B29" i="15"/>
  <c r="AG13" i="15"/>
  <c r="D29" i="15"/>
  <c r="D25" i="15"/>
  <c r="D30" i="15" s="1"/>
  <c r="C17" i="15"/>
  <c r="K22" i="15"/>
  <c r="K27" i="15" s="1"/>
  <c r="O22" i="15"/>
  <c r="O27" i="15" s="1"/>
  <c r="S22" i="15"/>
  <c r="S27" i="15" s="1"/>
  <c r="W22" i="15"/>
  <c r="W27" i="15" s="1"/>
  <c r="AA22" i="15"/>
  <c r="AA27" i="15" s="1"/>
  <c r="AE22" i="15"/>
  <c r="AE27" i="15" s="1"/>
  <c r="G19" i="17"/>
  <c r="G21" i="17"/>
  <c r="AG26" i="17"/>
  <c r="F34" i="17"/>
  <c r="AG34" i="17"/>
  <c r="G34" i="17"/>
  <c r="F37" i="17"/>
  <c r="AG37" i="17"/>
  <c r="G37" i="17"/>
  <c r="G41" i="17"/>
  <c r="G44" i="17"/>
  <c r="F48" i="17"/>
  <c r="AG48" i="17"/>
  <c r="G48" i="17"/>
  <c r="F50" i="17"/>
  <c r="AG50" i="17"/>
  <c r="G50" i="17"/>
  <c r="B61" i="17"/>
  <c r="AG61" i="17" s="1"/>
  <c r="F66" i="17"/>
  <c r="AG66" i="17"/>
  <c r="G66" i="17"/>
  <c r="B74" i="17"/>
  <c r="AG74" i="17" s="1"/>
  <c r="B88" i="17"/>
  <c r="AG88" i="17" s="1"/>
  <c r="B94" i="17"/>
  <c r="AG94" i="17" s="1"/>
  <c r="B100" i="17"/>
  <c r="AG100" i="17" s="1"/>
  <c r="I105" i="17"/>
  <c r="Q105" i="17"/>
  <c r="Q126" i="17"/>
  <c r="Y105" i="17"/>
  <c r="H111" i="17"/>
  <c r="H122" i="17" s="1"/>
  <c r="J111" i="17"/>
  <c r="N111" i="17"/>
  <c r="P111" i="17"/>
  <c r="P122" i="17" s="1"/>
  <c r="R111" i="17"/>
  <c r="V111" i="17"/>
  <c r="X111" i="17"/>
  <c r="X122" i="17" s="1"/>
  <c r="Z111" i="17"/>
  <c r="AD111" i="17"/>
  <c r="K39" i="8"/>
  <c r="O39" i="8"/>
  <c r="S39" i="8"/>
  <c r="W39" i="8"/>
  <c r="AA39" i="8"/>
  <c r="F46" i="8"/>
  <c r="D46" i="8"/>
  <c r="F47" i="8"/>
  <c r="B61" i="8"/>
  <c r="T42" i="8"/>
  <c r="F99" i="8"/>
  <c r="F134" i="8"/>
  <c r="D135" i="8"/>
  <c r="E132" i="8"/>
  <c r="F211" i="8"/>
  <c r="D229" i="8"/>
  <c r="D226" i="8" s="1"/>
  <c r="E226" i="8"/>
  <c r="E240" i="8"/>
  <c r="D264" i="8"/>
  <c r="E264" i="8"/>
  <c r="F281" i="8"/>
  <c r="D281" i="8"/>
  <c r="E278" i="8"/>
  <c r="F287" i="8"/>
  <c r="D287" i="8"/>
  <c r="D284" i="8" s="1"/>
  <c r="E284" i="8"/>
  <c r="AG14" i="9"/>
  <c r="AG24" i="9"/>
  <c r="AG19" i="9"/>
  <c r="AG30" i="9"/>
  <c r="AG25" i="9"/>
  <c r="J87" i="9"/>
  <c r="J82" i="9"/>
  <c r="J93" i="9" s="1"/>
  <c r="N87" i="9"/>
  <c r="N82" i="9"/>
  <c r="N93" i="9" s="1"/>
  <c r="R87" i="9"/>
  <c r="R82" i="9"/>
  <c r="R93" i="9" s="1"/>
  <c r="V87" i="9"/>
  <c r="V82" i="9"/>
  <c r="V93" i="9" s="1"/>
  <c r="Z87" i="9"/>
  <c r="Z82" i="9"/>
  <c r="Z93" i="9" s="1"/>
  <c r="AB87" i="9"/>
  <c r="AB82" i="9"/>
  <c r="AB93" i="9" s="1"/>
  <c r="G14" i="8"/>
  <c r="I39" i="8"/>
  <c r="M39" i="8"/>
  <c r="Q39" i="8"/>
  <c r="U39" i="8"/>
  <c r="Y39" i="8"/>
  <c r="AC39" i="8"/>
  <c r="AE39" i="8"/>
  <c r="E45" i="8"/>
  <c r="G49" i="8"/>
  <c r="D55" i="8"/>
  <c r="D52" i="8" s="1"/>
  <c r="E52" i="8"/>
  <c r="F66" i="8"/>
  <c r="F67" i="8"/>
  <c r="D67" i="8"/>
  <c r="D64" i="8" s="1"/>
  <c r="E64" i="8"/>
  <c r="F68" i="8"/>
  <c r="D73" i="8"/>
  <c r="D41" i="8" s="1"/>
  <c r="E41" i="8"/>
  <c r="F111" i="8"/>
  <c r="C120" i="8"/>
  <c r="C114" i="8"/>
  <c r="C126" i="8"/>
  <c r="F133" i="8"/>
  <c r="D133" i="8"/>
  <c r="F136" i="8"/>
  <c r="G194" i="8"/>
  <c r="C202" i="8"/>
  <c r="G205" i="8"/>
  <c r="D249" i="8"/>
  <c r="D246" i="8" s="1"/>
  <c r="E246" i="8"/>
  <c r="D92" i="9"/>
  <c r="L87" i="9"/>
  <c r="L82" i="9"/>
  <c r="L93" i="9" s="1"/>
  <c r="P87" i="9"/>
  <c r="P82" i="9"/>
  <c r="P93" i="9" s="1"/>
  <c r="T87" i="9"/>
  <c r="T82" i="9"/>
  <c r="T93" i="9" s="1"/>
  <c r="X87" i="9"/>
  <c r="X82" i="9"/>
  <c r="X93" i="9" s="1"/>
  <c r="AD87" i="9"/>
  <c r="AD82" i="9"/>
  <c r="F13" i="8"/>
  <c r="F14" i="8"/>
  <c r="D14" i="8"/>
  <c r="F15" i="8"/>
  <c r="F16" i="8"/>
  <c r="D16" i="8"/>
  <c r="F20" i="8"/>
  <c r="D20" i="8"/>
  <c r="F22" i="8"/>
  <c r="D22" i="8"/>
  <c r="J39" i="8"/>
  <c r="N39" i="8"/>
  <c r="R39" i="8"/>
  <c r="V39" i="8"/>
  <c r="Z39" i="8"/>
  <c r="AD39" i="8"/>
  <c r="E40" i="8"/>
  <c r="F40" i="8" s="1"/>
  <c r="G46" i="8"/>
  <c r="G48" i="8"/>
  <c r="F49" i="8"/>
  <c r="G55" i="8"/>
  <c r="T58" i="8"/>
  <c r="D58" i="8"/>
  <c r="E58" i="8"/>
  <c r="G67" i="8"/>
  <c r="E71" i="8"/>
  <c r="F71" i="8" s="1"/>
  <c r="D81" i="8"/>
  <c r="D78" i="8" s="1"/>
  <c r="F93" i="8"/>
  <c r="F105" i="8"/>
  <c r="E120" i="8"/>
  <c r="F127" i="8"/>
  <c r="D127" i="8"/>
  <c r="F129" i="8"/>
  <c r="D129" i="8"/>
  <c r="D114" i="8" s="1"/>
  <c r="E126" i="8"/>
  <c r="F130" i="8"/>
  <c r="G133" i="8"/>
  <c r="C132" i="8"/>
  <c r="M141" i="8"/>
  <c r="M138" i="8" s="1"/>
  <c r="O141" i="8"/>
  <c r="O138" i="8" s="1"/>
  <c r="W141" i="8"/>
  <c r="W138" i="8" s="1"/>
  <c r="AE141" i="8"/>
  <c r="AE138" i="8" s="1"/>
  <c r="H141" i="8"/>
  <c r="L141" i="8"/>
  <c r="L138" i="8" s="1"/>
  <c r="P138" i="8"/>
  <c r="T141" i="8"/>
  <c r="T138" i="8" s="1"/>
  <c r="X141" i="8"/>
  <c r="X138" i="8" s="1"/>
  <c r="AB141" i="8"/>
  <c r="AB138" i="8" s="1"/>
  <c r="F192" i="8"/>
  <c r="D192" i="8"/>
  <c r="F193" i="8"/>
  <c r="F194" i="8"/>
  <c r="D194" i="8"/>
  <c r="D163" i="8" s="1"/>
  <c r="E202" i="8"/>
  <c r="B200" i="8"/>
  <c r="B220" i="8"/>
  <c r="C220" i="8"/>
  <c r="H220" i="8"/>
  <c r="G229" i="8"/>
  <c r="G243" i="8"/>
  <c r="G249" i="8"/>
  <c r="G267" i="8"/>
  <c r="G281" i="8"/>
  <c r="G287" i="8"/>
  <c r="AG11" i="9"/>
  <c r="AG13" i="9"/>
  <c r="AG15" i="9"/>
  <c r="C91" i="9"/>
  <c r="H85" i="9"/>
  <c r="H80" i="9"/>
  <c r="J85" i="9"/>
  <c r="J80" i="9"/>
  <c r="L85" i="9"/>
  <c r="L80" i="9"/>
  <c r="N85" i="9"/>
  <c r="N80" i="9"/>
  <c r="P85" i="9"/>
  <c r="P80" i="9"/>
  <c r="R85" i="9"/>
  <c r="R80" i="9"/>
  <c r="T85" i="9"/>
  <c r="T80" i="9"/>
  <c r="V85" i="9"/>
  <c r="V80" i="9"/>
  <c r="X85" i="9"/>
  <c r="X80" i="9"/>
  <c r="Z85" i="9"/>
  <c r="Z80" i="9"/>
  <c r="AB85" i="9"/>
  <c r="AB80" i="9"/>
  <c r="AD85" i="9"/>
  <c r="AD80" i="9"/>
  <c r="E86" i="9"/>
  <c r="I86" i="9"/>
  <c r="I81" i="9"/>
  <c r="I92" i="9" s="1"/>
  <c r="K86" i="9"/>
  <c r="K81" i="9"/>
  <c r="K92" i="9" s="1"/>
  <c r="M86" i="9"/>
  <c r="M81" i="9"/>
  <c r="M92" i="9" s="1"/>
  <c r="O86" i="9"/>
  <c r="O81" i="9"/>
  <c r="O92" i="9" s="1"/>
  <c r="Q86" i="9"/>
  <c r="Q81" i="9"/>
  <c r="Q92" i="9" s="1"/>
  <c r="S86" i="9"/>
  <c r="S81" i="9"/>
  <c r="S92" i="9" s="1"/>
  <c r="U86" i="9"/>
  <c r="U81" i="9"/>
  <c r="U92" i="9" s="1"/>
  <c r="W86" i="9"/>
  <c r="W81" i="9"/>
  <c r="W92" i="9" s="1"/>
  <c r="Y86" i="9"/>
  <c r="Y81" i="9"/>
  <c r="Y92" i="9" s="1"/>
  <c r="AA86" i="9"/>
  <c r="AA81" i="9"/>
  <c r="AA92" i="9" s="1"/>
  <c r="AC86" i="9"/>
  <c r="AC81" i="9"/>
  <c r="AC92" i="9" s="1"/>
  <c r="AE86" i="9"/>
  <c r="AE81" i="9"/>
  <c r="AE92" i="9" s="1"/>
  <c r="E88" i="9"/>
  <c r="E83" i="9"/>
  <c r="E94" i="9" s="1"/>
  <c r="I88" i="9"/>
  <c r="I83" i="9"/>
  <c r="I94" i="9" s="1"/>
  <c r="K88" i="9"/>
  <c r="K83" i="9"/>
  <c r="K94" i="9" s="1"/>
  <c r="M88" i="9"/>
  <c r="M83" i="9"/>
  <c r="M94" i="9" s="1"/>
  <c r="O88" i="9"/>
  <c r="O83" i="9"/>
  <c r="O94" i="9" s="1"/>
  <c r="Q88" i="9"/>
  <c r="Q83" i="9"/>
  <c r="Q94" i="9" s="1"/>
  <c r="S88" i="9"/>
  <c r="S83" i="9"/>
  <c r="S94" i="9" s="1"/>
  <c r="U88" i="9"/>
  <c r="U83" i="9"/>
  <c r="U94" i="9" s="1"/>
  <c r="W88" i="9"/>
  <c r="W83" i="9"/>
  <c r="W94" i="9" s="1"/>
  <c r="Y88" i="9"/>
  <c r="Y83" i="9"/>
  <c r="Y94" i="9" s="1"/>
  <c r="AA88" i="9"/>
  <c r="AA83" i="9"/>
  <c r="AA94" i="9" s="1"/>
  <c r="AC88" i="9"/>
  <c r="AC83" i="9"/>
  <c r="AC94" i="9" s="1"/>
  <c r="AE88" i="9"/>
  <c r="AE83" i="9"/>
  <c r="AE94" i="9" s="1"/>
  <c r="AG40" i="9"/>
  <c r="B81" i="9"/>
  <c r="B92" i="9" s="1"/>
  <c r="AG37" i="9"/>
  <c r="AG45" i="9"/>
  <c r="AG51" i="9"/>
  <c r="AG60" i="9"/>
  <c r="AG36" i="9"/>
  <c r="K107" i="11"/>
  <c r="M107" i="11"/>
  <c r="O107" i="11"/>
  <c r="S107" i="11"/>
  <c r="U107" i="11"/>
  <c r="W107" i="11"/>
  <c r="Y107" i="11"/>
  <c r="AA107" i="11"/>
  <c r="AC107" i="11"/>
  <c r="AC102" i="11"/>
  <c r="AE107" i="11"/>
  <c r="AE102" i="11"/>
  <c r="J110" i="11"/>
  <c r="J105" i="11"/>
  <c r="L110" i="11"/>
  <c r="L105" i="11"/>
  <c r="N110" i="11"/>
  <c r="N105" i="11"/>
  <c r="P110" i="11"/>
  <c r="P105" i="11"/>
  <c r="R110" i="11"/>
  <c r="R105" i="11"/>
  <c r="T110" i="11"/>
  <c r="T105" i="11"/>
  <c r="V110" i="11"/>
  <c r="V105" i="11"/>
  <c r="X110" i="11"/>
  <c r="Z110" i="11"/>
  <c r="Z105" i="11"/>
  <c r="AB110" i="11"/>
  <c r="AB105" i="11"/>
  <c r="AD110" i="11"/>
  <c r="AD105" i="11"/>
  <c r="F27" i="11"/>
  <c r="F24" i="11" s="1"/>
  <c r="F15" i="11" s="1"/>
  <c r="F12" i="11" s="1"/>
  <c r="F11" i="11" s="1"/>
  <c r="D44" i="11"/>
  <c r="D43" i="11" s="1"/>
  <c r="B50" i="11"/>
  <c r="B49" i="11" s="1"/>
  <c r="H58" i="11"/>
  <c r="J58" i="11"/>
  <c r="J57" i="11" s="1"/>
  <c r="J107" i="11"/>
  <c r="L107" i="11"/>
  <c r="N58" i="11"/>
  <c r="N107" i="11"/>
  <c r="P107" i="11"/>
  <c r="R58" i="11"/>
  <c r="R57" i="11" s="1"/>
  <c r="R107" i="11"/>
  <c r="T107" i="11"/>
  <c r="V58" i="11"/>
  <c r="V57" i="11" s="1"/>
  <c r="X107" i="11"/>
  <c r="Z58" i="11"/>
  <c r="Z57" i="11" s="1"/>
  <c r="Z107" i="11"/>
  <c r="AB107" i="11"/>
  <c r="AD107" i="11"/>
  <c r="AD102" i="11"/>
  <c r="F64" i="11"/>
  <c r="K105" i="11"/>
  <c r="K110" i="11"/>
  <c r="M110" i="11"/>
  <c r="M105" i="11"/>
  <c r="O105" i="11"/>
  <c r="O110" i="11"/>
  <c r="Q110" i="11"/>
  <c r="Q101" i="11"/>
  <c r="S105" i="11"/>
  <c r="S110" i="11"/>
  <c r="U110" i="11"/>
  <c r="U105" i="11"/>
  <c r="W105" i="11"/>
  <c r="W110" i="11"/>
  <c r="Y110" i="11"/>
  <c r="Y105" i="11"/>
  <c r="AA105" i="11"/>
  <c r="AA110" i="11"/>
  <c r="AC110" i="11"/>
  <c r="AC105" i="11"/>
  <c r="AE105" i="11"/>
  <c r="AE110" i="11"/>
  <c r="D87" i="11"/>
  <c r="F90" i="11"/>
  <c r="AG59" i="9"/>
  <c r="E80" i="9"/>
  <c r="E91" i="9" s="1"/>
  <c r="AG73" i="9"/>
  <c r="AG78" i="9"/>
  <c r="E85" i="9"/>
  <c r="N12" i="11"/>
  <c r="N11" i="11" s="1"/>
  <c r="V12" i="11"/>
  <c r="V11" i="11" s="1"/>
  <c r="AD12" i="11"/>
  <c r="K108" i="11"/>
  <c r="K103" i="11"/>
  <c r="M103" i="11"/>
  <c r="M108" i="11"/>
  <c r="O108" i="11"/>
  <c r="O103" i="11"/>
  <c r="Q108" i="11"/>
  <c r="S108" i="11"/>
  <c r="S103" i="11"/>
  <c r="U103" i="11"/>
  <c r="U108" i="11"/>
  <c r="W108" i="11"/>
  <c r="W103" i="11"/>
  <c r="Y103" i="11"/>
  <c r="Y108" i="11"/>
  <c r="AA108" i="11"/>
  <c r="AA103" i="11"/>
  <c r="AC103" i="11"/>
  <c r="AC108" i="11"/>
  <c r="AE108" i="11"/>
  <c r="AE103" i="11"/>
  <c r="J104" i="11"/>
  <c r="J109" i="11"/>
  <c r="L12" i="11"/>
  <c r="L11" i="11" s="1"/>
  <c r="L109" i="11"/>
  <c r="N109" i="11"/>
  <c r="P12" i="11"/>
  <c r="P11" i="11" s="1"/>
  <c r="P109" i="11"/>
  <c r="P104" i="11"/>
  <c r="R104" i="11"/>
  <c r="R109" i="11"/>
  <c r="T12" i="11"/>
  <c r="T11" i="11" s="1"/>
  <c r="T109" i="11"/>
  <c r="T104" i="11"/>
  <c r="V109" i="11"/>
  <c r="X12" i="11"/>
  <c r="X11" i="11" s="1"/>
  <c r="X109" i="11"/>
  <c r="X104" i="11"/>
  <c r="Z104" i="11"/>
  <c r="Z109" i="11"/>
  <c r="AB12" i="11"/>
  <c r="AB11" i="11" s="1"/>
  <c r="AB109" i="11"/>
  <c r="AB104" i="11"/>
  <c r="AD104" i="11"/>
  <c r="AD109" i="11"/>
  <c r="B24" i="11"/>
  <c r="P58" i="11"/>
  <c r="P57" i="11" s="1"/>
  <c r="X58" i="11"/>
  <c r="X57" i="11" s="1"/>
  <c r="F73" i="11"/>
  <c r="F70" i="11" s="1"/>
  <c r="G93" i="11"/>
  <c r="I85" i="14"/>
  <c r="I371" i="14"/>
  <c r="I12" i="14"/>
  <c r="K366" i="14"/>
  <c r="K386" i="14" s="1"/>
  <c r="K12" i="14"/>
  <c r="M366" i="14"/>
  <c r="M386" i="14" s="1"/>
  <c r="M371" i="14"/>
  <c r="M12" i="14"/>
  <c r="O366" i="14"/>
  <c r="O386" i="14" s="1"/>
  <c r="O12" i="14"/>
  <c r="Q366" i="14"/>
  <c r="Q386" i="14" s="1"/>
  <c r="Q371" i="14"/>
  <c r="Q12" i="14"/>
  <c r="S366" i="14"/>
  <c r="S386" i="14" s="1"/>
  <c r="S12" i="14"/>
  <c r="U366" i="14"/>
  <c r="U386" i="14" s="1"/>
  <c r="U371" i="14"/>
  <c r="U12" i="14"/>
  <c r="W366" i="14"/>
  <c r="W386" i="14" s="1"/>
  <c r="W12" i="14"/>
  <c r="Y371" i="14"/>
  <c r="Y12" i="14"/>
  <c r="AA366" i="14"/>
  <c r="AA386" i="14" s="1"/>
  <c r="AA12" i="14"/>
  <c r="AC366" i="14"/>
  <c r="AC386" i="14" s="1"/>
  <c r="AC371" i="14"/>
  <c r="AC12" i="14"/>
  <c r="AE366" i="14"/>
  <c r="AE386" i="14" s="1"/>
  <c r="AE12" i="14"/>
  <c r="J367" i="14"/>
  <c r="J387" i="14" s="1"/>
  <c r="J372" i="14"/>
  <c r="N372" i="14"/>
  <c r="R367" i="14"/>
  <c r="R387" i="14" s="1"/>
  <c r="R372" i="14"/>
  <c r="V367" i="14"/>
  <c r="V387" i="14" s="1"/>
  <c r="V372" i="14"/>
  <c r="Z367" i="14"/>
  <c r="Z387" i="14" s="1"/>
  <c r="Z372" i="14"/>
  <c r="AD372" i="14"/>
  <c r="K368" i="14"/>
  <c r="K388" i="14" s="1"/>
  <c r="K373" i="14"/>
  <c r="O368" i="14"/>
  <c r="O388" i="14" s="1"/>
  <c r="O373" i="14"/>
  <c r="S368" i="14"/>
  <c r="S388" i="14" s="1"/>
  <c r="S373" i="14"/>
  <c r="W368" i="14"/>
  <c r="W388" i="14" s="1"/>
  <c r="W373" i="14"/>
  <c r="AA368" i="14"/>
  <c r="AA388" i="14" s="1"/>
  <c r="AA373" i="14"/>
  <c r="AE368" i="14"/>
  <c r="AE388" i="14" s="1"/>
  <c r="AE373" i="14"/>
  <c r="H374" i="14"/>
  <c r="L374" i="14"/>
  <c r="P369" i="14"/>
  <c r="P389" i="14" s="1"/>
  <c r="P374" i="14"/>
  <c r="T369" i="14"/>
  <c r="T389" i="14" s="1"/>
  <c r="T374" i="14"/>
  <c r="X369" i="14"/>
  <c r="X389" i="14" s="1"/>
  <c r="X374" i="14"/>
  <c r="AB369" i="14"/>
  <c r="AB389" i="14" s="1"/>
  <c r="AB374" i="14"/>
  <c r="AG16" i="14"/>
  <c r="F19" i="14"/>
  <c r="D19" i="14"/>
  <c r="F20" i="14"/>
  <c r="F21" i="14"/>
  <c r="E18" i="14"/>
  <c r="F25" i="14"/>
  <c r="D25" i="14"/>
  <c r="E24" i="14"/>
  <c r="F26" i="14"/>
  <c r="F27" i="14"/>
  <c r="D27" i="14"/>
  <c r="F28" i="14"/>
  <c r="I379" i="14"/>
  <c r="M379" i="14"/>
  <c r="Q379" i="14"/>
  <c r="U379" i="14"/>
  <c r="Y379" i="14"/>
  <c r="AC379" i="14"/>
  <c r="F46" i="14"/>
  <c r="F62" i="14"/>
  <c r="F70" i="14"/>
  <c r="H85" i="14"/>
  <c r="F100" i="14"/>
  <c r="G111" i="14"/>
  <c r="G117" i="14"/>
  <c r="F142" i="14"/>
  <c r="F157" i="14"/>
  <c r="AG163" i="14"/>
  <c r="F171" i="14"/>
  <c r="F183" i="14"/>
  <c r="D183" i="14"/>
  <c r="D177" i="14" s="1"/>
  <c r="F184" i="14"/>
  <c r="F185" i="14"/>
  <c r="D179" i="14"/>
  <c r="E182" i="14"/>
  <c r="F192" i="14"/>
  <c r="G195" i="14"/>
  <c r="G197" i="14"/>
  <c r="G209" i="14"/>
  <c r="F214" i="14"/>
  <c r="F215" i="14"/>
  <c r="D215" i="14"/>
  <c r="D213" i="14" s="1"/>
  <c r="B213" i="14"/>
  <c r="AG213" i="14" s="1"/>
  <c r="F216" i="14"/>
  <c r="G227" i="14"/>
  <c r="F232" i="14"/>
  <c r="F233" i="14"/>
  <c r="D233" i="14"/>
  <c r="D231" i="14" s="1"/>
  <c r="B231" i="14"/>
  <c r="AG231" i="14" s="1"/>
  <c r="F234" i="14"/>
  <c r="F244" i="14"/>
  <c r="F245" i="14"/>
  <c r="D245" i="14"/>
  <c r="D243" i="14" s="1"/>
  <c r="B243" i="14"/>
  <c r="AG243" i="14" s="1"/>
  <c r="F246" i="14"/>
  <c r="G257" i="14"/>
  <c r="F262" i="14"/>
  <c r="F263" i="14"/>
  <c r="G263" i="14"/>
  <c r="D263" i="14"/>
  <c r="D261" i="14" s="1"/>
  <c r="G270" i="14"/>
  <c r="G276" i="14"/>
  <c r="B277" i="14"/>
  <c r="B275" i="14" s="1"/>
  <c r="B281" i="14"/>
  <c r="AG281" i="14" s="1"/>
  <c r="AG282" i="14"/>
  <c r="F282" i="14"/>
  <c r="F284" i="14"/>
  <c r="H288" i="14"/>
  <c r="G297" i="14"/>
  <c r="G309" i="14"/>
  <c r="G321" i="14"/>
  <c r="E325" i="14"/>
  <c r="I313" i="14"/>
  <c r="I376" i="14" s="1"/>
  <c r="J324" i="14"/>
  <c r="J316" i="14"/>
  <c r="J379" i="14" s="1"/>
  <c r="N324" i="14"/>
  <c r="N316" i="14"/>
  <c r="R324" i="14"/>
  <c r="R316" i="14"/>
  <c r="R312" i="14" s="1"/>
  <c r="V324" i="14"/>
  <c r="V316" i="14"/>
  <c r="Z324" i="14"/>
  <c r="Z316" i="14"/>
  <c r="Z312" i="14" s="1"/>
  <c r="AD324" i="14"/>
  <c r="AD316" i="14"/>
  <c r="AG328" i="14"/>
  <c r="F331" i="14"/>
  <c r="D331" i="14"/>
  <c r="D330" i="14" s="1"/>
  <c r="G331" i="14"/>
  <c r="F333" i="14"/>
  <c r="E330" i="14"/>
  <c r="F338" i="14"/>
  <c r="F343" i="14"/>
  <c r="D343" i="14"/>
  <c r="G343" i="14"/>
  <c r="F345" i="14"/>
  <c r="D345" i="14"/>
  <c r="E342" i="14"/>
  <c r="G345" i="14"/>
  <c r="AG356" i="14"/>
  <c r="B350" i="14"/>
  <c r="D350" i="14"/>
  <c r="F356" i="14"/>
  <c r="F361" i="14"/>
  <c r="D361" i="14"/>
  <c r="G361" i="14"/>
  <c r="F363" i="14"/>
  <c r="D363" i="14"/>
  <c r="E360" i="14"/>
  <c r="G363" i="14"/>
  <c r="V366" i="14"/>
  <c r="V386" i="14" s="1"/>
  <c r="AD366" i="14"/>
  <c r="AD386" i="14" s="1"/>
  <c r="O367" i="14"/>
  <c r="O387" i="14" s="1"/>
  <c r="W367" i="14"/>
  <c r="W387" i="14" s="1"/>
  <c r="AE367" i="14"/>
  <c r="AE387" i="14" s="1"/>
  <c r="P368" i="14"/>
  <c r="P388" i="14" s="1"/>
  <c r="X368" i="14"/>
  <c r="X388" i="14" s="1"/>
  <c r="I369" i="14"/>
  <c r="I389" i="14" s="1"/>
  <c r="Q369" i="14"/>
  <c r="Q389" i="14" s="1"/>
  <c r="Y369" i="14"/>
  <c r="Y389" i="14" s="1"/>
  <c r="K371" i="14"/>
  <c r="S371" i="14"/>
  <c r="AA371" i="14"/>
  <c r="L372" i="14"/>
  <c r="T372" i="14"/>
  <c r="M373" i="14"/>
  <c r="U373" i="14"/>
  <c r="AC373" i="14"/>
  <c r="N374" i="14"/>
  <c r="V374" i="14"/>
  <c r="AD374" i="14"/>
  <c r="P376" i="14"/>
  <c r="X376" i="14"/>
  <c r="F20" i="17"/>
  <c r="D20" i="17"/>
  <c r="G20" i="17"/>
  <c r="AG118" i="17"/>
  <c r="AG27" i="17"/>
  <c r="B25" i="17"/>
  <c r="AG25" i="17" s="1"/>
  <c r="F27" i="17"/>
  <c r="AG121" i="17"/>
  <c r="AG30" i="17"/>
  <c r="F30" i="17"/>
  <c r="F42" i="17"/>
  <c r="D42" i="17"/>
  <c r="G42" i="17"/>
  <c r="AG63" i="17"/>
  <c r="G13" i="8"/>
  <c r="G15" i="8"/>
  <c r="G47" i="8"/>
  <c r="J103" i="11"/>
  <c r="L103" i="11"/>
  <c r="N103" i="11"/>
  <c r="P103" i="11"/>
  <c r="R103" i="11"/>
  <c r="T103" i="11"/>
  <c r="V103" i="11"/>
  <c r="X103" i="11"/>
  <c r="Z103" i="11"/>
  <c r="AB103" i="11"/>
  <c r="AD103" i="11"/>
  <c r="K104" i="11"/>
  <c r="K101" i="11" s="1"/>
  <c r="M104" i="11"/>
  <c r="M101" i="11" s="1"/>
  <c r="S104" i="11"/>
  <c r="U104" i="11"/>
  <c r="U101" i="11" s="1"/>
  <c r="W104" i="11"/>
  <c r="W101" i="11" s="1"/>
  <c r="Y104" i="11"/>
  <c r="Y101" i="11" s="1"/>
  <c r="AA104" i="11"/>
  <c r="AA101" i="11" s="1"/>
  <c r="AC104" i="11"/>
  <c r="AC101" i="11" s="1"/>
  <c r="AE104" i="11"/>
  <c r="J12" i="14"/>
  <c r="N12" i="14"/>
  <c r="R12" i="14"/>
  <c r="V12" i="14"/>
  <c r="Z12" i="14"/>
  <c r="AD12" i="14"/>
  <c r="E13" i="14"/>
  <c r="B14" i="14"/>
  <c r="E15" i="14"/>
  <c r="F16" i="14"/>
  <c r="G19" i="14"/>
  <c r="AG20" i="14"/>
  <c r="C18" i="14"/>
  <c r="G25" i="14"/>
  <c r="G27" i="14"/>
  <c r="I31" i="14"/>
  <c r="M31" i="14"/>
  <c r="Q31" i="14"/>
  <c r="U31" i="14"/>
  <c r="Y31" i="14"/>
  <c r="AC31" i="14"/>
  <c r="C32" i="14"/>
  <c r="H31" i="14"/>
  <c r="J376" i="14"/>
  <c r="J31" i="14"/>
  <c r="L31" i="14"/>
  <c r="N31" i="14"/>
  <c r="P31" i="14"/>
  <c r="R376" i="14"/>
  <c r="R31" i="14"/>
  <c r="T31" i="14"/>
  <c r="V376" i="14"/>
  <c r="V31" i="14"/>
  <c r="X31" i="14"/>
  <c r="Z376" i="14"/>
  <c r="Z31" i="14"/>
  <c r="AB31" i="14"/>
  <c r="AD376" i="14"/>
  <c r="AD31" i="14"/>
  <c r="K377" i="14"/>
  <c r="O377" i="14"/>
  <c r="S377" i="14"/>
  <c r="W377" i="14"/>
  <c r="AA377" i="14"/>
  <c r="AE377" i="14"/>
  <c r="E35" i="14"/>
  <c r="F39" i="14"/>
  <c r="D39" i="14"/>
  <c r="D37" i="14" s="1"/>
  <c r="B37" i="14"/>
  <c r="AG37" i="14" s="1"/>
  <c r="G43" i="14"/>
  <c r="AG46" i="14"/>
  <c r="F52" i="14"/>
  <c r="H61" i="14"/>
  <c r="J61" i="14"/>
  <c r="L61" i="14"/>
  <c r="N61" i="14"/>
  <c r="P61" i="14"/>
  <c r="R61" i="14"/>
  <c r="T61" i="14"/>
  <c r="V61" i="14"/>
  <c r="X61" i="14"/>
  <c r="Z61" i="14"/>
  <c r="AB61" i="14"/>
  <c r="AD61" i="14"/>
  <c r="AG62" i="14"/>
  <c r="B378" i="14"/>
  <c r="D61" i="14"/>
  <c r="G65" i="14"/>
  <c r="AG70" i="14"/>
  <c r="F76" i="14"/>
  <c r="K89" i="14"/>
  <c r="K85" i="14" s="1"/>
  <c r="O89" i="14"/>
  <c r="O379" i="14" s="1"/>
  <c r="S89" i="14"/>
  <c r="S85" i="14" s="1"/>
  <c r="W89" i="14"/>
  <c r="W379" i="14" s="1"/>
  <c r="AA89" i="14"/>
  <c r="AA85" i="14" s="1"/>
  <c r="AE89" i="14"/>
  <c r="AE379" i="14" s="1"/>
  <c r="C93" i="14"/>
  <c r="H91" i="14"/>
  <c r="J91" i="14"/>
  <c r="L91" i="14"/>
  <c r="N91" i="14"/>
  <c r="P91" i="14"/>
  <c r="R91" i="14"/>
  <c r="T91" i="14"/>
  <c r="V91" i="14"/>
  <c r="X91" i="14"/>
  <c r="Z91" i="14"/>
  <c r="AB91" i="14"/>
  <c r="AD91" i="14"/>
  <c r="AG100" i="14"/>
  <c r="F106" i="14"/>
  <c r="F111" i="14"/>
  <c r="D111" i="14"/>
  <c r="F112" i="14"/>
  <c r="F117" i="14"/>
  <c r="D115" i="14"/>
  <c r="F118" i="14"/>
  <c r="F131" i="14"/>
  <c r="D131" i="14"/>
  <c r="D129" i="14" s="1"/>
  <c r="F132" i="14"/>
  <c r="F137" i="14"/>
  <c r="F138" i="14"/>
  <c r="H141" i="14"/>
  <c r="J141" i="14"/>
  <c r="L141" i="14"/>
  <c r="N141" i="14"/>
  <c r="P141" i="14"/>
  <c r="R141" i="14"/>
  <c r="T141" i="14"/>
  <c r="V141" i="14"/>
  <c r="X141" i="14"/>
  <c r="Z141" i="14"/>
  <c r="AB141" i="14"/>
  <c r="AD141" i="14"/>
  <c r="AG142" i="14"/>
  <c r="C143" i="14"/>
  <c r="B144" i="14"/>
  <c r="G145" i="14"/>
  <c r="AG157" i="14"/>
  <c r="F163" i="14"/>
  <c r="B165" i="14"/>
  <c r="B162" i="14" s="1"/>
  <c r="G166" i="14"/>
  <c r="G168" i="14"/>
  <c r="AG171" i="14"/>
  <c r="E177" i="14"/>
  <c r="B178" i="14"/>
  <c r="E179" i="14"/>
  <c r="G183" i="14"/>
  <c r="C182" i="14"/>
  <c r="G189" i="14"/>
  <c r="F195" i="14"/>
  <c r="D189" i="14"/>
  <c r="F197" i="14"/>
  <c r="E194" i="14"/>
  <c r="B202" i="14"/>
  <c r="H201" i="14"/>
  <c r="J201" i="14"/>
  <c r="L201" i="14"/>
  <c r="N201" i="14"/>
  <c r="P201" i="14"/>
  <c r="R201" i="14"/>
  <c r="T201" i="14"/>
  <c r="V201" i="14"/>
  <c r="X201" i="14"/>
  <c r="Z201" i="14"/>
  <c r="AB201" i="14"/>
  <c r="AD201" i="14"/>
  <c r="B204" i="14"/>
  <c r="F209" i="14"/>
  <c r="D209" i="14"/>
  <c r="B207" i="14"/>
  <c r="AG207" i="14" s="1"/>
  <c r="F210" i="14"/>
  <c r="G215" i="14"/>
  <c r="AG216" i="14"/>
  <c r="B220" i="14"/>
  <c r="H219" i="14"/>
  <c r="J219" i="14"/>
  <c r="L219" i="14"/>
  <c r="N219" i="14"/>
  <c r="P219" i="14"/>
  <c r="R219" i="14"/>
  <c r="T219" i="14"/>
  <c r="V219" i="14"/>
  <c r="X219" i="14"/>
  <c r="Z219" i="14"/>
  <c r="AB219" i="14"/>
  <c r="AD219" i="14"/>
  <c r="F227" i="14"/>
  <c r="D227" i="14"/>
  <c r="B225" i="14"/>
  <c r="AG225" i="14" s="1"/>
  <c r="F228" i="14"/>
  <c r="G233" i="14"/>
  <c r="AG234" i="14"/>
  <c r="F239" i="14"/>
  <c r="D239" i="14"/>
  <c r="D237" i="14" s="1"/>
  <c r="B237" i="14"/>
  <c r="AG237" i="14" s="1"/>
  <c r="F240" i="14"/>
  <c r="G245" i="14"/>
  <c r="AG246" i="14"/>
  <c r="B250" i="14"/>
  <c r="H249" i="14"/>
  <c r="J249" i="14"/>
  <c r="L249" i="14"/>
  <c r="N249" i="14"/>
  <c r="P249" i="14"/>
  <c r="R249" i="14"/>
  <c r="T249" i="14"/>
  <c r="V249" i="14"/>
  <c r="X249" i="14"/>
  <c r="Z249" i="14"/>
  <c r="AB249" i="14"/>
  <c r="AD249" i="14"/>
  <c r="F257" i="14"/>
  <c r="D257" i="14"/>
  <c r="B255" i="14"/>
  <c r="F258" i="14"/>
  <c r="AG264" i="14"/>
  <c r="B261" i="14"/>
  <c r="AG261" i="14" s="1"/>
  <c r="F264" i="14"/>
  <c r="F273" i="14"/>
  <c r="F283" i="14"/>
  <c r="D283" i="14"/>
  <c r="G283" i="14"/>
  <c r="F285" i="14"/>
  <c r="D285" i="14"/>
  <c r="G285" i="14"/>
  <c r="H324" i="14"/>
  <c r="P324" i="14"/>
  <c r="X324" i="14"/>
  <c r="F332" i="14"/>
  <c r="B336" i="14"/>
  <c r="AG336" i="14" s="1"/>
  <c r="F337" i="14"/>
  <c r="D337" i="14"/>
  <c r="G337" i="14"/>
  <c r="F339" i="14"/>
  <c r="D339" i="14"/>
  <c r="E336" i="14"/>
  <c r="G339" i="14"/>
  <c r="F344" i="14"/>
  <c r="E349" i="14"/>
  <c r="B354" i="14"/>
  <c r="AG354" i="14" s="1"/>
  <c r="F355" i="14"/>
  <c r="D355" i="14"/>
  <c r="G355" i="14"/>
  <c r="F357" i="14"/>
  <c r="D357" i="14"/>
  <c r="E354" i="14"/>
  <c r="G357" i="14"/>
  <c r="F362" i="14"/>
  <c r="J366" i="14"/>
  <c r="J386" i="14" s="1"/>
  <c r="R366" i="14"/>
  <c r="R386" i="14" s="1"/>
  <c r="Z366" i="14"/>
  <c r="Z386" i="14" s="1"/>
  <c r="K367" i="14"/>
  <c r="K387" i="14" s="1"/>
  <c r="S367" i="14"/>
  <c r="S387" i="14" s="1"/>
  <c r="AA367" i="14"/>
  <c r="AA387" i="14" s="1"/>
  <c r="L368" i="14"/>
  <c r="L388" i="14" s="1"/>
  <c r="AB368" i="14"/>
  <c r="AB388" i="14" s="1"/>
  <c r="M369" i="14"/>
  <c r="M389" i="14" s="1"/>
  <c r="U369" i="14"/>
  <c r="U389" i="14" s="1"/>
  <c r="AC369" i="14"/>
  <c r="AC389" i="14" s="1"/>
  <c r="O371" i="14"/>
  <c r="W371" i="14"/>
  <c r="AE371" i="14"/>
  <c r="H372" i="14"/>
  <c r="P372" i="14"/>
  <c r="X372" i="14"/>
  <c r="I373" i="14"/>
  <c r="Q373" i="14"/>
  <c r="Y373" i="14"/>
  <c r="J374" i="14"/>
  <c r="R374" i="14"/>
  <c r="Z374" i="14"/>
  <c r="L376" i="14"/>
  <c r="T376" i="14"/>
  <c r="AB376" i="14"/>
  <c r="B112" i="17"/>
  <c r="B12" i="17"/>
  <c r="AG12" i="17" s="1"/>
  <c r="AG13" i="17"/>
  <c r="F13" i="17"/>
  <c r="B114" i="17"/>
  <c r="AG114" i="17" s="1"/>
  <c r="AG15" i="17"/>
  <c r="D114" i="17"/>
  <c r="F15" i="17"/>
  <c r="E18" i="17"/>
  <c r="F22" i="17"/>
  <c r="D22" i="17"/>
  <c r="G22" i="17"/>
  <c r="G33" i="17"/>
  <c r="F40" i="17"/>
  <c r="D40" i="17"/>
  <c r="E39" i="17"/>
  <c r="G40" i="17"/>
  <c r="E374" i="14"/>
  <c r="G16" i="14"/>
  <c r="AG19" i="14"/>
  <c r="G20" i="14"/>
  <c r="AG21" i="14"/>
  <c r="G28" i="14"/>
  <c r="K376" i="14"/>
  <c r="M376" i="14"/>
  <c r="O376" i="14"/>
  <c r="Q376" i="14"/>
  <c r="S376" i="14"/>
  <c r="U376" i="14"/>
  <c r="W376" i="14"/>
  <c r="Y376" i="14"/>
  <c r="AA376" i="14"/>
  <c r="AC376" i="14"/>
  <c r="AE376" i="14"/>
  <c r="J377" i="14"/>
  <c r="L377" i="14"/>
  <c r="P377" i="14"/>
  <c r="R377" i="14"/>
  <c r="T377" i="14"/>
  <c r="V377" i="14"/>
  <c r="X377" i="14"/>
  <c r="Z377" i="14"/>
  <c r="AB377" i="14"/>
  <c r="K378" i="14"/>
  <c r="M378" i="14"/>
  <c r="O378" i="14"/>
  <c r="Q378" i="14"/>
  <c r="S378" i="14"/>
  <c r="W378" i="14"/>
  <c r="Y378" i="14"/>
  <c r="AA378" i="14"/>
  <c r="AC378" i="14"/>
  <c r="AE378" i="14"/>
  <c r="H379" i="14"/>
  <c r="L379" i="14"/>
  <c r="P379" i="14"/>
  <c r="T379" i="14"/>
  <c r="X379" i="14"/>
  <c r="AB379" i="14"/>
  <c r="F276" i="14"/>
  <c r="D276" i="14"/>
  <c r="E275" i="14"/>
  <c r="F278" i="14"/>
  <c r="I288" i="14"/>
  <c r="K288" i="14"/>
  <c r="M288" i="14"/>
  <c r="O288" i="14"/>
  <c r="Q288" i="14"/>
  <c r="S288" i="14"/>
  <c r="U288" i="14"/>
  <c r="W288" i="14"/>
  <c r="Y288" i="14"/>
  <c r="AA288" i="14"/>
  <c r="AC288" i="14"/>
  <c r="AE288" i="14"/>
  <c r="F295" i="14"/>
  <c r="D295" i="14"/>
  <c r="F297" i="14"/>
  <c r="E294" i="14"/>
  <c r="F301" i="14"/>
  <c r="D301" i="14"/>
  <c r="F303" i="14"/>
  <c r="D303" i="14"/>
  <c r="E300" i="14"/>
  <c r="F307" i="14"/>
  <c r="D307" i="14"/>
  <c r="F309" i="14"/>
  <c r="D309" i="14"/>
  <c r="E306" i="14"/>
  <c r="F319" i="14"/>
  <c r="D319" i="14"/>
  <c r="F321" i="14"/>
  <c r="D321" i="14"/>
  <c r="E318" i="14"/>
  <c r="I324" i="14"/>
  <c r="K324" i="14"/>
  <c r="M324" i="14"/>
  <c r="O324" i="14"/>
  <c r="Q324" i="14"/>
  <c r="S324" i="14"/>
  <c r="U324" i="14"/>
  <c r="W324" i="14"/>
  <c r="Y324" i="14"/>
  <c r="AA324" i="14"/>
  <c r="AC324" i="14"/>
  <c r="AE324" i="14"/>
  <c r="C330" i="14"/>
  <c r="C336" i="14"/>
  <c r="C354" i="14"/>
  <c r="C360" i="14"/>
  <c r="L366" i="14"/>
  <c r="L386" i="14" s="1"/>
  <c r="P366" i="14"/>
  <c r="P386" i="14" s="1"/>
  <c r="T366" i="14"/>
  <c r="T386" i="14" s="1"/>
  <c r="AB366" i="14"/>
  <c r="AB386" i="14" s="1"/>
  <c r="M367" i="14"/>
  <c r="M387" i="14" s="1"/>
  <c r="Q367" i="14"/>
  <c r="Q387" i="14" s="1"/>
  <c r="U367" i="14"/>
  <c r="U387" i="14" s="1"/>
  <c r="Y367" i="14"/>
  <c r="Y387" i="14" s="1"/>
  <c r="AC367" i="14"/>
  <c r="AC387" i="14" s="1"/>
  <c r="J368" i="14"/>
  <c r="J388" i="14" s="1"/>
  <c r="N368" i="14"/>
  <c r="N388" i="14" s="1"/>
  <c r="R368" i="14"/>
  <c r="R388" i="14" s="1"/>
  <c r="V368" i="14"/>
  <c r="V388" i="14" s="1"/>
  <c r="Z368" i="14"/>
  <c r="Z388" i="14" s="1"/>
  <c r="C23" i="15"/>
  <c r="AH23" i="15" s="1"/>
  <c r="C28" i="15"/>
  <c r="AH28" i="15" s="1"/>
  <c r="C29" i="15"/>
  <c r="C24" i="15"/>
  <c r="AH24" i="15" s="1"/>
  <c r="C25" i="15"/>
  <c r="E25" i="15"/>
  <c r="E10" i="15"/>
  <c r="D23" i="15"/>
  <c r="D17" i="15"/>
  <c r="D16" i="15" s="1"/>
  <c r="AG20" i="15"/>
  <c r="B23" i="15"/>
  <c r="AG25" i="15"/>
  <c r="C26" i="15"/>
  <c r="AH26" i="15" s="1"/>
  <c r="E113" i="17"/>
  <c r="F14" i="17"/>
  <c r="D14" i="17"/>
  <c r="G14" i="17"/>
  <c r="E115" i="17"/>
  <c r="F16" i="17"/>
  <c r="D16" i="17"/>
  <c r="G16" i="17"/>
  <c r="B18" i="17"/>
  <c r="AG18" i="17" s="1"/>
  <c r="AG19" i="17"/>
  <c r="F19" i="17"/>
  <c r="F21" i="17"/>
  <c r="F26" i="17"/>
  <c r="D26" i="17"/>
  <c r="E25" i="17"/>
  <c r="G26" i="17"/>
  <c r="F28" i="17"/>
  <c r="D28" i="17"/>
  <c r="G28" i="17"/>
  <c r="F41" i="17"/>
  <c r="F44" i="17"/>
  <c r="C46" i="17"/>
  <c r="G47" i="17"/>
  <c r="F62" i="17"/>
  <c r="D62" i="17"/>
  <c r="E61" i="17"/>
  <c r="G62" i="17"/>
  <c r="D75" i="17"/>
  <c r="E74" i="17"/>
  <c r="F77" i="17"/>
  <c r="D77" i="17"/>
  <c r="AG78" i="17"/>
  <c r="AG90" i="17"/>
  <c r="AG96" i="17"/>
  <c r="AG102" i="17"/>
  <c r="J123" i="17"/>
  <c r="J105" i="17"/>
  <c r="L105" i="17"/>
  <c r="L122" i="17" s="1"/>
  <c r="L123" i="17"/>
  <c r="N123" i="17"/>
  <c r="N105" i="17"/>
  <c r="R123" i="17"/>
  <c r="R105" i="17"/>
  <c r="T105" i="17"/>
  <c r="T122" i="17" s="1"/>
  <c r="T123" i="17"/>
  <c r="V123" i="17"/>
  <c r="V105" i="17"/>
  <c r="Z123" i="17"/>
  <c r="Z105" i="17"/>
  <c r="AB105" i="17"/>
  <c r="AB123" i="17"/>
  <c r="AD123" i="17"/>
  <c r="AD105" i="17"/>
  <c r="AG117" i="17"/>
  <c r="H123" i="17"/>
  <c r="X123" i="17"/>
  <c r="B28" i="15"/>
  <c r="D28" i="15"/>
  <c r="B26" i="15"/>
  <c r="AG26" i="15" s="1"/>
  <c r="AG15" i="15"/>
  <c r="D31" i="15"/>
  <c r="C113" i="17"/>
  <c r="C25" i="17"/>
  <c r="G25" i="17" s="1"/>
  <c r="F33" i="17"/>
  <c r="D33" i="17"/>
  <c r="E32" i="17"/>
  <c r="F35" i="17"/>
  <c r="D35" i="17"/>
  <c r="F47" i="17"/>
  <c r="D47" i="17"/>
  <c r="E46" i="17"/>
  <c r="F49" i="17"/>
  <c r="D49" i="17"/>
  <c r="C61" i="17"/>
  <c r="F64" i="17"/>
  <c r="D64" i="17"/>
  <c r="D69" i="17"/>
  <c r="E68" i="17"/>
  <c r="F71" i="17"/>
  <c r="D71" i="17"/>
  <c r="G77" i="17"/>
  <c r="D81" i="17"/>
  <c r="E80" i="17"/>
  <c r="F83" i="17"/>
  <c r="D83" i="17"/>
  <c r="D89" i="17"/>
  <c r="E88" i="17"/>
  <c r="F91" i="17"/>
  <c r="D91" i="17"/>
  <c r="D95" i="17"/>
  <c r="E94" i="17"/>
  <c r="F97" i="17"/>
  <c r="D97" i="17"/>
  <c r="D101" i="17"/>
  <c r="E100" i="17"/>
  <c r="M126" i="17"/>
  <c r="M105" i="17"/>
  <c r="U126" i="17"/>
  <c r="U105" i="17"/>
  <c r="AC126" i="17"/>
  <c r="AC105" i="17"/>
  <c r="P123" i="17"/>
  <c r="I126" i="17"/>
  <c r="Y126" i="17"/>
  <c r="AG14" i="15"/>
  <c r="G13" i="17"/>
  <c r="AG14" i="17"/>
  <c r="G15" i="17"/>
  <c r="AG16" i="17"/>
  <c r="G27" i="17"/>
  <c r="AG28" i="17"/>
  <c r="G30" i="17"/>
  <c r="F103" i="17"/>
  <c r="D103" i="17"/>
  <c r="I111" i="17"/>
  <c r="K111" i="17"/>
  <c r="K122" i="17" s="1"/>
  <c r="M111" i="17"/>
  <c r="O111" i="17"/>
  <c r="O122" i="17" s="1"/>
  <c r="Q111" i="17"/>
  <c r="S111" i="17"/>
  <c r="S122" i="17" s="1"/>
  <c r="U111" i="17"/>
  <c r="W111" i="17"/>
  <c r="W122" i="17" s="1"/>
  <c r="Y111" i="17"/>
  <c r="AA111" i="17"/>
  <c r="AA122" i="17" s="1"/>
  <c r="AC111" i="17"/>
  <c r="AE111" i="17"/>
  <c r="AE122" i="17" s="1"/>
  <c r="E114" i="17"/>
  <c r="B115" i="17"/>
  <c r="AG115" i="17" s="1"/>
  <c r="I123" i="17"/>
  <c r="K123" i="17"/>
  <c r="M123" i="17"/>
  <c r="O123" i="17"/>
  <c r="Q123" i="17"/>
  <c r="S123" i="17"/>
  <c r="U123" i="17"/>
  <c r="W123" i="17"/>
  <c r="Y123" i="17"/>
  <c r="AA123" i="17"/>
  <c r="AC123" i="17"/>
  <c r="AE123" i="17"/>
  <c r="H124" i="17"/>
  <c r="J124" i="17"/>
  <c r="L124" i="17"/>
  <c r="N124" i="17"/>
  <c r="P124" i="17"/>
  <c r="R124" i="17"/>
  <c r="T124" i="17"/>
  <c r="V124" i="17"/>
  <c r="X124" i="17"/>
  <c r="Z124" i="17"/>
  <c r="AB124" i="17"/>
  <c r="AD124" i="17"/>
  <c r="I125" i="17"/>
  <c r="K125" i="17"/>
  <c r="M125" i="17"/>
  <c r="O125" i="17"/>
  <c r="Q125" i="17"/>
  <c r="S125" i="17"/>
  <c r="U125" i="17"/>
  <c r="W125" i="17"/>
  <c r="Y125" i="17"/>
  <c r="AA125" i="17"/>
  <c r="AC125" i="17"/>
  <c r="AE125" i="17"/>
  <c r="H126" i="17"/>
  <c r="J126" i="17"/>
  <c r="L126" i="17"/>
  <c r="N126" i="17"/>
  <c r="P126" i="17"/>
  <c r="R126" i="17"/>
  <c r="T126" i="17"/>
  <c r="V126" i="17"/>
  <c r="X126" i="17"/>
  <c r="Z126" i="17"/>
  <c r="AB126" i="17"/>
  <c r="AD126" i="17"/>
  <c r="T304" i="8" l="1"/>
  <c r="T292" i="8"/>
  <c r="P292" i="8"/>
  <c r="P304" i="8"/>
  <c r="P301" i="8" s="1"/>
  <c r="B293" i="8"/>
  <c r="C293" i="8"/>
  <c r="E293" i="8"/>
  <c r="F200" i="8"/>
  <c r="B305" i="8"/>
  <c r="D306" i="8"/>
  <c r="D190" i="8"/>
  <c r="F18" i="8"/>
  <c r="G18" i="8"/>
  <c r="F199" i="8"/>
  <c r="B272" i="8"/>
  <c r="F214" i="8"/>
  <c r="G214" i="8"/>
  <c r="F84" i="8"/>
  <c r="F220" i="8"/>
  <c r="D162" i="8"/>
  <c r="F190" i="8"/>
  <c r="W289" i="8"/>
  <c r="O289" i="8"/>
  <c r="C42" i="8"/>
  <c r="G42" i="8" s="1"/>
  <c r="C58" i="8"/>
  <c r="G58" i="8" s="1"/>
  <c r="G202" i="8"/>
  <c r="F202" i="8"/>
  <c r="H138" i="8"/>
  <c r="F226" i="8"/>
  <c r="F61" i="8"/>
  <c r="B58" i="8"/>
  <c r="G81" i="8"/>
  <c r="F81" i="8"/>
  <c r="B252" i="8"/>
  <c r="E234" i="8"/>
  <c r="F237" i="8"/>
  <c r="H196" i="8"/>
  <c r="M289" i="8"/>
  <c r="F116" i="8"/>
  <c r="G116" i="8"/>
  <c r="B42" i="8"/>
  <c r="B304" i="8" s="1"/>
  <c r="F223" i="8"/>
  <c r="F117" i="8"/>
  <c r="V289" i="8"/>
  <c r="P39" i="8"/>
  <c r="J301" i="8"/>
  <c r="C290" i="8"/>
  <c r="E290" i="8"/>
  <c r="G264" i="8"/>
  <c r="F208" i="8"/>
  <c r="E138" i="8"/>
  <c r="E78" i="8"/>
  <c r="G102" i="8"/>
  <c r="R301" i="8"/>
  <c r="B368" i="14"/>
  <c r="B379" i="14"/>
  <c r="C35" i="14"/>
  <c r="C379" i="14" s="1"/>
  <c r="G374" i="14"/>
  <c r="AG15" i="14"/>
  <c r="C370" i="14"/>
  <c r="C376" i="14"/>
  <c r="C85" i="14"/>
  <c r="AB57" i="11"/>
  <c r="F121" i="17"/>
  <c r="F159" i="8"/>
  <c r="G159" i="8"/>
  <c r="D84" i="11"/>
  <c r="C84" i="11"/>
  <c r="D144" i="14"/>
  <c r="D141" i="14" s="1"/>
  <c r="D97" i="14"/>
  <c r="E188" i="14"/>
  <c r="Z379" i="14"/>
  <c r="G327" i="14"/>
  <c r="AG32" i="14"/>
  <c r="V101" i="11"/>
  <c r="C57" i="11"/>
  <c r="C78" i="11"/>
  <c r="V106" i="11"/>
  <c r="G154" i="14"/>
  <c r="O101" i="11"/>
  <c r="B58" i="11"/>
  <c r="B57" i="11" s="1"/>
  <c r="C272" i="8"/>
  <c r="S101" i="11"/>
  <c r="C384" i="14"/>
  <c r="C389" i="14"/>
  <c r="F108" i="17"/>
  <c r="N57" i="11"/>
  <c r="F117" i="17"/>
  <c r="D61" i="11"/>
  <c r="D109" i="11" s="1"/>
  <c r="I106" i="11"/>
  <c r="D117" i="17"/>
  <c r="N376" i="14"/>
  <c r="G165" i="14"/>
  <c r="C324" i="14"/>
  <c r="U368" i="14"/>
  <c r="U388" i="14" s="1"/>
  <c r="D118" i="17"/>
  <c r="C105" i="17"/>
  <c r="G119" i="17"/>
  <c r="D119" i="17"/>
  <c r="F118" i="17"/>
  <c r="G118" i="17"/>
  <c r="E116" i="17"/>
  <c r="E105" i="17"/>
  <c r="C288" i="14"/>
  <c r="N377" i="14"/>
  <c r="N382" i="14" s="1"/>
  <c r="G97" i="14"/>
  <c r="G90" i="11"/>
  <c r="AG35" i="14"/>
  <c r="C388" i="14"/>
  <c r="C366" i="14"/>
  <c r="G129" i="14"/>
  <c r="H389" i="14"/>
  <c r="E367" i="14"/>
  <c r="E387" i="14" s="1"/>
  <c r="C49" i="11"/>
  <c r="C43" i="11"/>
  <c r="F112" i="17"/>
  <c r="AE370" i="14"/>
  <c r="H368" i="14"/>
  <c r="H388" i="14" s="1"/>
  <c r="R122" i="17"/>
  <c r="AG33" i="9"/>
  <c r="U378" i="14"/>
  <c r="U375" i="14" s="1"/>
  <c r="G81" i="9"/>
  <c r="G92" i="9" s="1"/>
  <c r="U141" i="8"/>
  <c r="G108" i="8"/>
  <c r="D327" i="14"/>
  <c r="G231" i="14"/>
  <c r="K369" i="14"/>
  <c r="K389" i="14" s="1"/>
  <c r="D45" i="8"/>
  <c r="AB122" i="17"/>
  <c r="H377" i="14"/>
  <c r="G243" i="14"/>
  <c r="G61" i="11"/>
  <c r="H378" i="14"/>
  <c r="C12" i="14"/>
  <c r="B80" i="9"/>
  <c r="B91" i="9" s="1"/>
  <c r="B315" i="14"/>
  <c r="AG315" i="14" s="1"/>
  <c r="G115" i="14"/>
  <c r="F297" i="8"/>
  <c r="G289" i="14"/>
  <c r="AG67" i="9"/>
  <c r="AG62" i="9"/>
  <c r="G208" i="8"/>
  <c r="G258" i="8"/>
  <c r="G12" i="17"/>
  <c r="G108" i="17"/>
  <c r="G14" i="14"/>
  <c r="G275" i="8"/>
  <c r="G351" i="14"/>
  <c r="I122" i="17"/>
  <c r="C125" i="17"/>
  <c r="AD122" i="17"/>
  <c r="N122" i="17"/>
  <c r="E348" i="14"/>
  <c r="D165" i="14"/>
  <c r="D162" i="14" s="1"/>
  <c r="D83" i="9"/>
  <c r="D94" i="9" s="1"/>
  <c r="C83" i="9"/>
  <c r="C94" i="9" s="1"/>
  <c r="G237" i="8"/>
  <c r="H87" i="9"/>
  <c r="H84" i="9" s="1"/>
  <c r="I377" i="14"/>
  <c r="I375" i="14" s="1"/>
  <c r="G24" i="11"/>
  <c r="G15" i="11" s="1"/>
  <c r="G12" i="11" s="1"/>
  <c r="G207" i="14"/>
  <c r="F106" i="17"/>
  <c r="D360" i="14"/>
  <c r="Y122" i="17"/>
  <c r="Z122" i="17"/>
  <c r="AG34" i="9"/>
  <c r="D85" i="9"/>
  <c r="AG68" i="9"/>
  <c r="G220" i="8"/>
  <c r="G84" i="8"/>
  <c r="H367" i="14"/>
  <c r="H387" i="14" s="1"/>
  <c r="D39" i="17"/>
  <c r="E315" i="14"/>
  <c r="D315" i="14" s="1"/>
  <c r="AD383" i="14"/>
  <c r="AD388" i="14"/>
  <c r="AG313" i="14"/>
  <c r="H376" i="14"/>
  <c r="H366" i="14"/>
  <c r="H386" i="14" s="1"/>
  <c r="H312" i="14"/>
  <c r="F189" i="14"/>
  <c r="Z84" i="9"/>
  <c r="R84" i="9"/>
  <c r="J84" i="9"/>
  <c r="G281" i="14"/>
  <c r="Q84" i="9"/>
  <c r="B141" i="8"/>
  <c r="B138" i="8" s="1"/>
  <c r="D351" i="14"/>
  <c r="L301" i="8"/>
  <c r="G96" i="8"/>
  <c r="F258" i="8"/>
  <c r="F252" i="8"/>
  <c r="G326" i="14"/>
  <c r="G292" i="14"/>
  <c r="G254" i="8"/>
  <c r="B314" i="14"/>
  <c r="AG314" i="14" s="1"/>
  <c r="AB367" i="14"/>
  <c r="AB387" i="14" s="1"/>
  <c r="B91" i="14"/>
  <c r="AG91" i="14" s="1"/>
  <c r="F254" i="8"/>
  <c r="I368" i="14"/>
  <c r="I388" i="14" s="1"/>
  <c r="G110" i="17"/>
  <c r="F110" i="17"/>
  <c r="AA84" i="9"/>
  <c r="S84" i="9"/>
  <c r="D94" i="14"/>
  <c r="F281" i="14"/>
  <c r="AG56" i="9"/>
  <c r="AG55" i="9"/>
  <c r="J101" i="11"/>
  <c r="X84" i="9"/>
  <c r="N84" i="9"/>
  <c r="F275" i="8"/>
  <c r="C126" i="17"/>
  <c r="G12" i="8"/>
  <c r="AG44" i="9"/>
  <c r="AG43" i="9"/>
  <c r="AC84" i="9"/>
  <c r="M84" i="9"/>
  <c r="F97" i="14"/>
  <c r="G92" i="14"/>
  <c r="F327" i="14"/>
  <c r="D342" i="14"/>
  <c r="I367" i="14"/>
  <c r="I387" i="14" s="1"/>
  <c r="R379" i="14"/>
  <c r="R375" i="14" s="1"/>
  <c r="D349" i="14"/>
  <c r="D18" i="14"/>
  <c r="G237" i="14"/>
  <c r="Z375" i="14"/>
  <c r="E324" i="14"/>
  <c r="G225" i="14"/>
  <c r="C219" i="14"/>
  <c r="G222" i="14"/>
  <c r="L370" i="14"/>
  <c r="G213" i="14"/>
  <c r="C348" i="14"/>
  <c r="E91" i="14"/>
  <c r="G261" i="14"/>
  <c r="F351" i="14"/>
  <c r="G290" i="14"/>
  <c r="F292" i="14"/>
  <c r="F191" i="14"/>
  <c r="E372" i="14"/>
  <c r="G372" i="14" s="1"/>
  <c r="G190" i="14"/>
  <c r="B188" i="14"/>
  <c r="W369" i="14"/>
  <c r="W389" i="14" s="1"/>
  <c r="F270" i="14"/>
  <c r="F190" i="14"/>
  <c r="U85" i="14"/>
  <c r="AB372" i="14"/>
  <c r="AB370" i="14" s="1"/>
  <c r="S370" i="14"/>
  <c r="X370" i="14"/>
  <c r="W370" i="14"/>
  <c r="T370" i="14"/>
  <c r="P370" i="14"/>
  <c r="H370" i="14"/>
  <c r="G32" i="14"/>
  <c r="F94" i="14"/>
  <c r="F33" i="14"/>
  <c r="G162" i="14"/>
  <c r="C201" i="14"/>
  <c r="B371" i="14"/>
  <c r="E269" i="14"/>
  <c r="G269" i="14" s="1"/>
  <c r="G87" i="14"/>
  <c r="G204" i="14"/>
  <c r="AA369" i="14"/>
  <c r="AG162" i="14"/>
  <c r="E219" i="14"/>
  <c r="T382" i="14"/>
  <c r="G144" i="14"/>
  <c r="E201" i="14"/>
  <c r="K84" i="9"/>
  <c r="Y84" i="9"/>
  <c r="U84" i="9"/>
  <c r="S369" i="14"/>
  <c r="I138" i="8"/>
  <c r="AG289" i="14"/>
  <c r="B288" i="14"/>
  <c r="AG288" i="14" s="1"/>
  <c r="AG325" i="14"/>
  <c r="B324" i="14"/>
  <c r="AG324" i="14" s="1"/>
  <c r="AG17" i="15"/>
  <c r="D22" i="15"/>
  <c r="D27" i="15" s="1"/>
  <c r="AE369" i="14"/>
  <c r="AE365" i="14" s="1"/>
  <c r="O369" i="14"/>
  <c r="L382" i="14"/>
  <c r="AG13" i="14"/>
  <c r="AA370" i="14"/>
  <c r="AD312" i="14"/>
  <c r="AD379" i="14"/>
  <c r="AD375" i="14" s="1"/>
  <c r="V312" i="14"/>
  <c r="V379" i="14"/>
  <c r="V375" i="14" s="1"/>
  <c r="N312" i="14"/>
  <c r="N379" i="14"/>
  <c r="B88" i="9"/>
  <c r="AG88" i="9" s="1"/>
  <c r="B83" i="9"/>
  <c r="B94" i="9" s="1"/>
  <c r="X301" i="8"/>
  <c r="E272" i="8"/>
  <c r="S138" i="8"/>
  <c r="F289" i="14"/>
  <c r="D32" i="14"/>
  <c r="F32" i="14"/>
  <c r="V138" i="8"/>
  <c r="D107" i="17"/>
  <c r="I84" i="9"/>
  <c r="G291" i="14"/>
  <c r="F291" i="14"/>
  <c r="C30" i="15"/>
  <c r="AH25" i="15"/>
  <c r="T84" i="9"/>
  <c r="E196" i="8"/>
  <c r="D86" i="14"/>
  <c r="F86" i="14"/>
  <c r="Q122" i="17"/>
  <c r="G29" i="15"/>
  <c r="AH29" i="15"/>
  <c r="O370" i="14"/>
  <c r="G33" i="14"/>
  <c r="F290" i="14"/>
  <c r="AG61" i="9"/>
  <c r="C16" i="15"/>
  <c r="AH16" i="15" s="1"/>
  <c r="AH17" i="15"/>
  <c r="F29" i="15"/>
  <c r="AG29" i="15"/>
  <c r="G61" i="14"/>
  <c r="E82" i="9"/>
  <c r="E93" i="9" s="1"/>
  <c r="E87" i="9"/>
  <c r="E84" i="9" s="1"/>
  <c r="AC141" i="8"/>
  <c r="F252" i="14"/>
  <c r="E249" i="14"/>
  <c r="V84" i="9"/>
  <c r="P84" i="9"/>
  <c r="H301" i="8"/>
  <c r="D112" i="17"/>
  <c r="D106" i="17"/>
  <c r="V122" i="17"/>
  <c r="D110" i="17"/>
  <c r="D300" i="14"/>
  <c r="D135" i="14"/>
  <c r="K370" i="14"/>
  <c r="AB84" i="9"/>
  <c r="L84" i="9"/>
  <c r="AB301" i="8"/>
  <c r="C249" i="14"/>
  <c r="F34" i="14"/>
  <c r="B78" i="11"/>
  <c r="B77" i="11" s="1"/>
  <c r="G255" i="14"/>
  <c r="G106" i="17"/>
  <c r="F107" i="17"/>
  <c r="G107" i="17"/>
  <c r="D108" i="17"/>
  <c r="J122" i="17"/>
  <c r="D18" i="17"/>
  <c r="B116" i="17"/>
  <c r="AG116" i="17" s="1"/>
  <c r="F12" i="17"/>
  <c r="F326" i="14"/>
  <c r="D291" i="14"/>
  <c r="D288" i="14" s="1"/>
  <c r="E288" i="14"/>
  <c r="G135" i="14"/>
  <c r="G94" i="14"/>
  <c r="G70" i="11"/>
  <c r="C91" i="14"/>
  <c r="AG93" i="14"/>
  <c r="F93" i="14"/>
  <c r="G34" i="14"/>
  <c r="G37" i="14"/>
  <c r="G252" i="14"/>
  <c r="B373" i="14"/>
  <c r="AG373" i="14" s="1"/>
  <c r="F272" i="14"/>
  <c r="E377" i="14"/>
  <c r="F87" i="14"/>
  <c r="B85" i="14"/>
  <c r="AG85" i="14" s="1"/>
  <c r="G67" i="14"/>
  <c r="G64" i="14"/>
  <c r="B31" i="14"/>
  <c r="AG31" i="14" s="1"/>
  <c r="D88" i="14"/>
  <c r="E85" i="14"/>
  <c r="G88" i="14"/>
  <c r="F88" i="14"/>
  <c r="AG23" i="15"/>
  <c r="B22" i="15"/>
  <c r="B27" i="15" s="1"/>
  <c r="AG27" i="15" s="1"/>
  <c r="AD141" i="8"/>
  <c r="E22" i="15"/>
  <c r="E27" i="15" s="1"/>
  <c r="F25" i="15"/>
  <c r="G25" i="15"/>
  <c r="G30" i="15" s="1"/>
  <c r="E30" i="15"/>
  <c r="D336" i="14"/>
  <c r="D126" i="8"/>
  <c r="D306" i="14"/>
  <c r="P382" i="14"/>
  <c r="D71" i="8"/>
  <c r="AG31" i="15"/>
  <c r="AG11" i="15"/>
  <c r="G64" i="11"/>
  <c r="R141" i="8"/>
  <c r="F61" i="11"/>
  <c r="J141" i="8"/>
  <c r="B292" i="8" s="1"/>
  <c r="G84" i="11"/>
  <c r="AE84" i="9"/>
  <c r="W84" i="9"/>
  <c r="O84" i="9"/>
  <c r="G148" i="18"/>
  <c r="D294" i="14"/>
  <c r="D318" i="14"/>
  <c r="D68" i="17"/>
  <c r="D32" i="17"/>
  <c r="D74" i="17"/>
  <c r="D12" i="17"/>
  <c r="Y383" i="14"/>
  <c r="Q383" i="14"/>
  <c r="D281" i="14"/>
  <c r="AG255" i="14"/>
  <c r="F255" i="14"/>
  <c r="AC383" i="14"/>
  <c r="M383" i="14"/>
  <c r="G86" i="14"/>
  <c r="R106" i="11"/>
  <c r="J106" i="11"/>
  <c r="AC301" i="8"/>
  <c r="U301" i="8"/>
  <c r="D18" i="8"/>
  <c r="D132" i="8"/>
  <c r="AG135" i="14"/>
  <c r="F135" i="14"/>
  <c r="AG129" i="14"/>
  <c r="F129" i="14"/>
  <c r="AG115" i="14"/>
  <c r="F115" i="14"/>
  <c r="AG109" i="14"/>
  <c r="F109" i="14"/>
  <c r="AG103" i="14"/>
  <c r="F103" i="14"/>
  <c r="AG73" i="14"/>
  <c r="F73" i="14"/>
  <c r="AG49" i="14"/>
  <c r="F49" i="14"/>
  <c r="F102" i="8"/>
  <c r="F90" i="8"/>
  <c r="F12" i="8"/>
  <c r="F114" i="17"/>
  <c r="G114" i="17"/>
  <c r="C111" i="17"/>
  <c r="G112" i="17"/>
  <c r="B126" i="17"/>
  <c r="AG126" i="17" s="1"/>
  <c r="AG110" i="17"/>
  <c r="E125" i="17"/>
  <c r="C123" i="17"/>
  <c r="U122" i="17"/>
  <c r="E111" i="17"/>
  <c r="B124" i="17"/>
  <c r="AG124" i="17" s="1"/>
  <c r="AG107" i="17"/>
  <c r="E123" i="17"/>
  <c r="AC122" i="17"/>
  <c r="M122" i="17"/>
  <c r="G100" i="17"/>
  <c r="F100" i="17"/>
  <c r="G94" i="17"/>
  <c r="F94" i="17"/>
  <c r="G88" i="17"/>
  <c r="F88" i="17"/>
  <c r="G46" i="17"/>
  <c r="F46" i="17"/>
  <c r="D100" i="17"/>
  <c r="D94" i="17"/>
  <c r="D88" i="17"/>
  <c r="D80" i="17"/>
  <c r="D46" i="17"/>
  <c r="G32" i="17"/>
  <c r="F32" i="17"/>
  <c r="C124" i="17"/>
  <c r="D61" i="17"/>
  <c r="D25" i="17"/>
  <c r="G115" i="17"/>
  <c r="F115" i="17"/>
  <c r="E124" i="17"/>
  <c r="AG30" i="15"/>
  <c r="AG28" i="15"/>
  <c r="V383" i="14"/>
  <c r="N383" i="14"/>
  <c r="Y382" i="14"/>
  <c r="Q382" i="14"/>
  <c r="AB381" i="14"/>
  <c r="T381" i="14"/>
  <c r="T365" i="14"/>
  <c r="L381" i="14"/>
  <c r="L365" i="14"/>
  <c r="G318" i="14"/>
  <c r="F318" i="14"/>
  <c r="G300" i="14"/>
  <c r="F300" i="14"/>
  <c r="G275" i="14"/>
  <c r="AC375" i="14"/>
  <c r="Y375" i="14"/>
  <c r="Q375" i="14"/>
  <c r="M375" i="14"/>
  <c r="F374" i="14"/>
  <c r="G39" i="17"/>
  <c r="F39" i="17"/>
  <c r="B105" i="17"/>
  <c r="B123" i="17"/>
  <c r="AG123" i="17" s="1"/>
  <c r="AG106" i="17"/>
  <c r="X382" i="14"/>
  <c r="AB375" i="14"/>
  <c r="L375" i="14"/>
  <c r="U384" i="14"/>
  <c r="AB383" i="14"/>
  <c r="L383" i="14"/>
  <c r="S382" i="14"/>
  <c r="R381" i="14"/>
  <c r="G354" i="14"/>
  <c r="F354" i="14"/>
  <c r="B249" i="14"/>
  <c r="AG250" i="14"/>
  <c r="F237" i="14"/>
  <c r="D225" i="14"/>
  <c r="D221" i="14"/>
  <c r="D219" i="14" s="1"/>
  <c r="F225" i="14"/>
  <c r="B219" i="14"/>
  <c r="AG220" i="14"/>
  <c r="D207" i="14"/>
  <c r="D203" i="14"/>
  <c r="D201" i="14" s="1"/>
  <c r="F207" i="14"/>
  <c r="B201" i="14"/>
  <c r="AG202" i="14"/>
  <c r="D191" i="14"/>
  <c r="D188" i="14" s="1"/>
  <c r="D194" i="14"/>
  <c r="G191" i="14"/>
  <c r="F179" i="14"/>
  <c r="G179" i="14"/>
  <c r="F178" i="14"/>
  <c r="B176" i="14"/>
  <c r="AG176" i="14" s="1"/>
  <c r="AG178" i="14"/>
  <c r="F165" i="14"/>
  <c r="AG165" i="14"/>
  <c r="F144" i="14"/>
  <c r="AG144" i="14"/>
  <c r="G93" i="14"/>
  <c r="F64" i="14"/>
  <c r="AG64" i="14"/>
  <c r="F37" i="14"/>
  <c r="J375" i="14"/>
  <c r="C31" i="14"/>
  <c r="D374" i="14"/>
  <c r="D372" i="14"/>
  <c r="E371" i="14"/>
  <c r="F13" i="14"/>
  <c r="E12" i="14"/>
  <c r="G13" i="14"/>
  <c r="G298" i="8"/>
  <c r="G296" i="8"/>
  <c r="F296" i="8"/>
  <c r="E295" i="8"/>
  <c r="P375" i="14"/>
  <c r="Q384" i="14"/>
  <c r="X383" i="14"/>
  <c r="W382" i="14"/>
  <c r="AD381" i="14"/>
  <c r="N381" i="14"/>
  <c r="G360" i="14"/>
  <c r="F360" i="14"/>
  <c r="D354" i="14"/>
  <c r="G342" i="14"/>
  <c r="F342" i="14"/>
  <c r="J312" i="14"/>
  <c r="B316" i="14"/>
  <c r="I312" i="14"/>
  <c r="E313" i="14"/>
  <c r="E366" i="14" s="1"/>
  <c r="E386" i="14" s="1"/>
  <c r="AG277" i="14"/>
  <c r="F277" i="14"/>
  <c r="AG275" i="14"/>
  <c r="B271" i="14"/>
  <c r="B372" i="14" s="1"/>
  <c r="F261" i="14"/>
  <c r="F213" i="14"/>
  <c r="D24" i="14"/>
  <c r="G18" i="14"/>
  <c r="F18" i="14"/>
  <c r="Z369" i="14"/>
  <c r="X384" i="14"/>
  <c r="R369" i="14"/>
  <c r="P384" i="14"/>
  <c r="J369" i="14"/>
  <c r="H384" i="14"/>
  <c r="AE383" i="14"/>
  <c r="AA383" i="14"/>
  <c r="W383" i="14"/>
  <c r="S383" i="14"/>
  <c r="O383" i="14"/>
  <c r="K383" i="14"/>
  <c r="AD382" i="14"/>
  <c r="Z382" i="14"/>
  <c r="V382" i="14"/>
  <c r="R382" i="14"/>
  <c r="J382" i="14"/>
  <c r="AE381" i="14"/>
  <c r="AC370" i="14"/>
  <c r="Y365" i="14"/>
  <c r="Y381" i="14"/>
  <c r="W381" i="14"/>
  <c r="U370" i="14"/>
  <c r="Q365" i="14"/>
  <c r="Q381" i="14"/>
  <c r="O381" i="14"/>
  <c r="M370" i="14"/>
  <c r="I366" i="14"/>
  <c r="I386" i="14" s="1"/>
  <c r="AE85" i="14"/>
  <c r="W85" i="14"/>
  <c r="O85" i="14"/>
  <c r="C188" i="14"/>
  <c r="E89" i="14"/>
  <c r="E379" i="14" s="1"/>
  <c r="AA379" i="14"/>
  <c r="AA375" i="14" s="1"/>
  <c r="S379" i="14"/>
  <c r="K379" i="14"/>
  <c r="AD106" i="11"/>
  <c r="AB106" i="11"/>
  <c r="Z101" i="11"/>
  <c r="X101" i="11"/>
  <c r="T106" i="11"/>
  <c r="R101" i="11"/>
  <c r="P101" i="11"/>
  <c r="N106" i="11"/>
  <c r="L106" i="11"/>
  <c r="F81" i="9"/>
  <c r="F92" i="9" s="1"/>
  <c r="AG74" i="9"/>
  <c r="AG38" i="9"/>
  <c r="AG85" i="9"/>
  <c r="AD84" i="9"/>
  <c r="Z91" i="9"/>
  <c r="Z79" i="9"/>
  <c r="Z89" i="9" s="1"/>
  <c r="X91" i="9"/>
  <c r="X79" i="9"/>
  <c r="X89" i="9" s="1"/>
  <c r="R91" i="9"/>
  <c r="R79" i="9"/>
  <c r="R89" i="9" s="1"/>
  <c r="P91" i="9"/>
  <c r="P79" i="9"/>
  <c r="P89" i="9" s="1"/>
  <c r="J91" i="9"/>
  <c r="J79" i="9"/>
  <c r="J89" i="9" s="1"/>
  <c r="H91" i="9"/>
  <c r="H79" i="9"/>
  <c r="AE301" i="8"/>
  <c r="W301" i="8"/>
  <c r="O301" i="8"/>
  <c r="G297" i="8"/>
  <c r="G223" i="8"/>
  <c r="D199" i="8"/>
  <c r="D196" i="8" s="1"/>
  <c r="D202" i="8"/>
  <c r="C141" i="8"/>
  <c r="G141" i="8" s="1"/>
  <c r="G117" i="8"/>
  <c r="E114" i="8"/>
  <c r="D120" i="8"/>
  <c r="B114" i="8"/>
  <c r="B78" i="8"/>
  <c r="G71" i="8"/>
  <c r="G294" i="8"/>
  <c r="F294" i="8"/>
  <c r="G303" i="8"/>
  <c r="F303" i="8"/>
  <c r="E39" i="8"/>
  <c r="G40" i="8"/>
  <c r="AD93" i="9"/>
  <c r="AG81" i="9"/>
  <c r="AE79" i="9"/>
  <c r="AA79" i="9"/>
  <c r="AA89" i="9" s="1"/>
  <c r="W79" i="9"/>
  <c r="W89" i="9" s="1"/>
  <c r="S79" i="9"/>
  <c r="S89" i="9" s="1"/>
  <c r="O79" i="9"/>
  <c r="O89" i="9" s="1"/>
  <c r="K79" i="9"/>
  <c r="K89" i="9" s="1"/>
  <c r="Y301" i="8"/>
  <c r="I301" i="8"/>
  <c r="G41" i="8"/>
  <c r="F41" i="8"/>
  <c r="G64" i="8"/>
  <c r="F64" i="8"/>
  <c r="G45" i="8"/>
  <c r="F45" i="8"/>
  <c r="B86" i="9"/>
  <c r="AG86" i="9" s="1"/>
  <c r="M301" i="8"/>
  <c r="G278" i="8"/>
  <c r="F278" i="8"/>
  <c r="D237" i="8"/>
  <c r="D234" i="8" s="1"/>
  <c r="D240" i="8"/>
  <c r="G234" i="8"/>
  <c r="G226" i="8"/>
  <c r="B196" i="8"/>
  <c r="D40" i="8"/>
  <c r="AG20" i="9"/>
  <c r="G61" i="17"/>
  <c r="F61" i="17"/>
  <c r="F25" i="17"/>
  <c r="D115" i="17"/>
  <c r="E126" i="17"/>
  <c r="D113" i="17"/>
  <c r="G113" i="17"/>
  <c r="F113" i="17"/>
  <c r="C22" i="15"/>
  <c r="Z383" i="14"/>
  <c r="R383" i="14"/>
  <c r="J383" i="14"/>
  <c r="AC382" i="14"/>
  <c r="U382" i="14"/>
  <c r="M382" i="14"/>
  <c r="X381" i="14"/>
  <c r="X365" i="14"/>
  <c r="P381" i="14"/>
  <c r="P365" i="14"/>
  <c r="G306" i="14"/>
  <c r="F306" i="14"/>
  <c r="G294" i="14"/>
  <c r="F294" i="14"/>
  <c r="D270" i="14"/>
  <c r="D269" i="14" s="1"/>
  <c r="D275" i="14"/>
  <c r="AE375" i="14"/>
  <c r="W375" i="14"/>
  <c r="O375" i="14"/>
  <c r="F18" i="17"/>
  <c r="G18" i="17"/>
  <c r="B125" i="17"/>
  <c r="AG125" i="17" s="1"/>
  <c r="AG108" i="17"/>
  <c r="AG112" i="17"/>
  <c r="B111" i="17"/>
  <c r="AG111" i="17" s="1"/>
  <c r="G28" i="15"/>
  <c r="F28" i="15"/>
  <c r="T375" i="14"/>
  <c r="AG374" i="14"/>
  <c r="AC384" i="14"/>
  <c r="M384" i="14"/>
  <c r="T383" i="14"/>
  <c r="AA382" i="14"/>
  <c r="K382" i="14"/>
  <c r="Z381" i="14"/>
  <c r="J381" i="14"/>
  <c r="G336" i="14"/>
  <c r="F336" i="14"/>
  <c r="D255" i="14"/>
  <c r="D251" i="14"/>
  <c r="D249" i="14" s="1"/>
  <c r="F222" i="14"/>
  <c r="AG222" i="14"/>
  <c r="F204" i="14"/>
  <c r="AG204" i="14"/>
  <c r="G194" i="14"/>
  <c r="F194" i="14"/>
  <c r="F177" i="14"/>
  <c r="E176" i="14"/>
  <c r="G177" i="14"/>
  <c r="G141" i="14"/>
  <c r="G143" i="14"/>
  <c r="D109" i="14"/>
  <c r="D93" i="14"/>
  <c r="F35" i="14"/>
  <c r="D35" i="14"/>
  <c r="G35" i="14"/>
  <c r="E31" i="14"/>
  <c r="F15" i="14"/>
  <c r="E373" i="14"/>
  <c r="G15" i="14"/>
  <c r="F14" i="14"/>
  <c r="B12" i="14"/>
  <c r="AG12" i="14" s="1"/>
  <c r="AG14" i="14"/>
  <c r="C295" i="8"/>
  <c r="X375" i="14"/>
  <c r="Y384" i="14"/>
  <c r="I384" i="14"/>
  <c r="P383" i="14"/>
  <c r="AE382" i="14"/>
  <c r="O382" i="14"/>
  <c r="V381" i="14"/>
  <c r="AG350" i="14"/>
  <c r="B348" i="14"/>
  <c r="AG348" i="14" s="1"/>
  <c r="G330" i="14"/>
  <c r="F330" i="14"/>
  <c r="F325" i="14"/>
  <c r="D325" i="14"/>
  <c r="G325" i="14"/>
  <c r="F243" i="14"/>
  <c r="F231" i="14"/>
  <c r="G182" i="14"/>
  <c r="F182" i="14"/>
  <c r="D176" i="14"/>
  <c r="B61" i="14"/>
  <c r="G24" i="14"/>
  <c r="F24" i="14"/>
  <c r="D15" i="14"/>
  <c r="D13" i="14"/>
  <c r="AD369" i="14"/>
  <c r="AD389" i="14" s="1"/>
  <c r="AB384" i="14"/>
  <c r="V369" i="14"/>
  <c r="T384" i="14"/>
  <c r="N369" i="14"/>
  <c r="N389" i="14" s="1"/>
  <c r="L384" i="14"/>
  <c r="AD370" i="14"/>
  <c r="Z370" i="14"/>
  <c r="V370" i="14"/>
  <c r="R370" i="14"/>
  <c r="N370" i="14"/>
  <c r="J370" i="14"/>
  <c r="AC381" i="14"/>
  <c r="AC365" i="14"/>
  <c r="AA381" i="14"/>
  <c r="Y370" i="14"/>
  <c r="U381" i="14"/>
  <c r="S381" i="14"/>
  <c r="Q370" i="14"/>
  <c r="M381" i="14"/>
  <c r="M365" i="14"/>
  <c r="K381" i="14"/>
  <c r="I370" i="14"/>
  <c r="D182" i="14"/>
  <c r="F162" i="14"/>
  <c r="AD11" i="11"/>
  <c r="F85" i="9"/>
  <c r="G85" i="9"/>
  <c r="D80" i="9"/>
  <c r="G80" i="9"/>
  <c r="G91" i="9" s="1"/>
  <c r="AD101" i="11"/>
  <c r="AD57" i="11"/>
  <c r="AB101" i="11"/>
  <c r="Z106" i="11"/>
  <c r="X106" i="11"/>
  <c r="T101" i="11"/>
  <c r="P106" i="11"/>
  <c r="N101" i="11"/>
  <c r="L101" i="11"/>
  <c r="H57" i="11"/>
  <c r="AG53" i="9"/>
  <c r="G86" i="9"/>
  <c r="AD91" i="9"/>
  <c r="AD79" i="9"/>
  <c r="AB91" i="9"/>
  <c r="AB79" i="9"/>
  <c r="AB89" i="9" s="1"/>
  <c r="V91" i="9"/>
  <c r="V79" i="9"/>
  <c r="V89" i="9" s="1"/>
  <c r="T91" i="9"/>
  <c r="T79" i="9"/>
  <c r="T89" i="9" s="1"/>
  <c r="N91" i="9"/>
  <c r="N79" i="9"/>
  <c r="N89" i="9" s="1"/>
  <c r="L91" i="9"/>
  <c r="L79" i="9"/>
  <c r="L89" i="9" s="1"/>
  <c r="AA301" i="8"/>
  <c r="S301" i="8"/>
  <c r="K301" i="8"/>
  <c r="F299" i="8"/>
  <c r="G299" i="8"/>
  <c r="G126" i="8"/>
  <c r="F126" i="8"/>
  <c r="G120" i="8"/>
  <c r="F120" i="8"/>
  <c r="G43" i="8"/>
  <c r="F43" i="8"/>
  <c r="D295" i="8"/>
  <c r="D12" i="8"/>
  <c r="AG12" i="9"/>
  <c r="Q301" i="8"/>
  <c r="G246" i="8"/>
  <c r="F246" i="8"/>
  <c r="G52" i="8"/>
  <c r="F52" i="8"/>
  <c r="D42" i="8"/>
  <c r="AC79" i="9"/>
  <c r="AC89" i="9" s="1"/>
  <c r="Y79" i="9"/>
  <c r="Y89" i="9" s="1"/>
  <c r="U79" i="9"/>
  <c r="U89" i="9" s="1"/>
  <c r="Q79" i="9"/>
  <c r="Q89" i="9" s="1"/>
  <c r="M79" i="9"/>
  <c r="M89" i="9" s="1"/>
  <c r="I79" i="9"/>
  <c r="I89" i="9" s="1"/>
  <c r="G302" i="8"/>
  <c r="G284" i="8"/>
  <c r="F284" i="8"/>
  <c r="D275" i="8"/>
  <c r="D272" i="8" s="1"/>
  <c r="D278" i="8"/>
  <c r="F264" i="8"/>
  <c r="G240" i="8"/>
  <c r="F240" i="8"/>
  <c r="G132" i="8"/>
  <c r="F132" i="8"/>
  <c r="T39" i="8"/>
  <c r="T301" i="8"/>
  <c r="AA289" i="8"/>
  <c r="K289" i="8"/>
  <c r="AG26" i="9"/>
  <c r="C39" i="8" l="1"/>
  <c r="G39" i="8" s="1"/>
  <c r="C304" i="8"/>
  <c r="G304" i="8" s="1"/>
  <c r="B301" i="8"/>
  <c r="D159" i="8"/>
  <c r="D292" i="8"/>
  <c r="C2" i="8" s="1"/>
  <c r="D304" i="8"/>
  <c r="B289" i="8"/>
  <c r="C292" i="8"/>
  <c r="C289" i="8" s="1"/>
  <c r="F302" i="8"/>
  <c r="F272" i="8"/>
  <c r="F42" i="8"/>
  <c r="AC138" i="8"/>
  <c r="G78" i="8"/>
  <c r="F78" i="8"/>
  <c r="F141" i="8"/>
  <c r="F58" i="8"/>
  <c r="F196" i="8"/>
  <c r="U138" i="8"/>
  <c r="F234" i="8"/>
  <c r="B39" i="8"/>
  <c r="F39" i="8" s="1"/>
  <c r="E301" i="8"/>
  <c r="F290" i="8"/>
  <c r="C386" i="14"/>
  <c r="AG371" i="14"/>
  <c r="B370" i="14"/>
  <c r="F58" i="11"/>
  <c r="F57" i="11" s="1"/>
  <c r="G188" i="14"/>
  <c r="F188" i="14"/>
  <c r="B366" i="14"/>
  <c r="B386" i="14" s="1"/>
  <c r="C381" i="14"/>
  <c r="C367" i="14"/>
  <c r="C387" i="14" s="1"/>
  <c r="B369" i="14"/>
  <c r="B384" i="14" s="1"/>
  <c r="G58" i="11"/>
  <c r="G57" i="11" s="1"/>
  <c r="U383" i="14"/>
  <c r="U365" i="14"/>
  <c r="U380" i="14" s="1"/>
  <c r="G324" i="14"/>
  <c r="D116" i="17"/>
  <c r="G288" i="14"/>
  <c r="C378" i="14"/>
  <c r="C383" i="14" s="1"/>
  <c r="D105" i="17"/>
  <c r="E368" i="14"/>
  <c r="E388" i="14" s="1"/>
  <c r="N375" i="14"/>
  <c r="K384" i="14"/>
  <c r="B367" i="14"/>
  <c r="B387" i="14" s="1"/>
  <c r="G219" i="14"/>
  <c r="K365" i="14"/>
  <c r="U289" i="8"/>
  <c r="AG378" i="14"/>
  <c r="H383" i="14"/>
  <c r="D324" i="14"/>
  <c r="W384" i="14"/>
  <c r="B388" i="14"/>
  <c r="S289" i="8"/>
  <c r="G272" i="8"/>
  <c r="F293" i="8"/>
  <c r="H365" i="14"/>
  <c r="F304" i="8"/>
  <c r="I383" i="14"/>
  <c r="H375" i="14"/>
  <c r="F305" i="8"/>
  <c r="AG80" i="9"/>
  <c r="F80" i="9"/>
  <c r="F91" i="9" s="1"/>
  <c r="N289" i="8"/>
  <c r="H89" i="9"/>
  <c r="AB365" i="14"/>
  <c r="AB380" i="14" s="1"/>
  <c r="F315" i="14"/>
  <c r="D301" i="8"/>
  <c r="E79" i="9"/>
  <c r="E89" i="9" s="1"/>
  <c r="D348" i="14"/>
  <c r="B377" i="14"/>
  <c r="B375" i="14" s="1"/>
  <c r="F324" i="14"/>
  <c r="G348" i="14"/>
  <c r="F86" i="9"/>
  <c r="H381" i="14"/>
  <c r="Q289" i="8"/>
  <c r="F138" i="8"/>
  <c r="AG83" i="9"/>
  <c r="W365" i="14"/>
  <c r="W380" i="14" s="1"/>
  <c r="H382" i="14"/>
  <c r="I382" i="14"/>
  <c r="E378" i="14"/>
  <c r="J365" i="14"/>
  <c r="J380" i="14" s="1"/>
  <c r="J389" i="14"/>
  <c r="Z365" i="14"/>
  <c r="Z380" i="14" s="1"/>
  <c r="Z389" i="14"/>
  <c r="O365" i="14"/>
  <c r="O380" i="14" s="1"/>
  <c r="O389" i="14"/>
  <c r="AE384" i="14"/>
  <c r="AE389" i="14"/>
  <c r="G315" i="14"/>
  <c r="R365" i="14"/>
  <c r="R380" i="14" s="1"/>
  <c r="R389" i="14"/>
  <c r="S365" i="14"/>
  <c r="S389" i="14"/>
  <c r="V365" i="14"/>
  <c r="V380" i="14" s="1"/>
  <c r="V389" i="14"/>
  <c r="AA365" i="14"/>
  <c r="AA380" i="14" s="1"/>
  <c r="AA389" i="14"/>
  <c r="AD365" i="14"/>
  <c r="AD380" i="14" s="1"/>
  <c r="Z289" i="8"/>
  <c r="D91" i="14"/>
  <c r="Y289" i="8"/>
  <c r="G22" i="15"/>
  <c r="G27" i="15" s="1"/>
  <c r="AG50" i="9"/>
  <c r="AG49" i="9"/>
  <c r="AG188" i="14"/>
  <c r="G91" i="14"/>
  <c r="F288" i="14"/>
  <c r="AB382" i="14"/>
  <c r="E369" i="14"/>
  <c r="E384" i="14" s="1"/>
  <c r="AG372" i="14"/>
  <c r="P380" i="14"/>
  <c r="M380" i="14"/>
  <c r="D31" i="14"/>
  <c r="S384" i="14"/>
  <c r="D85" i="14"/>
  <c r="F91" i="14"/>
  <c r="G249" i="14"/>
  <c r="G201" i="14"/>
  <c r="D378" i="14"/>
  <c r="G377" i="14"/>
  <c r="O384" i="14"/>
  <c r="AC380" i="14"/>
  <c r="AA384" i="14"/>
  <c r="D111" i="17"/>
  <c r="I289" i="8"/>
  <c r="AH30" i="15"/>
  <c r="C27" i="15"/>
  <c r="AH27" i="15" s="1"/>
  <c r="AH22" i="15"/>
  <c r="K375" i="14"/>
  <c r="AG22" i="15"/>
  <c r="F85" i="14"/>
  <c r="E382" i="14"/>
  <c r="G85" i="14"/>
  <c r="AD138" i="8"/>
  <c r="F30" i="15"/>
  <c r="F22" i="15"/>
  <c r="F27" i="15" s="1"/>
  <c r="D125" i="17"/>
  <c r="S375" i="14"/>
  <c r="C77" i="11"/>
  <c r="J138" i="8"/>
  <c r="R138" i="8"/>
  <c r="D87" i="9"/>
  <c r="D84" i="9" s="1"/>
  <c r="D82" i="9"/>
  <c r="D93" i="9" s="1"/>
  <c r="D124" i="17"/>
  <c r="T289" i="8"/>
  <c r="AB289" i="8"/>
  <c r="D91" i="9"/>
  <c r="AD89" i="9"/>
  <c r="B82" i="9"/>
  <c r="B87" i="9"/>
  <c r="AG35" i="9"/>
  <c r="V384" i="14"/>
  <c r="D377" i="14"/>
  <c r="F31" i="14"/>
  <c r="G31" i="14"/>
  <c r="D123" i="17"/>
  <c r="D126" i="17"/>
  <c r="L289" i="8"/>
  <c r="AE289" i="8"/>
  <c r="X289" i="8"/>
  <c r="G290" i="8"/>
  <c r="F114" i="8"/>
  <c r="G114" i="8"/>
  <c r="C138" i="8"/>
  <c r="G138" i="8" s="1"/>
  <c r="I365" i="14"/>
  <c r="I380" i="14" s="1"/>
  <c r="I381" i="14"/>
  <c r="Q380" i="14"/>
  <c r="AE380" i="14"/>
  <c r="J384" i="14"/>
  <c r="Z384" i="14"/>
  <c r="F271" i="14"/>
  <c r="B269" i="14"/>
  <c r="AG271" i="14"/>
  <c r="D313" i="14"/>
  <c r="D366" i="14" s="1"/>
  <c r="D386" i="14" s="1"/>
  <c r="E312" i="14"/>
  <c r="E376" i="14"/>
  <c r="AG316" i="14"/>
  <c r="B312" i="14"/>
  <c r="AG312" i="14" s="1"/>
  <c r="AG379" i="14"/>
  <c r="F295" i="8"/>
  <c r="G295" i="8"/>
  <c r="G12" i="14"/>
  <c r="F12" i="14"/>
  <c r="F371" i="14"/>
  <c r="E370" i="14"/>
  <c r="G371" i="14"/>
  <c r="AG201" i="14"/>
  <c r="F201" i="14"/>
  <c r="B122" i="17"/>
  <c r="AG122" i="17" s="1"/>
  <c r="AG105" i="17"/>
  <c r="L380" i="14"/>
  <c r="F116" i="17"/>
  <c r="G116" i="17"/>
  <c r="E122" i="17"/>
  <c r="F105" i="17"/>
  <c r="G105" i="17"/>
  <c r="C196" i="8"/>
  <c r="G196" i="8" s="1"/>
  <c r="G199" i="8"/>
  <c r="P289" i="8"/>
  <c r="N384" i="14"/>
  <c r="AD384" i="14"/>
  <c r="D371" i="14"/>
  <c r="D12" i="14"/>
  <c r="D373" i="14"/>
  <c r="D368" i="14"/>
  <c r="D388" i="14" s="1"/>
  <c r="AG61" i="14"/>
  <c r="F61" i="14"/>
  <c r="F373" i="14"/>
  <c r="G373" i="14"/>
  <c r="G379" i="14"/>
  <c r="G176" i="14"/>
  <c r="F176" i="14"/>
  <c r="F348" i="14"/>
  <c r="X380" i="14"/>
  <c r="D290" i="8"/>
  <c r="D39" i="8"/>
  <c r="F291" i="8"/>
  <c r="G291" i="8"/>
  <c r="H289" i="8"/>
  <c r="C82" i="9"/>
  <c r="C87" i="9"/>
  <c r="F89" i="14"/>
  <c r="D89" i="14"/>
  <c r="D379" i="14" s="1"/>
  <c r="G89" i="14"/>
  <c r="Y380" i="14"/>
  <c r="R384" i="14"/>
  <c r="AG141" i="14"/>
  <c r="F141" i="14"/>
  <c r="N365" i="14"/>
  <c r="D367" i="14"/>
  <c r="D387" i="14" s="1"/>
  <c r="AG219" i="14"/>
  <c r="F219" i="14"/>
  <c r="AG249" i="14"/>
  <c r="F249" i="14"/>
  <c r="AG370" i="14"/>
  <c r="F372" i="14"/>
  <c r="T380" i="14"/>
  <c r="G111" i="17"/>
  <c r="F111" i="17"/>
  <c r="C122" i="17"/>
  <c r="C301" i="8" l="1"/>
  <c r="G301" i="8" s="1"/>
  <c r="D289" i="8"/>
  <c r="AC289" i="8"/>
  <c r="E289" i="8"/>
  <c r="F289" i="8" s="1"/>
  <c r="C365" i="14"/>
  <c r="C375" i="14"/>
  <c r="AG377" i="14"/>
  <c r="B389" i="14"/>
  <c r="C382" i="14"/>
  <c r="AG366" i="14"/>
  <c r="N380" i="14"/>
  <c r="G367" i="14"/>
  <c r="G387" i="14" s="1"/>
  <c r="G378" i="14"/>
  <c r="B381" i="14"/>
  <c r="AG381" i="14" s="1"/>
  <c r="F378" i="14"/>
  <c r="B383" i="14"/>
  <c r="AG383" i="14" s="1"/>
  <c r="F368" i="14"/>
  <c r="F388" i="14" s="1"/>
  <c r="K380" i="14"/>
  <c r="AG376" i="14"/>
  <c r="G293" i="8"/>
  <c r="F377" i="14"/>
  <c r="S380" i="14"/>
  <c r="AG368" i="14"/>
  <c r="H380" i="14"/>
  <c r="E383" i="14"/>
  <c r="G368" i="14"/>
  <c r="G388" i="14" s="1"/>
  <c r="B365" i="14"/>
  <c r="AG365" i="14" s="1"/>
  <c r="G369" i="14"/>
  <c r="G389" i="14" s="1"/>
  <c r="E389" i="14"/>
  <c r="F367" i="14"/>
  <c r="F387" i="14" s="1"/>
  <c r="AG367" i="14"/>
  <c r="B382" i="14"/>
  <c r="AG382" i="14" s="1"/>
  <c r="F379" i="14"/>
  <c r="AG375" i="14"/>
  <c r="D79" i="9"/>
  <c r="D89" i="9" s="1"/>
  <c r="AD289" i="8"/>
  <c r="R289" i="8"/>
  <c r="J289" i="8"/>
  <c r="D369" i="14"/>
  <c r="D389" i="14" s="1"/>
  <c r="D382" i="14"/>
  <c r="G82" i="9"/>
  <c r="G93" i="9" s="1"/>
  <c r="C79" i="9"/>
  <c r="C93" i="9"/>
  <c r="D365" i="14"/>
  <c r="G370" i="14"/>
  <c r="F370" i="14"/>
  <c r="AG369" i="14"/>
  <c r="AG384" i="14"/>
  <c r="G312" i="14"/>
  <c r="F312" i="14"/>
  <c r="AG31" i="9"/>
  <c r="AG32" i="9"/>
  <c r="D122" i="17"/>
  <c r="F301" i="8"/>
  <c r="G366" i="14"/>
  <c r="G386" i="14" s="1"/>
  <c r="E381" i="14"/>
  <c r="F366" i="14"/>
  <c r="F386" i="14" s="1"/>
  <c r="E365" i="14"/>
  <c r="G87" i="9"/>
  <c r="C84" i="9"/>
  <c r="G84" i="9" s="1"/>
  <c r="D383" i="14"/>
  <c r="D370" i="14"/>
  <c r="G376" i="14"/>
  <c r="F376" i="14"/>
  <c r="E375" i="14"/>
  <c r="D312" i="14"/>
  <c r="D376" i="14"/>
  <c r="D375" i="14" s="1"/>
  <c r="AG269" i="14"/>
  <c r="F269" i="14"/>
  <c r="F369" i="14"/>
  <c r="F389" i="14" s="1"/>
  <c r="B84" i="9"/>
  <c r="F87" i="9"/>
  <c r="AG87" i="9"/>
  <c r="F82" i="9"/>
  <c r="F93" i="9" s="1"/>
  <c r="B93" i="9"/>
  <c r="AG82" i="9"/>
  <c r="B79" i="9"/>
  <c r="G292" i="8"/>
  <c r="F292" i="8" l="1"/>
  <c r="G289" i="8"/>
  <c r="C380" i="14"/>
  <c r="D384" i="14"/>
  <c r="B89" i="9"/>
  <c r="B90" i="9"/>
  <c r="AG79" i="9"/>
  <c r="F79" i="9"/>
  <c r="F89" i="9" s="1"/>
  <c r="AG84" i="9"/>
  <c r="F84" i="9"/>
  <c r="B380" i="14"/>
  <c r="AG380" i="14" s="1"/>
  <c r="F375" i="14"/>
  <c r="G375" i="14"/>
  <c r="E380" i="14"/>
  <c r="F365" i="14"/>
  <c r="G365" i="14"/>
  <c r="D380" i="14"/>
  <c r="D381" i="14"/>
  <c r="C89" i="9"/>
  <c r="G79" i="9"/>
  <c r="G89" i="9" s="1"/>
  <c r="I28" i="7" l="1"/>
  <c r="J28" i="7"/>
  <c r="K28" i="7"/>
  <c r="L28" i="7"/>
  <c r="M28" i="7"/>
  <c r="N28" i="7"/>
  <c r="O28" i="7"/>
  <c r="P28" i="7"/>
  <c r="Q28" i="7"/>
  <c r="R28" i="7"/>
  <c r="S28" i="7"/>
  <c r="T28" i="7"/>
  <c r="U28" i="7"/>
  <c r="V28" i="7"/>
  <c r="W28" i="7"/>
  <c r="X28" i="7"/>
  <c r="Y28" i="7"/>
  <c r="Z28" i="7"/>
  <c r="AA28" i="7"/>
  <c r="AB28" i="7"/>
  <c r="AC28" i="7"/>
  <c r="AD28" i="7"/>
  <c r="AE28" i="7"/>
  <c r="H28" i="7"/>
  <c r="I113" i="7"/>
  <c r="J113" i="7"/>
  <c r="K113" i="7"/>
  <c r="L113" i="7"/>
  <c r="M113" i="7"/>
  <c r="N113" i="7"/>
  <c r="O113" i="7"/>
  <c r="P113" i="7"/>
  <c r="Q113" i="7"/>
  <c r="R113" i="7"/>
  <c r="S113" i="7"/>
  <c r="T113" i="7"/>
  <c r="U113" i="7"/>
  <c r="V113" i="7"/>
  <c r="W113" i="7"/>
  <c r="X113" i="7"/>
  <c r="Y113" i="7"/>
  <c r="Z113" i="7"/>
  <c r="AA113" i="7"/>
  <c r="AB113" i="7"/>
  <c r="AC113" i="7"/>
  <c r="AD113" i="7"/>
  <c r="AE113" i="7"/>
  <c r="H113" i="7"/>
  <c r="I107" i="7"/>
  <c r="K107" i="7"/>
  <c r="L107" i="7"/>
  <c r="M107" i="7"/>
  <c r="N107" i="7"/>
  <c r="O107" i="7"/>
  <c r="R107" i="7"/>
  <c r="S107" i="7"/>
  <c r="T107" i="7"/>
  <c r="U107" i="7"/>
  <c r="V107" i="7"/>
  <c r="W107" i="7"/>
  <c r="X107" i="7"/>
  <c r="Y107" i="7"/>
  <c r="Z107" i="7"/>
  <c r="AA107" i="7"/>
  <c r="AB107" i="7"/>
  <c r="AC107" i="7"/>
  <c r="AD107" i="7"/>
  <c r="AE107" i="7"/>
  <c r="H107" i="7"/>
  <c r="B107" i="7"/>
  <c r="I93" i="7"/>
  <c r="J93" i="7"/>
  <c r="K93" i="7"/>
  <c r="L93" i="7"/>
  <c r="M93" i="7"/>
  <c r="N93" i="7"/>
  <c r="O93" i="7"/>
  <c r="P93" i="7"/>
  <c r="Q93" i="7"/>
  <c r="R93" i="7"/>
  <c r="S93" i="7"/>
  <c r="T93" i="7"/>
  <c r="U93" i="7"/>
  <c r="V93" i="7"/>
  <c r="W93" i="7"/>
  <c r="X93" i="7"/>
  <c r="Y93" i="7"/>
  <c r="Z93" i="7"/>
  <c r="AA93" i="7"/>
  <c r="AB93" i="7"/>
  <c r="AC93" i="7"/>
  <c r="AD93" i="7"/>
  <c r="AE93" i="7"/>
  <c r="H93" i="7"/>
  <c r="I91" i="7"/>
  <c r="I90" i="7" s="1"/>
  <c r="J91" i="7"/>
  <c r="J90" i="7" s="1"/>
  <c r="K90" i="7"/>
  <c r="L91" i="7"/>
  <c r="L90" i="7" s="1"/>
  <c r="M91" i="7"/>
  <c r="M90" i="7" s="1"/>
  <c r="N91" i="7"/>
  <c r="N90" i="7" s="1"/>
  <c r="O91" i="7"/>
  <c r="O90" i="7" s="1"/>
  <c r="P91" i="7"/>
  <c r="P90" i="7" s="1"/>
  <c r="Q91" i="7"/>
  <c r="Q90" i="7" s="1"/>
  <c r="R91" i="7"/>
  <c r="R90" i="7" s="1"/>
  <c r="S91" i="7"/>
  <c r="S90" i="7" s="1"/>
  <c r="T91" i="7"/>
  <c r="T90" i="7" s="1"/>
  <c r="U91" i="7"/>
  <c r="U90" i="7" s="1"/>
  <c r="V90" i="7"/>
  <c r="W90" i="7"/>
  <c r="X91" i="7"/>
  <c r="X90" i="7" s="1"/>
  <c r="Y91" i="7"/>
  <c r="Y90" i="7" s="1"/>
  <c r="Z91" i="7"/>
  <c r="Z90" i="7" s="1"/>
  <c r="AA91" i="7"/>
  <c r="AA90" i="7" s="1"/>
  <c r="AB91" i="7"/>
  <c r="AB90" i="7" s="1"/>
  <c r="AC91" i="7"/>
  <c r="AC90" i="7" s="1"/>
  <c r="AD91" i="7"/>
  <c r="AD90" i="7" s="1"/>
  <c r="AE90" i="7"/>
  <c r="H90" i="7"/>
  <c r="I87" i="7"/>
  <c r="J87" i="7"/>
  <c r="K87" i="7"/>
  <c r="L87" i="7"/>
  <c r="M87" i="7"/>
  <c r="N87" i="7"/>
  <c r="O87" i="7"/>
  <c r="P87" i="7"/>
  <c r="Q87" i="7"/>
  <c r="R87" i="7"/>
  <c r="S87" i="7"/>
  <c r="T87" i="7"/>
  <c r="U87" i="7"/>
  <c r="V87" i="7"/>
  <c r="W87" i="7"/>
  <c r="X87" i="7"/>
  <c r="Y87" i="7"/>
  <c r="Z87" i="7"/>
  <c r="AA87" i="7"/>
  <c r="AB87" i="7"/>
  <c r="AC87" i="7"/>
  <c r="AD87" i="7"/>
  <c r="AE87" i="7"/>
  <c r="H87" i="7"/>
  <c r="I84" i="7"/>
  <c r="J84" i="7"/>
  <c r="K84" i="7"/>
  <c r="L84" i="7"/>
  <c r="M84" i="7"/>
  <c r="N84" i="7"/>
  <c r="O84" i="7"/>
  <c r="P84" i="7"/>
  <c r="Q84" i="7"/>
  <c r="R84" i="7"/>
  <c r="S84" i="7"/>
  <c r="T84" i="7"/>
  <c r="U84" i="7"/>
  <c r="V84" i="7"/>
  <c r="W84" i="7"/>
  <c r="X84" i="7"/>
  <c r="Y84" i="7"/>
  <c r="Z84" i="7"/>
  <c r="AA84" i="7"/>
  <c r="AB84" i="7"/>
  <c r="AC84" i="7"/>
  <c r="AD84" i="7"/>
  <c r="AE84" i="7"/>
  <c r="H84" i="7"/>
  <c r="I82" i="7"/>
  <c r="I81" i="7" s="1"/>
  <c r="J82" i="7"/>
  <c r="J81" i="7" s="1"/>
  <c r="H81" i="7"/>
  <c r="I64" i="7"/>
  <c r="I63" i="7" s="1"/>
  <c r="J64" i="7"/>
  <c r="J63" i="7" s="1"/>
  <c r="K64" i="7"/>
  <c r="K63" i="7" s="1"/>
  <c r="L63" i="7"/>
  <c r="M63" i="7"/>
  <c r="R63" i="7"/>
  <c r="S63" i="7"/>
  <c r="T63" i="7"/>
  <c r="U63" i="7"/>
  <c r="V63" i="7"/>
  <c r="W63" i="7"/>
  <c r="X63" i="7"/>
  <c r="Y63" i="7"/>
  <c r="Z63" i="7"/>
  <c r="AA63" i="7"/>
  <c r="AB63" i="7"/>
  <c r="AC63" i="7"/>
  <c r="AD63" i="7"/>
  <c r="AE63" i="7"/>
  <c r="H63" i="7"/>
  <c r="I52" i="7"/>
  <c r="J52" i="7"/>
  <c r="J57" i="7" s="1"/>
  <c r="K52" i="7"/>
  <c r="L52" i="7"/>
  <c r="L57" i="7" s="1"/>
  <c r="M52" i="7"/>
  <c r="N52" i="7"/>
  <c r="N57" i="7" s="1"/>
  <c r="O52" i="7"/>
  <c r="P52" i="7"/>
  <c r="P57" i="7" s="1"/>
  <c r="Q52" i="7"/>
  <c r="R52" i="7"/>
  <c r="R57" i="7" s="1"/>
  <c r="S52" i="7"/>
  <c r="T52" i="7"/>
  <c r="T57" i="7" s="1"/>
  <c r="U52" i="7"/>
  <c r="V52" i="7"/>
  <c r="V57" i="7" s="1"/>
  <c r="W52" i="7"/>
  <c r="X52" i="7"/>
  <c r="X57" i="7" s="1"/>
  <c r="Y52" i="7"/>
  <c r="Z52" i="7"/>
  <c r="Z57" i="7" s="1"/>
  <c r="AA52" i="7"/>
  <c r="AB52" i="7"/>
  <c r="AB57" i="7" s="1"/>
  <c r="AC52" i="7"/>
  <c r="AD52" i="7"/>
  <c r="AD57" i="7" s="1"/>
  <c r="AE52" i="7"/>
  <c r="I54" i="7"/>
  <c r="J54" i="7"/>
  <c r="J59" i="7" s="1"/>
  <c r="K54" i="7"/>
  <c r="K59" i="7" s="1"/>
  <c r="L54" i="7"/>
  <c r="L59" i="7" s="1"/>
  <c r="M54" i="7"/>
  <c r="M59" i="7" s="1"/>
  <c r="N54" i="7"/>
  <c r="N59" i="7" s="1"/>
  <c r="O54" i="7"/>
  <c r="O59" i="7" s="1"/>
  <c r="P54" i="7"/>
  <c r="P59" i="7" s="1"/>
  <c r="Q54" i="7"/>
  <c r="R54" i="7"/>
  <c r="R59" i="7" s="1"/>
  <c r="S54" i="7"/>
  <c r="S59" i="7" s="1"/>
  <c r="T54" i="7"/>
  <c r="T59" i="7" s="1"/>
  <c r="U54" i="7"/>
  <c r="U59" i="7" s="1"/>
  <c r="V54" i="7"/>
  <c r="V59" i="7" s="1"/>
  <c r="W54" i="7"/>
  <c r="W59" i="7" s="1"/>
  <c r="X54" i="7"/>
  <c r="X59" i="7" s="1"/>
  <c r="Y54" i="7"/>
  <c r="Y59" i="7" s="1"/>
  <c r="Z54" i="7"/>
  <c r="Z59" i="7" s="1"/>
  <c r="AA54" i="7"/>
  <c r="AA59" i="7" s="1"/>
  <c r="AB54" i="7"/>
  <c r="AB59" i="7" s="1"/>
  <c r="AC54" i="7"/>
  <c r="AC59" i="7" s="1"/>
  <c r="AD54" i="7"/>
  <c r="AD59" i="7" s="1"/>
  <c r="AE54" i="7"/>
  <c r="AE59" i="7" s="1"/>
  <c r="H54" i="7"/>
  <c r="H59" i="7" s="1"/>
  <c r="H52" i="7"/>
  <c r="C52" i="7"/>
  <c r="C57" i="7" s="1"/>
  <c r="D52" i="7"/>
  <c r="D57" i="7" s="1"/>
  <c r="E52" i="7"/>
  <c r="D54" i="7"/>
  <c r="D59" i="7" s="1"/>
  <c r="I40" i="7"/>
  <c r="J40" i="7"/>
  <c r="K40" i="7"/>
  <c r="M40" i="7"/>
  <c r="N40" i="7"/>
  <c r="O40" i="7"/>
  <c r="P40" i="7"/>
  <c r="Q40" i="7"/>
  <c r="R40" i="7"/>
  <c r="S40" i="7"/>
  <c r="T40" i="7"/>
  <c r="U40" i="7"/>
  <c r="V40" i="7"/>
  <c r="W40" i="7"/>
  <c r="X40" i="7"/>
  <c r="Y40" i="7"/>
  <c r="Z40" i="7"/>
  <c r="AA40" i="7"/>
  <c r="AB40" i="7"/>
  <c r="AC40" i="7"/>
  <c r="AD40" i="7"/>
  <c r="AE40" i="7"/>
  <c r="H40" i="7"/>
  <c r="B43" i="7"/>
  <c r="B54" i="7" s="1"/>
  <c r="B59" i="7" s="1"/>
  <c r="C32" i="7"/>
  <c r="B32" i="7"/>
  <c r="I26" i="7"/>
  <c r="I25" i="7" s="1"/>
  <c r="J25" i="7"/>
  <c r="L26" i="7"/>
  <c r="M26" i="7"/>
  <c r="M25" i="7" s="1"/>
  <c r="N26" i="7"/>
  <c r="N25" i="7" s="1"/>
  <c r="O26" i="7"/>
  <c r="O25" i="7" s="1"/>
  <c r="P26" i="7"/>
  <c r="P25" i="7" s="1"/>
  <c r="Q26" i="7"/>
  <c r="Q25" i="7" s="1"/>
  <c r="R26" i="7"/>
  <c r="R25" i="7" s="1"/>
  <c r="S26" i="7"/>
  <c r="S25" i="7" s="1"/>
  <c r="T26" i="7"/>
  <c r="T25" i="7" s="1"/>
  <c r="U26" i="7"/>
  <c r="U25" i="7" s="1"/>
  <c r="V26" i="7"/>
  <c r="V25" i="7" s="1"/>
  <c r="W26" i="7"/>
  <c r="W25" i="7" s="1"/>
  <c r="X26" i="7"/>
  <c r="X25" i="7" s="1"/>
  <c r="Y26" i="7"/>
  <c r="Y25" i="7" s="1"/>
  <c r="Z26" i="7"/>
  <c r="Z25" i="7" s="1"/>
  <c r="AA26" i="7"/>
  <c r="AA25" i="7" s="1"/>
  <c r="AB26" i="7"/>
  <c r="AC26" i="7"/>
  <c r="AC25" i="7" s="1"/>
  <c r="AD25" i="7"/>
  <c r="AE26" i="7"/>
  <c r="AE25" i="7" s="1"/>
  <c r="H26" i="7"/>
  <c r="H25" i="7" s="1"/>
  <c r="D26" i="7"/>
  <c r="C20" i="7"/>
  <c r="C19" i="7" s="1"/>
  <c r="B20" i="7"/>
  <c r="B19" i="7" s="1"/>
  <c r="C17" i="7"/>
  <c r="C16" i="7" s="1"/>
  <c r="D16" i="7"/>
  <c r="C14" i="7"/>
  <c r="B14" i="7"/>
  <c r="E11" i="7"/>
  <c r="E10" i="7" s="1"/>
  <c r="E9" i="7" s="1"/>
  <c r="C11" i="7"/>
  <c r="C10" i="7" s="1"/>
  <c r="B11" i="7"/>
  <c r="B10" i="7" s="1"/>
  <c r="B9" i="7" s="1"/>
  <c r="B41" i="7"/>
  <c r="B42" i="7"/>
  <c r="E54" i="7"/>
  <c r="E59" i="7" s="1"/>
  <c r="C54" i="7"/>
  <c r="C59" i="7" s="1"/>
  <c r="C46" i="7"/>
  <c r="E88" i="7"/>
  <c r="E87" i="7" s="1"/>
  <c r="C88" i="7"/>
  <c r="C87" i="7" s="1"/>
  <c r="B88" i="7"/>
  <c r="F88" i="7" s="1"/>
  <c r="D87" i="7"/>
  <c r="B85" i="7"/>
  <c r="E78" i="7"/>
  <c r="C78" i="7"/>
  <c r="B79" i="7"/>
  <c r="F79" i="7" s="1"/>
  <c r="D78" i="7"/>
  <c r="E76" i="7"/>
  <c r="C76" i="7"/>
  <c r="C75" i="7" s="1"/>
  <c r="B76" i="7"/>
  <c r="F76" i="7" s="1"/>
  <c r="D75" i="7"/>
  <c r="B52" i="7" l="1"/>
  <c r="B57" i="7" s="1"/>
  <c r="F41" i="7"/>
  <c r="Q59" i="7"/>
  <c r="Q118" i="7"/>
  <c r="Q122" i="7" s="1"/>
  <c r="I59" i="7"/>
  <c r="I118" i="7"/>
  <c r="H116" i="7"/>
  <c r="E57" i="7"/>
  <c r="B82" i="7"/>
  <c r="B81" i="7" s="1"/>
  <c r="B78" i="7"/>
  <c r="F78" i="7" s="1"/>
  <c r="AB25" i="7"/>
  <c r="AB53" i="7"/>
  <c r="AB117" i="7" s="1"/>
  <c r="AB121" i="7" s="1"/>
  <c r="L25" i="7"/>
  <c r="L53" i="7"/>
  <c r="AE57" i="7"/>
  <c r="AE116" i="7"/>
  <c r="AE120" i="7" s="1"/>
  <c r="AC57" i="7"/>
  <c r="AC116" i="7"/>
  <c r="AC120" i="7" s="1"/>
  <c r="AA57" i="7"/>
  <c r="AA116" i="7"/>
  <c r="AA120" i="7" s="1"/>
  <c r="Y57" i="7"/>
  <c r="Y116" i="7"/>
  <c r="Y120" i="7" s="1"/>
  <c r="W57" i="7"/>
  <c r="W120" i="7"/>
  <c r="U57" i="7"/>
  <c r="U116" i="7"/>
  <c r="U120" i="7" s="1"/>
  <c r="S57" i="7"/>
  <c r="S116" i="7"/>
  <c r="S120" i="7" s="1"/>
  <c r="Q57" i="7"/>
  <c r="Q116" i="7"/>
  <c r="Q120" i="7" s="1"/>
  <c r="O57" i="7"/>
  <c r="O116" i="7"/>
  <c r="O120" i="7" s="1"/>
  <c r="M57" i="7"/>
  <c r="M116" i="7"/>
  <c r="M120" i="7" s="1"/>
  <c r="K57" i="7"/>
  <c r="K116" i="7"/>
  <c r="K120" i="7" s="1"/>
  <c r="I57" i="7"/>
  <c r="I116" i="7"/>
  <c r="I120" i="7" s="1"/>
  <c r="B116" i="7"/>
  <c r="B120" i="7" s="1"/>
  <c r="T53" i="7"/>
  <c r="T117" i="7" s="1"/>
  <c r="T121" i="7" s="1"/>
  <c r="AD116" i="7"/>
  <c r="AD120" i="7" s="1"/>
  <c r="AB116" i="7"/>
  <c r="Z116" i="7"/>
  <c r="Z120" i="7" s="1"/>
  <c r="X116" i="7"/>
  <c r="X120" i="7" s="1"/>
  <c r="V116" i="7"/>
  <c r="V120" i="7" s="1"/>
  <c r="T116" i="7"/>
  <c r="T120" i="7" s="1"/>
  <c r="R116" i="7"/>
  <c r="R120" i="7" s="1"/>
  <c r="P116" i="7"/>
  <c r="P120" i="7" s="1"/>
  <c r="N116" i="7"/>
  <c r="N120" i="7" s="1"/>
  <c r="L116" i="7"/>
  <c r="L120" i="7" s="1"/>
  <c r="J116" i="7"/>
  <c r="J120" i="7" s="1"/>
  <c r="B118" i="7"/>
  <c r="B122" i="7" s="1"/>
  <c r="H57" i="7"/>
  <c r="G59" i="7"/>
  <c r="H53" i="7"/>
  <c r="H117" i="7" s="1"/>
  <c r="X53" i="7"/>
  <c r="X51" i="7" s="1"/>
  <c r="P53" i="7"/>
  <c r="P117" i="7" s="1"/>
  <c r="F59" i="7"/>
  <c r="AD53" i="7"/>
  <c r="AD117" i="7" s="1"/>
  <c r="Z53" i="7"/>
  <c r="Z117" i="7" s="1"/>
  <c r="V53" i="7"/>
  <c r="V117" i="7" s="1"/>
  <c r="R53" i="7"/>
  <c r="R117" i="7" s="1"/>
  <c r="N53" i="7"/>
  <c r="N117" i="7" s="1"/>
  <c r="J53" i="7"/>
  <c r="J117" i="7" s="1"/>
  <c r="B111" i="7"/>
  <c r="AE53" i="7"/>
  <c r="AE117" i="7" s="1"/>
  <c r="AC53" i="7"/>
  <c r="AC117" i="7" s="1"/>
  <c r="AA53" i="7"/>
  <c r="AA117" i="7" s="1"/>
  <c r="Y53" i="7"/>
  <c r="W53" i="7"/>
  <c r="W117" i="7" s="1"/>
  <c r="U53" i="7"/>
  <c r="U117" i="7" s="1"/>
  <c r="S53" i="7"/>
  <c r="S117" i="7" s="1"/>
  <c r="Q53" i="7"/>
  <c r="Q117" i="7" s="1"/>
  <c r="Q121" i="7" s="1"/>
  <c r="O53" i="7"/>
  <c r="O117" i="7" s="1"/>
  <c r="O121" i="7" s="1"/>
  <c r="O119" i="7" s="1"/>
  <c r="M53" i="7"/>
  <c r="M117" i="7" s="1"/>
  <c r="K53" i="7"/>
  <c r="K117" i="7" s="1"/>
  <c r="I53" i="7"/>
  <c r="I117" i="7" s="1"/>
  <c r="B40" i="7"/>
  <c r="F43" i="7"/>
  <c r="G76" i="7"/>
  <c r="B87" i="7"/>
  <c r="F87" i="7" s="1"/>
  <c r="G43" i="7"/>
  <c r="B75" i="7"/>
  <c r="G79" i="7"/>
  <c r="E75" i="7"/>
  <c r="G88" i="7"/>
  <c r="G87" i="7"/>
  <c r="G78" i="7"/>
  <c r="E23" i="7"/>
  <c r="C23" i="7"/>
  <c r="C22" i="7" s="1"/>
  <c r="B23" i="7"/>
  <c r="B22" i="7" s="1"/>
  <c r="E111" i="7"/>
  <c r="B94" i="7"/>
  <c r="B91" i="7" s="1"/>
  <c r="D93" i="7"/>
  <c r="F85" i="7"/>
  <c r="E82" i="7"/>
  <c r="C82" i="7"/>
  <c r="C81" i="7" s="1"/>
  <c r="D84" i="7"/>
  <c r="B84" i="7"/>
  <c r="D82" i="7"/>
  <c r="D81" i="7" s="1"/>
  <c r="E73" i="7"/>
  <c r="C73" i="7"/>
  <c r="C72" i="7" s="1"/>
  <c r="B73" i="7"/>
  <c r="F73" i="7" s="1"/>
  <c r="D72" i="7"/>
  <c r="E69" i="7"/>
  <c r="D64" i="7"/>
  <c r="D63" i="7" s="1"/>
  <c r="C69" i="7"/>
  <c r="B70" i="7"/>
  <c r="B69" i="7" s="1"/>
  <c r="E67" i="7"/>
  <c r="C67" i="7"/>
  <c r="B67" i="7"/>
  <c r="D66" i="7"/>
  <c r="AE118" i="7"/>
  <c r="AE122" i="7" s="1"/>
  <c r="AD118" i="7"/>
  <c r="AD122" i="7" s="1"/>
  <c r="AC118" i="7"/>
  <c r="AC122" i="7" s="1"/>
  <c r="AB118" i="7"/>
  <c r="AB122" i="7" s="1"/>
  <c r="AA118" i="7"/>
  <c r="AA122" i="7" s="1"/>
  <c r="Z118" i="7"/>
  <c r="Z122" i="7" s="1"/>
  <c r="Y118" i="7"/>
  <c r="Y122" i="7" s="1"/>
  <c r="X118" i="7"/>
  <c r="X122" i="7" s="1"/>
  <c r="W118" i="7"/>
  <c r="W122" i="7" s="1"/>
  <c r="V118" i="7"/>
  <c r="V122" i="7" s="1"/>
  <c r="U118" i="7"/>
  <c r="U122" i="7" s="1"/>
  <c r="T118" i="7"/>
  <c r="T122" i="7" s="1"/>
  <c r="S118" i="7"/>
  <c r="S122" i="7" s="1"/>
  <c r="R118" i="7"/>
  <c r="R122" i="7" s="1"/>
  <c r="P118" i="7"/>
  <c r="P122" i="7" s="1"/>
  <c r="O118" i="7"/>
  <c r="O122" i="7" s="1"/>
  <c r="N118" i="7"/>
  <c r="N122" i="7" s="1"/>
  <c r="M118" i="7"/>
  <c r="M122" i="7" s="1"/>
  <c r="L118" i="7"/>
  <c r="L122" i="7" s="1"/>
  <c r="K118" i="7"/>
  <c r="K122" i="7" s="1"/>
  <c r="J118" i="7"/>
  <c r="J122" i="7" s="1"/>
  <c r="I122" i="7"/>
  <c r="H118" i="7"/>
  <c r="H122" i="7" s="1"/>
  <c r="D122" i="7"/>
  <c r="E49" i="7"/>
  <c r="C49" i="7"/>
  <c r="C48" i="7" s="1"/>
  <c r="B49" i="7"/>
  <c r="B48" i="7" s="1"/>
  <c r="AE48" i="7"/>
  <c r="E46" i="7"/>
  <c r="C45" i="7"/>
  <c r="B46" i="7"/>
  <c r="AE45" i="7"/>
  <c r="D40" i="7"/>
  <c r="E38" i="7"/>
  <c r="C38" i="7"/>
  <c r="C37" i="7" s="1"/>
  <c r="B38" i="7"/>
  <c r="B37" i="7" s="1"/>
  <c r="D37" i="7"/>
  <c r="E35" i="7"/>
  <c r="C35" i="7"/>
  <c r="C34" i="7" s="1"/>
  <c r="B35" i="7"/>
  <c r="D34" i="7"/>
  <c r="E32" i="7"/>
  <c r="E31" i="7" s="1"/>
  <c r="C31" i="7"/>
  <c r="E29" i="7"/>
  <c r="C28" i="7"/>
  <c r="B29" i="7"/>
  <c r="E20" i="7"/>
  <c r="E17" i="7"/>
  <c r="B17" i="7"/>
  <c r="B16" i="7" s="1"/>
  <c r="E14" i="7"/>
  <c r="B13" i="7"/>
  <c r="C13" i="7"/>
  <c r="C118" i="7"/>
  <c r="C122" i="7" s="1"/>
  <c r="D9" i="7"/>
  <c r="I56" i="6"/>
  <c r="I134" i="6" s="1"/>
  <c r="I139" i="6" s="1"/>
  <c r="J56" i="6"/>
  <c r="J134" i="6" s="1"/>
  <c r="J139" i="6" s="1"/>
  <c r="K56" i="6"/>
  <c r="K134" i="6" s="1"/>
  <c r="K139" i="6" s="1"/>
  <c r="L56" i="6"/>
  <c r="L134" i="6" s="1"/>
  <c r="L139" i="6" s="1"/>
  <c r="M56" i="6"/>
  <c r="M134" i="6" s="1"/>
  <c r="M139" i="6" s="1"/>
  <c r="N56" i="6"/>
  <c r="N134" i="6" s="1"/>
  <c r="N139" i="6" s="1"/>
  <c r="O56" i="6"/>
  <c r="O134" i="6" s="1"/>
  <c r="O139" i="6" s="1"/>
  <c r="P56" i="6"/>
  <c r="P134" i="6" s="1"/>
  <c r="P139" i="6" s="1"/>
  <c r="Q56" i="6"/>
  <c r="Q134" i="6" s="1"/>
  <c r="Q139" i="6" s="1"/>
  <c r="R56" i="6"/>
  <c r="R134" i="6" s="1"/>
  <c r="R139" i="6" s="1"/>
  <c r="S56" i="6"/>
  <c r="S134" i="6" s="1"/>
  <c r="S139" i="6" s="1"/>
  <c r="T56" i="6"/>
  <c r="T134" i="6" s="1"/>
  <c r="T139" i="6" s="1"/>
  <c r="U56" i="6"/>
  <c r="U134" i="6" s="1"/>
  <c r="U139" i="6" s="1"/>
  <c r="V56" i="6"/>
  <c r="V134" i="6" s="1"/>
  <c r="V139" i="6" s="1"/>
  <c r="W56" i="6"/>
  <c r="W134" i="6" s="1"/>
  <c r="W139" i="6" s="1"/>
  <c r="X56" i="6"/>
  <c r="X134" i="6" s="1"/>
  <c r="X139" i="6" s="1"/>
  <c r="Y56" i="6"/>
  <c r="Y134" i="6" s="1"/>
  <c r="Y139" i="6" s="1"/>
  <c r="Z56" i="6"/>
  <c r="Z134" i="6" s="1"/>
  <c r="Z139" i="6" s="1"/>
  <c r="AA56" i="6"/>
  <c r="AA134" i="6" s="1"/>
  <c r="AA139" i="6" s="1"/>
  <c r="AB56" i="6"/>
  <c r="AB134" i="6" s="1"/>
  <c r="AB139" i="6" s="1"/>
  <c r="AC56" i="6"/>
  <c r="AC134" i="6" s="1"/>
  <c r="AC139" i="6" s="1"/>
  <c r="AD56" i="6"/>
  <c r="AD134" i="6" s="1"/>
  <c r="AD139" i="6" s="1"/>
  <c r="AE56" i="6"/>
  <c r="AE134" i="6" s="1"/>
  <c r="AE139" i="6" s="1"/>
  <c r="H56" i="6"/>
  <c r="H134" i="6" s="1"/>
  <c r="H139" i="6" s="1"/>
  <c r="B56" i="6"/>
  <c r="C134" i="6"/>
  <c r="C139" i="6" s="1"/>
  <c r="I53" i="6"/>
  <c r="J53" i="6"/>
  <c r="K53" i="6"/>
  <c r="L53" i="6"/>
  <c r="M53" i="6"/>
  <c r="N53" i="6"/>
  <c r="O53" i="6"/>
  <c r="P53" i="6"/>
  <c r="Q53" i="6"/>
  <c r="R53" i="6"/>
  <c r="S53" i="6"/>
  <c r="T53" i="6"/>
  <c r="U53" i="6"/>
  <c r="V53" i="6"/>
  <c r="W53" i="6"/>
  <c r="X53" i="6"/>
  <c r="Y53" i="6"/>
  <c r="Z53" i="6"/>
  <c r="AA53" i="6"/>
  <c r="AB53" i="6"/>
  <c r="AC53" i="6"/>
  <c r="AD53" i="6"/>
  <c r="AE53" i="6"/>
  <c r="I54" i="6"/>
  <c r="J54" i="6"/>
  <c r="K54" i="6"/>
  <c r="L54" i="6"/>
  <c r="M54" i="6"/>
  <c r="N54" i="6"/>
  <c r="O54" i="6"/>
  <c r="P54" i="6"/>
  <c r="Q54" i="6"/>
  <c r="R54" i="6"/>
  <c r="S54" i="6"/>
  <c r="T54" i="6"/>
  <c r="U54" i="6"/>
  <c r="V54" i="6"/>
  <c r="W54" i="6"/>
  <c r="X54" i="6"/>
  <c r="Y54" i="6"/>
  <c r="Z54" i="6"/>
  <c r="AA54" i="6"/>
  <c r="AB54" i="6"/>
  <c r="AC54" i="6"/>
  <c r="AD54" i="6"/>
  <c r="AE54" i="6"/>
  <c r="H54" i="6"/>
  <c r="H53" i="6"/>
  <c r="C49" i="6"/>
  <c r="B50" i="6"/>
  <c r="B49" i="6" s="1"/>
  <c r="AE49" i="6"/>
  <c r="AD49" i="6"/>
  <c r="AC49" i="6"/>
  <c r="AB49" i="6"/>
  <c r="AA49" i="6"/>
  <c r="Z49" i="6"/>
  <c r="Y49" i="6"/>
  <c r="X49" i="6"/>
  <c r="W49" i="6"/>
  <c r="V49" i="6"/>
  <c r="U49" i="6"/>
  <c r="T49" i="6"/>
  <c r="S49" i="6"/>
  <c r="R49" i="6"/>
  <c r="Q49" i="6"/>
  <c r="P49" i="6"/>
  <c r="O49" i="6"/>
  <c r="N49" i="6"/>
  <c r="M49" i="6"/>
  <c r="L49" i="6"/>
  <c r="K49" i="6"/>
  <c r="J49" i="6"/>
  <c r="I49" i="6"/>
  <c r="H49" i="6"/>
  <c r="G69" i="7" l="1"/>
  <c r="H115" i="7"/>
  <c r="Q119" i="7"/>
  <c r="L117" i="7"/>
  <c r="L115" i="7" s="1"/>
  <c r="H120" i="7"/>
  <c r="B134" i="6"/>
  <c r="B139" i="6" s="1"/>
  <c r="F75" i="7"/>
  <c r="AB58" i="7"/>
  <c r="AB56" i="7" s="1"/>
  <c r="AB51" i="7"/>
  <c r="L58" i="7"/>
  <c r="L56" i="7" s="1"/>
  <c r="T51" i="7"/>
  <c r="L51" i="7"/>
  <c r="E84" i="7"/>
  <c r="F84" i="7" s="1"/>
  <c r="T58" i="7"/>
  <c r="T56" i="7" s="1"/>
  <c r="F32" i="7"/>
  <c r="P51" i="7"/>
  <c r="I115" i="7"/>
  <c r="I121" i="7"/>
  <c r="I119" i="7" s="1"/>
  <c r="K115" i="7"/>
  <c r="K121" i="7"/>
  <c r="K119" i="7" s="1"/>
  <c r="M115" i="7"/>
  <c r="M121" i="7"/>
  <c r="M119" i="7" s="1"/>
  <c r="O115" i="7"/>
  <c r="Q115" i="7"/>
  <c r="S115" i="7"/>
  <c r="S121" i="7"/>
  <c r="S119" i="7" s="1"/>
  <c r="U115" i="7"/>
  <c r="U121" i="7"/>
  <c r="U119" i="7" s="1"/>
  <c r="W121" i="7"/>
  <c r="W119" i="7" s="1"/>
  <c r="Y115" i="7"/>
  <c r="Y121" i="7"/>
  <c r="Y119" i="7" s="1"/>
  <c r="AA115" i="7"/>
  <c r="AA121" i="7"/>
  <c r="AA119" i="7" s="1"/>
  <c r="AC115" i="7"/>
  <c r="AC121" i="7"/>
  <c r="AC119" i="7" s="1"/>
  <c r="AE115" i="7"/>
  <c r="AE121" i="7"/>
  <c r="AE119" i="7" s="1"/>
  <c r="J115" i="7"/>
  <c r="J121" i="7"/>
  <c r="J119" i="7" s="1"/>
  <c r="N115" i="7"/>
  <c r="N121" i="7"/>
  <c r="N119" i="7" s="1"/>
  <c r="R115" i="7"/>
  <c r="R121" i="7"/>
  <c r="R119" i="7" s="1"/>
  <c r="V121" i="7"/>
  <c r="V119" i="7" s="1"/>
  <c r="Z115" i="7"/>
  <c r="Z121" i="7"/>
  <c r="Z119" i="7" s="1"/>
  <c r="AD121" i="7"/>
  <c r="AD119" i="7" s="1"/>
  <c r="P115" i="7"/>
  <c r="P121" i="7"/>
  <c r="P119" i="7" s="1"/>
  <c r="AB115" i="7"/>
  <c r="AB120" i="7"/>
  <c r="AB119" i="7" s="1"/>
  <c r="T119" i="7"/>
  <c r="B110" i="7"/>
  <c r="H58" i="7"/>
  <c r="H56" i="7" s="1"/>
  <c r="P58" i="7"/>
  <c r="P56" i="7" s="1"/>
  <c r="X58" i="7"/>
  <c r="X56" i="7" s="1"/>
  <c r="X117" i="7"/>
  <c r="H51" i="7"/>
  <c r="T115" i="7"/>
  <c r="C64" i="7"/>
  <c r="C63" i="7" s="1"/>
  <c r="I51" i="7"/>
  <c r="I58" i="7"/>
  <c r="I56" i="7" s="1"/>
  <c r="M51" i="7"/>
  <c r="M58" i="7"/>
  <c r="M56" i="7" s="1"/>
  <c r="Q51" i="7"/>
  <c r="Q58" i="7"/>
  <c r="Q56" i="7" s="1"/>
  <c r="U51" i="7"/>
  <c r="U58" i="7"/>
  <c r="U56" i="7" s="1"/>
  <c r="Y51" i="7"/>
  <c r="Y58" i="7"/>
  <c r="Y56" i="7" s="1"/>
  <c r="AC51" i="7"/>
  <c r="AC58" i="7"/>
  <c r="AC56" i="7" s="1"/>
  <c r="N51" i="7"/>
  <c r="N58" i="7"/>
  <c r="N56" i="7" s="1"/>
  <c r="V51" i="7"/>
  <c r="V58" i="7"/>
  <c r="V56" i="7" s="1"/>
  <c r="AD51" i="7"/>
  <c r="AD58" i="7"/>
  <c r="AD56" i="7" s="1"/>
  <c r="B66" i="7"/>
  <c r="B64" i="7"/>
  <c r="E64" i="7"/>
  <c r="E63" i="7" s="1"/>
  <c r="C93" i="7"/>
  <c r="C90" i="7"/>
  <c r="E107" i="7"/>
  <c r="F107" i="7" s="1"/>
  <c r="K51" i="7"/>
  <c r="K58" i="7"/>
  <c r="K56" i="7" s="1"/>
  <c r="O51" i="7"/>
  <c r="O58" i="7"/>
  <c r="O56" i="7" s="1"/>
  <c r="S51" i="7"/>
  <c r="S58" i="7"/>
  <c r="S56" i="7" s="1"/>
  <c r="W51" i="7"/>
  <c r="W58" i="7"/>
  <c r="W56" i="7" s="1"/>
  <c r="AA51" i="7"/>
  <c r="AA58" i="7"/>
  <c r="AA56" i="7" s="1"/>
  <c r="AE51" i="7"/>
  <c r="AE58" i="7"/>
  <c r="AE56" i="7" s="1"/>
  <c r="J51" i="7"/>
  <c r="J58" i="7"/>
  <c r="J56" i="7" s="1"/>
  <c r="R51" i="7"/>
  <c r="R58" i="7"/>
  <c r="R56" i="7" s="1"/>
  <c r="Z51" i="7"/>
  <c r="Z58" i="7"/>
  <c r="Z56" i="7" s="1"/>
  <c r="G75" i="7"/>
  <c r="D53" i="7"/>
  <c r="B28" i="7"/>
  <c r="B26" i="7"/>
  <c r="B25" i="7" s="1"/>
  <c r="E28" i="7"/>
  <c r="E26" i="7"/>
  <c r="E25" i="7" s="1"/>
  <c r="C26" i="7"/>
  <c r="C40" i="7"/>
  <c r="C84" i="7"/>
  <c r="C9" i="7"/>
  <c r="G82" i="7"/>
  <c r="E81" i="7"/>
  <c r="G81" i="7" s="1"/>
  <c r="F38" i="7"/>
  <c r="F46" i="7"/>
  <c r="F49" i="7"/>
  <c r="B31" i="7"/>
  <c r="B45" i="7"/>
  <c r="G29" i="7"/>
  <c r="E37" i="7"/>
  <c r="F37" i="7" s="1"/>
  <c r="E40" i="7"/>
  <c r="E45" i="7"/>
  <c r="E48" i="7"/>
  <c r="F11" i="7"/>
  <c r="B34" i="7"/>
  <c r="F35" i="7"/>
  <c r="F67" i="7"/>
  <c r="E66" i="7"/>
  <c r="E72" i="7"/>
  <c r="G73" i="7"/>
  <c r="F81" i="7"/>
  <c r="F14" i="7"/>
  <c r="F17" i="7"/>
  <c r="F29" i="7"/>
  <c r="B72" i="7"/>
  <c r="F82" i="7"/>
  <c r="C110" i="7"/>
  <c r="C107" i="7"/>
  <c r="G23" i="7"/>
  <c r="F23" i="7"/>
  <c r="E22" i="7"/>
  <c r="F22" i="7" s="1"/>
  <c r="G32" i="7"/>
  <c r="G38" i="7"/>
  <c r="G46" i="7"/>
  <c r="G49" i="7"/>
  <c r="G70" i="7"/>
  <c r="G85" i="7"/>
  <c r="E16" i="7"/>
  <c r="F54" i="7"/>
  <c r="E118" i="7"/>
  <c r="E122" i="7" s="1"/>
  <c r="G54" i="7"/>
  <c r="G14" i="7"/>
  <c r="G17" i="7"/>
  <c r="G20" i="7"/>
  <c r="G35" i="7"/>
  <c r="F52" i="7"/>
  <c r="F69" i="7"/>
  <c r="D69" i="7"/>
  <c r="F70" i="7"/>
  <c r="D90" i="7"/>
  <c r="F94" i="7"/>
  <c r="B90" i="7"/>
  <c r="E93" i="7"/>
  <c r="G94" i="7"/>
  <c r="G11" i="7"/>
  <c r="E13" i="7"/>
  <c r="E19" i="7"/>
  <c r="F20" i="7"/>
  <c r="E34" i="7"/>
  <c r="C66" i="7"/>
  <c r="B93" i="7"/>
  <c r="D111" i="7"/>
  <c r="F108" i="7"/>
  <c r="G67" i="7"/>
  <c r="E114" i="7"/>
  <c r="E110" i="7"/>
  <c r="G108" i="7"/>
  <c r="I131" i="6"/>
  <c r="J131" i="6"/>
  <c r="J136" i="6" s="1"/>
  <c r="K131" i="6"/>
  <c r="L131" i="6"/>
  <c r="L136" i="6" s="1"/>
  <c r="M131" i="6"/>
  <c r="N131" i="6"/>
  <c r="N136" i="6" s="1"/>
  <c r="O131" i="6"/>
  <c r="P131" i="6"/>
  <c r="P136" i="6" s="1"/>
  <c r="Q131" i="6"/>
  <c r="R131" i="6"/>
  <c r="R136" i="6" s="1"/>
  <c r="S131" i="6"/>
  <c r="T131" i="6"/>
  <c r="T136" i="6" s="1"/>
  <c r="U131" i="6"/>
  <c r="V131" i="6"/>
  <c r="V136" i="6" s="1"/>
  <c r="W131" i="6"/>
  <c r="X131" i="6"/>
  <c r="X136" i="6" s="1"/>
  <c r="Y131" i="6"/>
  <c r="Z131" i="6"/>
  <c r="Z136" i="6" s="1"/>
  <c r="AA131" i="6"/>
  <c r="AB131" i="6"/>
  <c r="AB136" i="6" s="1"/>
  <c r="AC131" i="6"/>
  <c r="AD131" i="6"/>
  <c r="AD136" i="6" s="1"/>
  <c r="AE131" i="6"/>
  <c r="I132" i="6"/>
  <c r="K137" i="6"/>
  <c r="M137" i="6"/>
  <c r="O137" i="6"/>
  <c r="P137" i="6"/>
  <c r="Q137" i="6"/>
  <c r="S137" i="6"/>
  <c r="T137" i="6"/>
  <c r="U137" i="6"/>
  <c r="W137" i="6"/>
  <c r="X137" i="6"/>
  <c r="Y137" i="6"/>
  <c r="AA137" i="6"/>
  <c r="AB137" i="6"/>
  <c r="AC137" i="6"/>
  <c r="AE137" i="6"/>
  <c r="H131" i="6"/>
  <c r="H136" i="6" s="1"/>
  <c r="D131" i="6"/>
  <c r="D136" i="6" s="1"/>
  <c r="I124" i="6"/>
  <c r="J124" i="6"/>
  <c r="J128" i="6" s="1"/>
  <c r="K124" i="6"/>
  <c r="L124" i="6"/>
  <c r="L128" i="6" s="1"/>
  <c r="M124" i="6"/>
  <c r="N124" i="6"/>
  <c r="N128" i="6" s="1"/>
  <c r="O124" i="6"/>
  <c r="P124" i="6"/>
  <c r="P128" i="6" s="1"/>
  <c r="Q124" i="6"/>
  <c r="R124" i="6"/>
  <c r="R128" i="6" s="1"/>
  <c r="S124" i="6"/>
  <c r="T124" i="6"/>
  <c r="T128" i="6" s="1"/>
  <c r="U124" i="6"/>
  <c r="V124" i="6"/>
  <c r="V128" i="6" s="1"/>
  <c r="W124" i="6"/>
  <c r="X124" i="6"/>
  <c r="X128" i="6" s="1"/>
  <c r="Y124" i="6"/>
  <c r="Z124" i="6"/>
  <c r="Z128" i="6" s="1"/>
  <c r="AA124" i="6"/>
  <c r="AB124" i="6"/>
  <c r="AB128" i="6" s="1"/>
  <c r="AC124" i="6"/>
  <c r="AD124" i="6"/>
  <c r="AD128" i="6" s="1"/>
  <c r="AE124" i="6"/>
  <c r="I125" i="6"/>
  <c r="I129" i="6" s="1"/>
  <c r="J125" i="6"/>
  <c r="K125" i="6"/>
  <c r="K129" i="6" s="1"/>
  <c r="L125" i="6"/>
  <c r="M125" i="6"/>
  <c r="M129" i="6" s="1"/>
  <c r="N125" i="6"/>
  <c r="O125" i="6"/>
  <c r="O129" i="6" s="1"/>
  <c r="P125" i="6"/>
  <c r="Q125" i="6"/>
  <c r="Q129" i="6" s="1"/>
  <c r="R125" i="6"/>
  <c r="S125" i="6"/>
  <c r="S129" i="6" s="1"/>
  <c r="T125" i="6"/>
  <c r="U125" i="6"/>
  <c r="U129" i="6" s="1"/>
  <c r="V125" i="6"/>
  <c r="W125" i="6"/>
  <c r="W129" i="6" s="1"/>
  <c r="X125" i="6"/>
  <c r="Y125" i="6"/>
  <c r="Y129" i="6" s="1"/>
  <c r="Z125" i="6"/>
  <c r="AA125" i="6"/>
  <c r="AA129" i="6" s="1"/>
  <c r="AB125" i="6"/>
  <c r="AC125" i="6"/>
  <c r="AC129" i="6" s="1"/>
  <c r="AD125" i="6"/>
  <c r="AD129" i="6" s="1"/>
  <c r="AE125" i="6"/>
  <c r="AE129" i="6" s="1"/>
  <c r="H125" i="6"/>
  <c r="H129" i="6" s="1"/>
  <c r="H124" i="6"/>
  <c r="H132" i="6" s="1"/>
  <c r="H137" i="6" s="1"/>
  <c r="H120" i="6"/>
  <c r="B121" i="6"/>
  <c r="B120" i="6" s="1"/>
  <c r="D124" i="6"/>
  <c r="D128" i="6" s="1"/>
  <c r="C72" i="6"/>
  <c r="D72" i="6"/>
  <c r="D68" i="6"/>
  <c r="D66" i="6" s="1"/>
  <c r="E66" i="6" s="1"/>
  <c r="H68" i="6"/>
  <c r="H66" i="6" s="1"/>
  <c r="C43" i="6"/>
  <c r="H60" i="6"/>
  <c r="C37" i="6"/>
  <c r="L121" i="7" l="1"/>
  <c r="L119" i="7" s="1"/>
  <c r="F124" i="7"/>
  <c r="H65" i="6"/>
  <c r="H99" i="6"/>
  <c r="H98" i="6" s="1"/>
  <c r="H102" i="6"/>
  <c r="H101" i="6" s="1"/>
  <c r="I137" i="6"/>
  <c r="E132" i="6"/>
  <c r="C78" i="6"/>
  <c r="C71" i="6"/>
  <c r="F66" i="7"/>
  <c r="E100" i="7"/>
  <c r="E99" i="7" s="1"/>
  <c r="G84" i="7"/>
  <c r="G64" i="7"/>
  <c r="AB123" i="6"/>
  <c r="X123" i="6"/>
  <c r="T123" i="6"/>
  <c r="P123" i="6"/>
  <c r="L123" i="6"/>
  <c r="G107" i="7"/>
  <c r="G22" i="7"/>
  <c r="Z123" i="6"/>
  <c r="Z129" i="6"/>
  <c r="Z127" i="6" s="1"/>
  <c r="V123" i="6"/>
  <c r="V129" i="6"/>
  <c r="V127" i="6" s="1"/>
  <c r="R123" i="6"/>
  <c r="R129" i="6"/>
  <c r="R127" i="6" s="1"/>
  <c r="N123" i="6"/>
  <c r="N129" i="6"/>
  <c r="N127" i="6" s="1"/>
  <c r="J123" i="6"/>
  <c r="J129" i="6"/>
  <c r="J127" i="6" s="1"/>
  <c r="AE123" i="6"/>
  <c r="F28" i="7"/>
  <c r="G28" i="7"/>
  <c r="X121" i="7"/>
  <c r="X119" i="7" s="1"/>
  <c r="H121" i="7"/>
  <c r="H119" i="7" s="1"/>
  <c r="D51" i="7"/>
  <c r="D58" i="7"/>
  <c r="D56" i="7" s="1"/>
  <c r="B100" i="7"/>
  <c r="B63" i="7"/>
  <c r="F63" i="7" s="1"/>
  <c r="B53" i="7"/>
  <c r="F53" i="7" s="1"/>
  <c r="C53" i="7"/>
  <c r="E53" i="7"/>
  <c r="F45" i="7"/>
  <c r="G45" i="7"/>
  <c r="G37" i="7"/>
  <c r="G40" i="7"/>
  <c r="F42" i="7"/>
  <c r="G66" i="7"/>
  <c r="F64" i="7"/>
  <c r="G26" i="7"/>
  <c r="F16" i="7"/>
  <c r="G111" i="7"/>
  <c r="F40" i="7"/>
  <c r="G16" i="7"/>
  <c r="G42" i="7"/>
  <c r="F26" i="7"/>
  <c r="G72" i="7"/>
  <c r="F72" i="7"/>
  <c r="G110" i="7"/>
  <c r="E113" i="7"/>
  <c r="D114" i="7"/>
  <c r="D113" i="7" s="1"/>
  <c r="D110" i="7"/>
  <c r="E103" i="7"/>
  <c r="G34" i="7"/>
  <c r="F34" i="7"/>
  <c r="G19" i="7"/>
  <c r="F19" i="7"/>
  <c r="G91" i="7"/>
  <c r="E90" i="7"/>
  <c r="G118" i="7"/>
  <c r="F118" i="7"/>
  <c r="F110" i="7"/>
  <c r="B114" i="7"/>
  <c r="B113" i="7" s="1"/>
  <c r="F111" i="7"/>
  <c r="C100" i="7"/>
  <c r="G63" i="7"/>
  <c r="G52" i="7"/>
  <c r="G13" i="7"/>
  <c r="F13" i="7"/>
  <c r="G10" i="7"/>
  <c r="F10" i="7"/>
  <c r="G93" i="7"/>
  <c r="F93" i="7"/>
  <c r="F91" i="7"/>
  <c r="D100" i="7"/>
  <c r="D117" i="7" s="1"/>
  <c r="D121" i="7" s="1"/>
  <c r="D119" i="7" s="1"/>
  <c r="C68" i="6"/>
  <c r="C66" i="6" s="1"/>
  <c r="D71" i="6"/>
  <c r="AC123" i="6"/>
  <c r="AC128" i="6"/>
  <c r="AC127" i="6" s="1"/>
  <c r="AA123" i="6"/>
  <c r="AA128" i="6"/>
  <c r="AA127" i="6" s="1"/>
  <c r="Y123" i="6"/>
  <c r="Y128" i="6"/>
  <c r="Y127" i="6" s="1"/>
  <c r="W123" i="6"/>
  <c r="W128" i="6"/>
  <c r="W127" i="6" s="1"/>
  <c r="U123" i="6"/>
  <c r="U128" i="6"/>
  <c r="U127" i="6" s="1"/>
  <c r="S123" i="6"/>
  <c r="S128" i="6"/>
  <c r="S127" i="6" s="1"/>
  <c r="Q123" i="6"/>
  <c r="Q128" i="6"/>
  <c r="Q127" i="6" s="1"/>
  <c r="O123" i="6"/>
  <c r="O128" i="6"/>
  <c r="O127" i="6" s="1"/>
  <c r="M123" i="6"/>
  <c r="M128" i="6"/>
  <c r="M127" i="6" s="1"/>
  <c r="K123" i="6"/>
  <c r="K128" i="6"/>
  <c r="K127" i="6" s="1"/>
  <c r="I123" i="6"/>
  <c r="I128" i="6"/>
  <c r="I127" i="6" s="1"/>
  <c r="AB129" i="6"/>
  <c r="AB127" i="6" s="1"/>
  <c r="X129" i="6"/>
  <c r="X127" i="6" s="1"/>
  <c r="T129" i="6"/>
  <c r="T127" i="6" s="1"/>
  <c r="P129" i="6"/>
  <c r="P127" i="6" s="1"/>
  <c r="L129" i="6"/>
  <c r="L127" i="6" s="1"/>
  <c r="AE128" i="6"/>
  <c r="AE127" i="6" s="1"/>
  <c r="Z137" i="6"/>
  <c r="V137" i="6"/>
  <c r="R137" i="6"/>
  <c r="N137" i="6"/>
  <c r="L137" i="6"/>
  <c r="J137" i="6"/>
  <c r="AE136" i="6"/>
  <c r="AC136" i="6"/>
  <c r="AA136" i="6"/>
  <c r="Y136" i="6"/>
  <c r="W136" i="6"/>
  <c r="U136" i="6"/>
  <c r="S136" i="6"/>
  <c r="Q136" i="6"/>
  <c r="O136" i="6"/>
  <c r="M136" i="6"/>
  <c r="K136" i="6"/>
  <c r="I136" i="6"/>
  <c r="H123" i="6"/>
  <c r="H128" i="6"/>
  <c r="H127" i="6" s="1"/>
  <c r="C136" i="6"/>
  <c r="AD127" i="6"/>
  <c r="B124" i="6"/>
  <c r="B128" i="6" s="1"/>
  <c r="AD123" i="6"/>
  <c r="AD137" i="6"/>
  <c r="J59" i="6"/>
  <c r="L59" i="6"/>
  <c r="N59" i="6"/>
  <c r="P59" i="6"/>
  <c r="R59" i="6"/>
  <c r="T59" i="6"/>
  <c r="V59" i="6"/>
  <c r="X59" i="6"/>
  <c r="Z59" i="6"/>
  <c r="AB59" i="6"/>
  <c r="AD59" i="6"/>
  <c r="I60" i="6"/>
  <c r="K60" i="6"/>
  <c r="M60" i="6"/>
  <c r="O60" i="6"/>
  <c r="Q60" i="6"/>
  <c r="S60" i="6"/>
  <c r="U60" i="6"/>
  <c r="W60" i="6"/>
  <c r="Y60" i="6"/>
  <c r="AA60" i="6"/>
  <c r="AC60" i="6"/>
  <c r="AE60" i="6"/>
  <c r="V60" i="6"/>
  <c r="X60" i="6"/>
  <c r="AB60" i="6"/>
  <c r="AD60" i="6"/>
  <c r="C53" i="6"/>
  <c r="C59" i="6" s="1"/>
  <c r="D59" i="6"/>
  <c r="C60" i="6"/>
  <c r="I18" i="6"/>
  <c r="J18" i="6"/>
  <c r="K18" i="6"/>
  <c r="L18" i="6"/>
  <c r="M18" i="6"/>
  <c r="N18" i="6"/>
  <c r="O18" i="6"/>
  <c r="P18" i="6"/>
  <c r="Q18" i="6"/>
  <c r="R18" i="6"/>
  <c r="S18" i="6"/>
  <c r="U18" i="6"/>
  <c r="V18" i="6"/>
  <c r="W18" i="6"/>
  <c r="X18" i="6"/>
  <c r="Y18" i="6"/>
  <c r="AA18" i="6"/>
  <c r="AB18" i="6"/>
  <c r="AC18" i="6"/>
  <c r="AD18" i="6"/>
  <c r="H18" i="6"/>
  <c r="C18" i="6"/>
  <c r="I41" i="6"/>
  <c r="I40" i="6" s="1"/>
  <c r="J41" i="6"/>
  <c r="J40" i="6" s="1"/>
  <c r="K41" i="6"/>
  <c r="K40" i="6" s="1"/>
  <c r="L41" i="6"/>
  <c r="L40" i="6" s="1"/>
  <c r="M41" i="6"/>
  <c r="M40" i="6" s="1"/>
  <c r="N41" i="6"/>
  <c r="N40" i="6" s="1"/>
  <c r="O41" i="6"/>
  <c r="O40" i="6" s="1"/>
  <c r="P41" i="6"/>
  <c r="P40" i="6" s="1"/>
  <c r="Q41" i="6"/>
  <c r="Q40" i="6" s="1"/>
  <c r="R41" i="6"/>
  <c r="R40" i="6" s="1"/>
  <c r="S41" i="6"/>
  <c r="S40" i="6" s="1"/>
  <c r="T41" i="6"/>
  <c r="T40" i="6" s="1"/>
  <c r="U41" i="6"/>
  <c r="U40" i="6" s="1"/>
  <c r="V41" i="6"/>
  <c r="V40" i="6" s="1"/>
  <c r="W41" i="6"/>
  <c r="W40" i="6" s="1"/>
  <c r="X41" i="6"/>
  <c r="X40" i="6" s="1"/>
  <c r="Y41" i="6"/>
  <c r="Y40" i="6" s="1"/>
  <c r="Z41" i="6"/>
  <c r="Z40" i="6" s="1"/>
  <c r="AA41" i="6"/>
  <c r="AA40" i="6" s="1"/>
  <c r="AB41" i="6"/>
  <c r="AB40" i="6" s="1"/>
  <c r="AC41" i="6"/>
  <c r="AC40" i="6" s="1"/>
  <c r="AD41" i="6"/>
  <c r="AD40" i="6" s="1"/>
  <c r="AE41" i="6"/>
  <c r="AE40" i="6" s="1"/>
  <c r="H41" i="6"/>
  <c r="H40" i="6" s="1"/>
  <c r="E34" i="6"/>
  <c r="D34" i="6"/>
  <c r="I26" i="6"/>
  <c r="J26" i="6"/>
  <c r="K26" i="6"/>
  <c r="L26" i="6"/>
  <c r="M26" i="6"/>
  <c r="N26" i="6"/>
  <c r="O26" i="6"/>
  <c r="O55" i="6" s="1"/>
  <c r="P26" i="6"/>
  <c r="Q26" i="6"/>
  <c r="R26" i="6"/>
  <c r="S26" i="6"/>
  <c r="T26" i="6"/>
  <c r="U26" i="6"/>
  <c r="V26" i="6"/>
  <c r="W26" i="6"/>
  <c r="W55" i="6" s="1"/>
  <c r="X26" i="6"/>
  <c r="Y26" i="6"/>
  <c r="Z26" i="6"/>
  <c r="AA26" i="6"/>
  <c r="AB26" i="6"/>
  <c r="AD26" i="6"/>
  <c r="AE26" i="6"/>
  <c r="H26" i="6"/>
  <c r="D26" i="6"/>
  <c r="B11" i="6"/>
  <c r="I120" i="6"/>
  <c r="J120" i="6"/>
  <c r="K120" i="6"/>
  <c r="L120" i="6"/>
  <c r="M120" i="6"/>
  <c r="N120" i="6"/>
  <c r="O120" i="6"/>
  <c r="P120" i="6"/>
  <c r="Q120" i="6"/>
  <c r="R120" i="6"/>
  <c r="S120" i="6"/>
  <c r="T120" i="6"/>
  <c r="U120" i="6"/>
  <c r="V120" i="6"/>
  <c r="W120" i="6"/>
  <c r="X120" i="6"/>
  <c r="Y120" i="6"/>
  <c r="Z120" i="6"/>
  <c r="AA120" i="6"/>
  <c r="AB120" i="6"/>
  <c r="AC120" i="6"/>
  <c r="AD120" i="6"/>
  <c r="AE120" i="6"/>
  <c r="I116" i="6"/>
  <c r="J116" i="6"/>
  <c r="K116" i="6"/>
  <c r="L116" i="6"/>
  <c r="M116" i="6"/>
  <c r="N116" i="6"/>
  <c r="O116" i="6"/>
  <c r="P116" i="6"/>
  <c r="R116" i="6"/>
  <c r="S116" i="6"/>
  <c r="T116" i="6"/>
  <c r="U116" i="6"/>
  <c r="W116" i="6"/>
  <c r="X116" i="6"/>
  <c r="Y116" i="6"/>
  <c r="Z116" i="6"/>
  <c r="AA116" i="6"/>
  <c r="AB116" i="6"/>
  <c r="AC116" i="6"/>
  <c r="AD116" i="6"/>
  <c r="H116" i="6"/>
  <c r="I95" i="6"/>
  <c r="J95" i="6"/>
  <c r="K95" i="6"/>
  <c r="L95" i="6"/>
  <c r="M95" i="6"/>
  <c r="N95" i="6"/>
  <c r="O95" i="6"/>
  <c r="P95" i="6"/>
  <c r="Q95" i="6"/>
  <c r="R95" i="6"/>
  <c r="S95" i="6"/>
  <c r="T95" i="6"/>
  <c r="U95" i="6"/>
  <c r="V95" i="6"/>
  <c r="W95" i="6"/>
  <c r="X95" i="6"/>
  <c r="Y95" i="6"/>
  <c r="Z95" i="6"/>
  <c r="AA95" i="6"/>
  <c r="AB95" i="6"/>
  <c r="AD95" i="6"/>
  <c r="AE95" i="6"/>
  <c r="H95" i="6"/>
  <c r="I92" i="6"/>
  <c r="J92" i="6"/>
  <c r="K92" i="6"/>
  <c r="L92" i="6"/>
  <c r="M92" i="6"/>
  <c r="N92" i="6"/>
  <c r="O92" i="6"/>
  <c r="P92" i="6"/>
  <c r="Q92" i="6"/>
  <c r="R92" i="6"/>
  <c r="S92" i="6"/>
  <c r="T92" i="6"/>
  <c r="U92" i="6"/>
  <c r="V92" i="6"/>
  <c r="W92" i="6"/>
  <c r="X92" i="6"/>
  <c r="Y92" i="6"/>
  <c r="Z92" i="6"/>
  <c r="AA92" i="6"/>
  <c r="AB92" i="6"/>
  <c r="AC92" i="6"/>
  <c r="AD92" i="6"/>
  <c r="AE92" i="6"/>
  <c r="H92" i="6"/>
  <c r="I89" i="6"/>
  <c r="J89" i="6"/>
  <c r="K89" i="6"/>
  <c r="L89" i="6"/>
  <c r="M89" i="6"/>
  <c r="N89" i="6"/>
  <c r="O89" i="6"/>
  <c r="P89" i="6"/>
  <c r="Q89" i="6"/>
  <c r="R89" i="6"/>
  <c r="S89" i="6"/>
  <c r="T89" i="6"/>
  <c r="U89" i="6"/>
  <c r="V89" i="6"/>
  <c r="W89" i="6"/>
  <c r="X89" i="6"/>
  <c r="Y89" i="6"/>
  <c r="Z89" i="6"/>
  <c r="AA89" i="6"/>
  <c r="AB89" i="6"/>
  <c r="AD89" i="6"/>
  <c r="AE89" i="6"/>
  <c r="H89" i="6"/>
  <c r="I83" i="6"/>
  <c r="J83" i="6"/>
  <c r="K83" i="6"/>
  <c r="L83" i="6"/>
  <c r="M83" i="6"/>
  <c r="N83" i="6"/>
  <c r="O83" i="6"/>
  <c r="P83" i="6"/>
  <c r="Q83" i="6"/>
  <c r="R83" i="6"/>
  <c r="S83" i="6"/>
  <c r="T83" i="6"/>
  <c r="U83" i="6"/>
  <c r="V83" i="6"/>
  <c r="W83" i="6"/>
  <c r="X83" i="6"/>
  <c r="X78" i="6" s="1"/>
  <c r="X77" i="6" s="1"/>
  <c r="Y83" i="6"/>
  <c r="Z83" i="6"/>
  <c r="AA83" i="6"/>
  <c r="AB83" i="6"/>
  <c r="AC83" i="6"/>
  <c r="AD83" i="6"/>
  <c r="AE83" i="6"/>
  <c r="H83" i="6"/>
  <c r="F81" i="6"/>
  <c r="I74" i="6"/>
  <c r="J74" i="6"/>
  <c r="K74" i="6"/>
  <c r="L74" i="6"/>
  <c r="M74" i="6"/>
  <c r="N74" i="6"/>
  <c r="O74" i="6"/>
  <c r="P74" i="6"/>
  <c r="Q74" i="6"/>
  <c r="R74" i="6"/>
  <c r="S74" i="6"/>
  <c r="T74" i="6"/>
  <c r="U74" i="6"/>
  <c r="W74" i="6"/>
  <c r="X74" i="6"/>
  <c r="Y74" i="6"/>
  <c r="Z74" i="6"/>
  <c r="AA74" i="6"/>
  <c r="AB74" i="6"/>
  <c r="AD74" i="6"/>
  <c r="H74" i="6"/>
  <c r="I68" i="6"/>
  <c r="I66" i="6" s="1"/>
  <c r="J68" i="6"/>
  <c r="J66" i="6" s="1"/>
  <c r="J65" i="6" s="1"/>
  <c r="K68" i="6"/>
  <c r="K66" i="6" s="1"/>
  <c r="L68" i="6"/>
  <c r="L66" i="6" s="1"/>
  <c r="L65" i="6" s="1"/>
  <c r="M66" i="6"/>
  <c r="M65" i="6" s="1"/>
  <c r="N66" i="6"/>
  <c r="O66" i="6"/>
  <c r="P66" i="6"/>
  <c r="Q66" i="6"/>
  <c r="R66" i="6"/>
  <c r="S66" i="6"/>
  <c r="T66" i="6"/>
  <c r="U66" i="6"/>
  <c r="V66" i="6"/>
  <c r="W66" i="6"/>
  <c r="X66" i="6"/>
  <c r="Y66" i="6"/>
  <c r="Z66" i="6"/>
  <c r="AA66" i="6"/>
  <c r="AB66" i="6"/>
  <c r="AC66" i="6"/>
  <c r="AD66" i="6"/>
  <c r="AE66" i="6"/>
  <c r="I46" i="6"/>
  <c r="J46" i="6"/>
  <c r="K46" i="6"/>
  <c r="L46" i="6"/>
  <c r="M46" i="6"/>
  <c r="N46" i="6"/>
  <c r="O46" i="6"/>
  <c r="P46" i="6"/>
  <c r="Q46" i="6"/>
  <c r="R46" i="6"/>
  <c r="S46" i="6"/>
  <c r="T46" i="6"/>
  <c r="U46" i="6"/>
  <c r="V46" i="6"/>
  <c r="W46" i="6"/>
  <c r="X46" i="6"/>
  <c r="Y46" i="6"/>
  <c r="Z46" i="6"/>
  <c r="AA46" i="6"/>
  <c r="AB46" i="6"/>
  <c r="AC46" i="6"/>
  <c r="AD46" i="6"/>
  <c r="AE46" i="6"/>
  <c r="H46" i="6"/>
  <c r="B47" i="6"/>
  <c r="B46" i="6" s="1"/>
  <c r="C46" i="6"/>
  <c r="I43" i="6"/>
  <c r="J43" i="6"/>
  <c r="K43" i="6"/>
  <c r="L43" i="6"/>
  <c r="M43" i="6"/>
  <c r="N43" i="6"/>
  <c r="O43" i="6"/>
  <c r="P43" i="6"/>
  <c r="Q43" i="6"/>
  <c r="R43" i="6"/>
  <c r="S43" i="6"/>
  <c r="T43" i="6"/>
  <c r="U43" i="6"/>
  <c r="V43" i="6"/>
  <c r="W43" i="6"/>
  <c r="X43" i="6"/>
  <c r="Y43" i="6"/>
  <c r="Z43" i="6"/>
  <c r="AA43" i="6"/>
  <c r="AB43" i="6"/>
  <c r="AC43" i="6"/>
  <c r="AD43" i="6"/>
  <c r="AE43" i="6"/>
  <c r="H43" i="6"/>
  <c r="D37" i="6"/>
  <c r="B44" i="6"/>
  <c r="I37" i="6"/>
  <c r="J37" i="6"/>
  <c r="K37" i="6"/>
  <c r="L37" i="6"/>
  <c r="M37" i="6"/>
  <c r="N37" i="6"/>
  <c r="O37" i="6"/>
  <c r="P37" i="6"/>
  <c r="Q37" i="6"/>
  <c r="R37" i="6"/>
  <c r="S37" i="6"/>
  <c r="T37" i="6"/>
  <c r="U37" i="6"/>
  <c r="V37" i="6"/>
  <c r="W37" i="6"/>
  <c r="X37" i="6"/>
  <c r="Y37" i="6"/>
  <c r="Z37" i="6"/>
  <c r="AA37" i="6"/>
  <c r="AB37" i="6"/>
  <c r="AC37" i="6"/>
  <c r="AD37" i="6"/>
  <c r="H37" i="6"/>
  <c r="F38" i="6"/>
  <c r="E37" i="6"/>
  <c r="I31" i="6"/>
  <c r="J31" i="6"/>
  <c r="K31" i="6"/>
  <c r="L31" i="6"/>
  <c r="M31" i="6"/>
  <c r="N31" i="6"/>
  <c r="O31" i="6"/>
  <c r="P31" i="6"/>
  <c r="Q31" i="6"/>
  <c r="R31" i="6"/>
  <c r="S31" i="6"/>
  <c r="T31" i="6"/>
  <c r="U31" i="6"/>
  <c r="V31" i="6"/>
  <c r="W31" i="6"/>
  <c r="X31" i="6"/>
  <c r="Y31" i="6"/>
  <c r="Z31" i="6"/>
  <c r="AA31" i="6"/>
  <c r="AB31" i="6"/>
  <c r="AC31" i="6"/>
  <c r="AD31" i="6"/>
  <c r="AE31" i="6"/>
  <c r="H31" i="6"/>
  <c r="C31" i="6"/>
  <c r="B32" i="6"/>
  <c r="B31" i="6" s="1"/>
  <c r="C28" i="6"/>
  <c r="B29" i="6"/>
  <c r="B28" i="6" s="1"/>
  <c r="H28" i="6"/>
  <c r="I28" i="6"/>
  <c r="J28" i="6"/>
  <c r="K28" i="6"/>
  <c r="L28" i="6"/>
  <c r="M28" i="6"/>
  <c r="N28" i="6"/>
  <c r="O28" i="6"/>
  <c r="P28" i="6"/>
  <c r="Q28" i="6"/>
  <c r="R28" i="6"/>
  <c r="S28" i="6"/>
  <c r="T28" i="6"/>
  <c r="U28" i="6"/>
  <c r="V28" i="6"/>
  <c r="W28" i="6"/>
  <c r="X28" i="6"/>
  <c r="Y28" i="6"/>
  <c r="Z28" i="6"/>
  <c r="AA28" i="6"/>
  <c r="AB28" i="6"/>
  <c r="AC28" i="6"/>
  <c r="AD28" i="6"/>
  <c r="I22" i="6"/>
  <c r="J22" i="6"/>
  <c r="K22" i="6"/>
  <c r="L22" i="6"/>
  <c r="M22" i="6"/>
  <c r="N22" i="6"/>
  <c r="O22" i="6"/>
  <c r="P22" i="6"/>
  <c r="Q22" i="6"/>
  <c r="R22" i="6"/>
  <c r="S22" i="6"/>
  <c r="T22" i="6"/>
  <c r="U22" i="6"/>
  <c r="V22" i="6"/>
  <c r="W22" i="6"/>
  <c r="X22" i="6"/>
  <c r="Y22" i="6"/>
  <c r="Z22" i="6"/>
  <c r="AA22" i="6"/>
  <c r="AB22" i="6"/>
  <c r="AC22" i="6"/>
  <c r="AD22" i="6"/>
  <c r="AE22" i="6"/>
  <c r="H22" i="6"/>
  <c r="C22" i="6"/>
  <c r="B23" i="6"/>
  <c r="B19" i="6"/>
  <c r="I10" i="6"/>
  <c r="J10" i="6"/>
  <c r="K10" i="6"/>
  <c r="L10" i="6"/>
  <c r="M10" i="6"/>
  <c r="O10" i="6"/>
  <c r="P10" i="6"/>
  <c r="Q10" i="6"/>
  <c r="R10" i="6"/>
  <c r="S10" i="6"/>
  <c r="U10" i="6"/>
  <c r="V10" i="6"/>
  <c r="W10" i="6"/>
  <c r="X10" i="6"/>
  <c r="Y10" i="6"/>
  <c r="Z10" i="6"/>
  <c r="AA10" i="6"/>
  <c r="AB10" i="6"/>
  <c r="AC10" i="6"/>
  <c r="AD10" i="6"/>
  <c r="AE10" i="6"/>
  <c r="H10" i="6"/>
  <c r="I15" i="6"/>
  <c r="J15" i="6"/>
  <c r="K15" i="6"/>
  <c r="L15" i="6"/>
  <c r="M15" i="6"/>
  <c r="N15" i="6"/>
  <c r="O15" i="6"/>
  <c r="P15" i="6"/>
  <c r="Q15" i="6"/>
  <c r="R15" i="6"/>
  <c r="S15" i="6"/>
  <c r="T15" i="6"/>
  <c r="U15" i="6"/>
  <c r="V15" i="6"/>
  <c r="W15" i="6"/>
  <c r="X15" i="6"/>
  <c r="Y15" i="6"/>
  <c r="Z15" i="6"/>
  <c r="AA15" i="6"/>
  <c r="AB15" i="6"/>
  <c r="AD15" i="6"/>
  <c r="AE15" i="6"/>
  <c r="H15" i="6"/>
  <c r="C15" i="6"/>
  <c r="B16" i="6"/>
  <c r="E124" i="6"/>
  <c r="D120" i="6"/>
  <c r="C95" i="6"/>
  <c r="B96" i="6"/>
  <c r="F96" i="6" s="1"/>
  <c r="D95" i="6"/>
  <c r="E92" i="6"/>
  <c r="C92" i="6"/>
  <c r="B93" i="6"/>
  <c r="F93" i="6" s="1"/>
  <c r="D92" i="6"/>
  <c r="E89" i="6"/>
  <c r="B90" i="6"/>
  <c r="F90" i="6" s="1"/>
  <c r="D89" i="6"/>
  <c r="C89" i="6"/>
  <c r="E86" i="6"/>
  <c r="B87" i="6"/>
  <c r="B86" i="6" s="1"/>
  <c r="D86" i="6"/>
  <c r="C86" i="6"/>
  <c r="E83" i="6"/>
  <c r="B84" i="6"/>
  <c r="F84" i="6" s="1"/>
  <c r="D83" i="6"/>
  <c r="C83" i="6"/>
  <c r="R36" i="5"/>
  <c r="I69" i="5"/>
  <c r="J69" i="5"/>
  <c r="K69" i="5"/>
  <c r="L69" i="5"/>
  <c r="M69" i="5"/>
  <c r="N69" i="5"/>
  <c r="O69" i="5"/>
  <c r="P69" i="5"/>
  <c r="Q69" i="5"/>
  <c r="R69" i="5"/>
  <c r="S69" i="5"/>
  <c r="T69" i="5"/>
  <c r="U69" i="5"/>
  <c r="V69" i="5"/>
  <c r="W69" i="5"/>
  <c r="X69" i="5"/>
  <c r="Y69" i="5"/>
  <c r="Z69" i="5"/>
  <c r="AA69" i="5"/>
  <c r="AB69" i="5"/>
  <c r="AC69" i="5"/>
  <c r="AD69" i="5"/>
  <c r="AE69" i="5"/>
  <c r="H69" i="5"/>
  <c r="J64" i="5"/>
  <c r="K64" i="5"/>
  <c r="L64" i="5"/>
  <c r="M64" i="5"/>
  <c r="N64" i="5"/>
  <c r="O64" i="5"/>
  <c r="P64" i="5"/>
  <c r="Q64" i="5"/>
  <c r="R64" i="5"/>
  <c r="S64" i="5"/>
  <c r="T64" i="5"/>
  <c r="U64" i="5"/>
  <c r="V64" i="5"/>
  <c r="W64" i="5"/>
  <c r="X64" i="5"/>
  <c r="Y64" i="5"/>
  <c r="Z64" i="5"/>
  <c r="AA64" i="5"/>
  <c r="AB64" i="5"/>
  <c r="AC64" i="5"/>
  <c r="AD64" i="5"/>
  <c r="AE64" i="5"/>
  <c r="H64" i="5"/>
  <c r="H67" i="5" s="1"/>
  <c r="H66" i="5" s="1"/>
  <c r="I60" i="5"/>
  <c r="J60" i="5"/>
  <c r="K60" i="5"/>
  <c r="L60" i="5"/>
  <c r="M60" i="5"/>
  <c r="N60" i="5"/>
  <c r="O60" i="5"/>
  <c r="P60" i="5"/>
  <c r="Q60" i="5"/>
  <c r="R60" i="5"/>
  <c r="S60" i="5"/>
  <c r="T60" i="5"/>
  <c r="U60" i="5"/>
  <c r="V60" i="5"/>
  <c r="W60" i="5"/>
  <c r="X60" i="5"/>
  <c r="Y60" i="5"/>
  <c r="Z60" i="5"/>
  <c r="AA60" i="5"/>
  <c r="AB60" i="5"/>
  <c r="AC60" i="5"/>
  <c r="AD60" i="5"/>
  <c r="AE60" i="5"/>
  <c r="H60" i="5"/>
  <c r="B61" i="5"/>
  <c r="H57" i="5"/>
  <c r="H56" i="5" s="1"/>
  <c r="I50" i="5"/>
  <c r="J50" i="5"/>
  <c r="K50" i="5"/>
  <c r="L50" i="5"/>
  <c r="M50" i="5"/>
  <c r="N50" i="5"/>
  <c r="O50" i="5"/>
  <c r="P50" i="5"/>
  <c r="Q50" i="5"/>
  <c r="R50" i="5"/>
  <c r="S50" i="5"/>
  <c r="T50" i="5"/>
  <c r="U50" i="5"/>
  <c r="V50" i="5"/>
  <c r="W50" i="5"/>
  <c r="X50" i="5"/>
  <c r="Y50" i="5"/>
  <c r="Z50" i="5"/>
  <c r="AA50" i="5"/>
  <c r="AB50" i="5"/>
  <c r="AC50" i="5"/>
  <c r="AD50" i="5"/>
  <c r="AE50" i="5"/>
  <c r="H50" i="5"/>
  <c r="I39" i="5"/>
  <c r="J39" i="5"/>
  <c r="K39" i="5"/>
  <c r="L39" i="5"/>
  <c r="M39" i="5"/>
  <c r="N39" i="5"/>
  <c r="O39" i="5"/>
  <c r="P39" i="5"/>
  <c r="Q39" i="5"/>
  <c r="R39" i="5"/>
  <c r="S39" i="5"/>
  <c r="T39" i="5"/>
  <c r="U39" i="5"/>
  <c r="V39" i="5"/>
  <c r="W39" i="5"/>
  <c r="X39" i="5"/>
  <c r="Y39" i="5"/>
  <c r="Z39" i="5"/>
  <c r="AA39" i="5"/>
  <c r="AB39" i="5"/>
  <c r="AC39" i="5"/>
  <c r="AD39" i="5"/>
  <c r="AE39" i="5"/>
  <c r="H39" i="5"/>
  <c r="I36" i="5"/>
  <c r="J36" i="5"/>
  <c r="K36" i="5"/>
  <c r="L36" i="5"/>
  <c r="M36" i="5"/>
  <c r="N36" i="5"/>
  <c r="O36" i="5"/>
  <c r="P36" i="5"/>
  <c r="Q36" i="5"/>
  <c r="S36" i="5"/>
  <c r="T36" i="5"/>
  <c r="U36" i="5"/>
  <c r="V36" i="5"/>
  <c r="W36" i="5"/>
  <c r="X36" i="5"/>
  <c r="Y36" i="5"/>
  <c r="Z36" i="5"/>
  <c r="AA36" i="5"/>
  <c r="AB36" i="5"/>
  <c r="AC36" i="5"/>
  <c r="AD36" i="5"/>
  <c r="AE36" i="5"/>
  <c r="H36" i="5"/>
  <c r="I30" i="5"/>
  <c r="J30" i="5"/>
  <c r="K30" i="5"/>
  <c r="L30" i="5"/>
  <c r="M30" i="5"/>
  <c r="N30" i="5"/>
  <c r="O30" i="5"/>
  <c r="P30" i="5"/>
  <c r="Q30" i="5"/>
  <c r="R30" i="5"/>
  <c r="S30" i="5"/>
  <c r="T30" i="5"/>
  <c r="U30" i="5"/>
  <c r="V30" i="5"/>
  <c r="W30" i="5"/>
  <c r="X30" i="5"/>
  <c r="Y30" i="5"/>
  <c r="Z30" i="5"/>
  <c r="AA30" i="5"/>
  <c r="AB30" i="5"/>
  <c r="AC30" i="5"/>
  <c r="AD30" i="5"/>
  <c r="AE30" i="5"/>
  <c r="H30" i="5"/>
  <c r="B31" i="5"/>
  <c r="B30" i="5" s="1"/>
  <c r="J28" i="5"/>
  <c r="K28" i="5"/>
  <c r="L28" i="5"/>
  <c r="M28" i="5"/>
  <c r="N28" i="5"/>
  <c r="O28" i="5"/>
  <c r="P28" i="5"/>
  <c r="Q28" i="5"/>
  <c r="R28" i="5"/>
  <c r="S28" i="5"/>
  <c r="T28" i="5"/>
  <c r="U28" i="5"/>
  <c r="V28" i="5"/>
  <c r="W28" i="5"/>
  <c r="X28" i="5"/>
  <c r="Y28" i="5"/>
  <c r="Z28" i="5"/>
  <c r="AA28" i="5"/>
  <c r="AB28" i="5"/>
  <c r="AC28" i="5"/>
  <c r="AD28" i="5"/>
  <c r="AE28" i="5"/>
  <c r="H28" i="5"/>
  <c r="H17" i="5"/>
  <c r="H16" i="5" s="1"/>
  <c r="E33" i="5"/>
  <c r="B34" i="5"/>
  <c r="B33" i="5" s="1"/>
  <c r="D33" i="5"/>
  <c r="B125" i="6"/>
  <c r="B129" i="6" s="1"/>
  <c r="C74" i="6"/>
  <c r="B75" i="6"/>
  <c r="B74" i="6" s="1"/>
  <c r="D74" i="6"/>
  <c r="E68" i="6"/>
  <c r="B68" i="6"/>
  <c r="E117" i="7" l="1"/>
  <c r="C26" i="6"/>
  <c r="AC55" i="6"/>
  <c r="AC52" i="6" s="1"/>
  <c r="Y55" i="6"/>
  <c r="Y61" i="6" s="1"/>
  <c r="U55" i="6"/>
  <c r="U52" i="6" s="1"/>
  <c r="Q55" i="6"/>
  <c r="Q52" i="6" s="1"/>
  <c r="M55" i="6"/>
  <c r="M133" i="6" s="1"/>
  <c r="I55" i="6"/>
  <c r="I133" i="6" s="1"/>
  <c r="AD55" i="6"/>
  <c r="AD52" i="6" s="1"/>
  <c r="V55" i="6"/>
  <c r="V61" i="6" s="1"/>
  <c r="V58" i="6" s="1"/>
  <c r="N55" i="6"/>
  <c r="N61" i="6" s="1"/>
  <c r="X65" i="6"/>
  <c r="X102" i="6"/>
  <c r="X101" i="6" s="1"/>
  <c r="X99" i="6" s="1"/>
  <c r="X98" i="6" s="1"/>
  <c r="P65" i="6"/>
  <c r="P102" i="6"/>
  <c r="P101" i="6" s="1"/>
  <c r="P99" i="6" s="1"/>
  <c r="P98" i="6" s="1"/>
  <c r="AE65" i="6"/>
  <c r="AE102" i="6"/>
  <c r="AE101" i="6" s="1"/>
  <c r="AE99" i="6" s="1"/>
  <c r="AE98" i="6" s="1"/>
  <c r="W65" i="6"/>
  <c r="W102" i="6"/>
  <c r="W101" i="6" s="1"/>
  <c r="W99" i="6" s="1"/>
  <c r="W98" i="6" s="1"/>
  <c r="O65" i="6"/>
  <c r="O102" i="6"/>
  <c r="O101" i="6" s="1"/>
  <c r="O99" i="6" s="1"/>
  <c r="O98" i="6" s="1"/>
  <c r="AD65" i="6"/>
  <c r="AD102" i="6"/>
  <c r="AD101" i="6" s="1"/>
  <c r="AD99" i="6" s="1"/>
  <c r="AD98" i="6" s="1"/>
  <c r="V65" i="6"/>
  <c r="V102" i="6"/>
  <c r="V101" i="6" s="1"/>
  <c r="V99" i="6" s="1"/>
  <c r="V98" i="6" s="1"/>
  <c r="N65" i="6"/>
  <c r="N102" i="6"/>
  <c r="N101" i="6" s="1"/>
  <c r="N99" i="6" s="1"/>
  <c r="N98" i="6" s="1"/>
  <c r="AC65" i="6"/>
  <c r="AC102" i="6"/>
  <c r="AC101" i="6" s="1"/>
  <c r="AC99" i="6" s="1"/>
  <c r="AC98" i="6" s="1"/>
  <c r="U65" i="6"/>
  <c r="U102" i="6"/>
  <c r="U101" i="6" s="1"/>
  <c r="U99" i="6" s="1"/>
  <c r="U98" i="6" s="1"/>
  <c r="AB65" i="6"/>
  <c r="AB102" i="6"/>
  <c r="AB101" i="6" s="1"/>
  <c r="AB99" i="6" s="1"/>
  <c r="AB98" i="6" s="1"/>
  <c r="T65" i="6"/>
  <c r="T102" i="6"/>
  <c r="T101" i="6" s="1"/>
  <c r="T99" i="6" s="1"/>
  <c r="T98" i="6" s="1"/>
  <c r="AA65" i="6"/>
  <c r="AA102" i="6"/>
  <c r="AA101" i="6" s="1"/>
  <c r="AA99" i="6" s="1"/>
  <c r="AA98" i="6" s="1"/>
  <c r="S65" i="6"/>
  <c r="S102" i="6"/>
  <c r="S101" i="6" s="1"/>
  <c r="S99" i="6" s="1"/>
  <c r="S98" i="6" s="1"/>
  <c r="K65" i="6"/>
  <c r="K102" i="6"/>
  <c r="K101" i="6" s="1"/>
  <c r="K99" i="6" s="1"/>
  <c r="Z65" i="6"/>
  <c r="Z102" i="6"/>
  <c r="Z101" i="6" s="1"/>
  <c r="Z99" i="6" s="1"/>
  <c r="Z98" i="6" s="1"/>
  <c r="R65" i="6"/>
  <c r="R102" i="6"/>
  <c r="R101" i="6" s="1"/>
  <c r="R99" i="6" s="1"/>
  <c r="R98" i="6" s="1"/>
  <c r="AA55" i="6"/>
  <c r="AA52" i="6" s="1"/>
  <c r="S55" i="6"/>
  <c r="S133" i="6" s="1"/>
  <c r="K55" i="6"/>
  <c r="K52" i="6" s="1"/>
  <c r="Y65" i="6"/>
  <c r="Y102" i="6"/>
  <c r="Y101" i="6" s="1"/>
  <c r="Y99" i="6" s="1"/>
  <c r="Y98" i="6" s="1"/>
  <c r="Q65" i="6"/>
  <c r="Q102" i="6"/>
  <c r="Q101" i="6" s="1"/>
  <c r="Q99" i="6" s="1"/>
  <c r="Q98" i="6" s="1"/>
  <c r="I65" i="6"/>
  <c r="I102" i="6"/>
  <c r="I101" i="6" s="1"/>
  <c r="Z55" i="6"/>
  <c r="Z61" i="6" s="1"/>
  <c r="R55" i="6"/>
  <c r="J55" i="6"/>
  <c r="J61" i="6" s="1"/>
  <c r="C77" i="6"/>
  <c r="B66" i="6"/>
  <c r="B65" i="6" s="1"/>
  <c r="D117" i="6"/>
  <c r="F117" i="6" s="1"/>
  <c r="C33" i="5"/>
  <c r="G33" i="5" s="1"/>
  <c r="H55" i="6"/>
  <c r="AB55" i="6"/>
  <c r="AB61" i="6" s="1"/>
  <c r="AB58" i="6" s="1"/>
  <c r="X55" i="6"/>
  <c r="X61" i="6" s="1"/>
  <c r="X58" i="6" s="1"/>
  <c r="T55" i="6"/>
  <c r="T61" i="6" s="1"/>
  <c r="P55" i="6"/>
  <c r="L55" i="6"/>
  <c r="D22" i="6"/>
  <c r="C80" i="6"/>
  <c r="C124" i="6"/>
  <c r="B127" i="6"/>
  <c r="H22" i="5"/>
  <c r="H43" i="5" s="1"/>
  <c r="B80" i="6"/>
  <c r="F80" i="6" s="1"/>
  <c r="AE55" i="6"/>
  <c r="H63" i="5"/>
  <c r="H71" i="5"/>
  <c r="H70" i="5" s="1"/>
  <c r="H68" i="5"/>
  <c r="H27" i="5"/>
  <c r="H13" i="5"/>
  <c r="B92" i="6"/>
  <c r="F92" i="6" s="1"/>
  <c r="B89" i="6"/>
  <c r="F89" i="6" s="1"/>
  <c r="F33" i="5"/>
  <c r="B28" i="5"/>
  <c r="F34" i="5"/>
  <c r="G34" i="5"/>
  <c r="AE13" i="5"/>
  <c r="AE17" i="5"/>
  <c r="AE16" i="5" s="1"/>
  <c r="AD13" i="5"/>
  <c r="AD17" i="5"/>
  <c r="AD16" i="5" s="1"/>
  <c r="AC13" i="5"/>
  <c r="AC17" i="5"/>
  <c r="AC16" i="5" s="1"/>
  <c r="AB13" i="5"/>
  <c r="AB17" i="5"/>
  <c r="AB16" i="5" s="1"/>
  <c r="AA13" i="5"/>
  <c r="AA17" i="5"/>
  <c r="AA16" i="5" s="1"/>
  <c r="Z13" i="5"/>
  <c r="Z17" i="5"/>
  <c r="Z16" i="5" s="1"/>
  <c r="Y13" i="5"/>
  <c r="Y17" i="5"/>
  <c r="Y16" i="5" s="1"/>
  <c r="X13" i="5"/>
  <c r="X17" i="5"/>
  <c r="X16" i="5" s="1"/>
  <c r="W13" i="5"/>
  <c r="W17" i="5"/>
  <c r="W16" i="5" s="1"/>
  <c r="V13" i="5"/>
  <c r="V17" i="5"/>
  <c r="V16" i="5" s="1"/>
  <c r="U13" i="5"/>
  <c r="U17" i="5"/>
  <c r="U16" i="5" s="1"/>
  <c r="T13" i="5"/>
  <c r="T17" i="5"/>
  <c r="T16" i="5" s="1"/>
  <c r="S13" i="5"/>
  <c r="S17" i="5"/>
  <c r="S16" i="5" s="1"/>
  <c r="R13" i="5"/>
  <c r="R17" i="5"/>
  <c r="R16" i="5" s="1"/>
  <c r="Q13" i="5"/>
  <c r="Q17" i="5"/>
  <c r="Q16" i="5" s="1"/>
  <c r="P13" i="5"/>
  <c r="P17" i="5"/>
  <c r="P16" i="5" s="1"/>
  <c r="O13" i="5"/>
  <c r="O17" i="5"/>
  <c r="O16" i="5" s="1"/>
  <c r="N13" i="5"/>
  <c r="N17" i="5"/>
  <c r="N16" i="5" s="1"/>
  <c r="M13" i="5"/>
  <c r="M17" i="5"/>
  <c r="M16" i="5" s="1"/>
  <c r="L13" i="5"/>
  <c r="L17" i="5"/>
  <c r="L16" i="5" s="1"/>
  <c r="K13" i="5"/>
  <c r="K17" i="5"/>
  <c r="K16" i="5" s="1"/>
  <c r="J13" i="5"/>
  <c r="J17" i="5"/>
  <c r="J16" i="5" s="1"/>
  <c r="I13" i="5"/>
  <c r="I17" i="5"/>
  <c r="I16" i="5" s="1"/>
  <c r="AE27" i="5"/>
  <c r="AE22" i="5"/>
  <c r="AD27" i="5"/>
  <c r="AD22" i="5"/>
  <c r="AC27" i="5"/>
  <c r="AC22" i="5"/>
  <c r="AB27" i="5"/>
  <c r="AB22" i="5"/>
  <c r="AA27" i="5"/>
  <c r="AA22" i="5"/>
  <c r="Z27" i="5"/>
  <c r="Z22" i="5"/>
  <c r="Y27" i="5"/>
  <c r="Y22" i="5"/>
  <c r="X27" i="5"/>
  <c r="X22" i="5"/>
  <c r="W27" i="5"/>
  <c r="W22" i="5"/>
  <c r="V27" i="5"/>
  <c r="V22" i="5"/>
  <c r="U27" i="5"/>
  <c r="U22" i="5"/>
  <c r="T27" i="5"/>
  <c r="T22" i="5"/>
  <c r="T21" i="5" s="1"/>
  <c r="S27" i="5"/>
  <c r="S22" i="5"/>
  <c r="R27" i="5"/>
  <c r="R22" i="5"/>
  <c r="R21" i="5" s="1"/>
  <c r="Q27" i="5"/>
  <c r="Q22" i="5"/>
  <c r="P27" i="5"/>
  <c r="P22" i="5"/>
  <c r="O27" i="5"/>
  <c r="O22" i="5"/>
  <c r="N27" i="5"/>
  <c r="N22" i="5"/>
  <c r="M27" i="5"/>
  <c r="M22" i="5"/>
  <c r="L27" i="5"/>
  <c r="L22" i="5"/>
  <c r="K27" i="5"/>
  <c r="K22" i="5"/>
  <c r="J27" i="5"/>
  <c r="J22" i="5"/>
  <c r="I27" i="5"/>
  <c r="B50" i="5"/>
  <c r="B54" i="5"/>
  <c r="B53" i="5" s="1"/>
  <c r="AE53" i="5"/>
  <c r="AE57" i="5"/>
  <c r="AE56" i="5" s="1"/>
  <c r="AD57" i="5"/>
  <c r="AD56" i="5" s="1"/>
  <c r="AD53" i="5"/>
  <c r="AC53" i="5"/>
  <c r="AC57" i="5"/>
  <c r="AC56" i="5" s="1"/>
  <c r="AB57" i="5"/>
  <c r="AB56" i="5" s="1"/>
  <c r="AB53" i="5"/>
  <c r="AA53" i="5"/>
  <c r="AA57" i="5"/>
  <c r="AA56" i="5" s="1"/>
  <c r="Z57" i="5"/>
  <c r="Z56" i="5" s="1"/>
  <c r="Z53" i="5"/>
  <c r="Y53" i="5"/>
  <c r="Y57" i="5"/>
  <c r="Y56" i="5" s="1"/>
  <c r="X57" i="5"/>
  <c r="X56" i="5" s="1"/>
  <c r="X53" i="5"/>
  <c r="W53" i="5"/>
  <c r="W57" i="5"/>
  <c r="W56" i="5" s="1"/>
  <c r="V57" i="5"/>
  <c r="V56" i="5" s="1"/>
  <c r="V53" i="5"/>
  <c r="U53" i="5"/>
  <c r="U57" i="5"/>
  <c r="U56" i="5" s="1"/>
  <c r="T57" i="5"/>
  <c r="T56" i="5" s="1"/>
  <c r="T53" i="5"/>
  <c r="S53" i="5"/>
  <c r="S57" i="5"/>
  <c r="S56" i="5" s="1"/>
  <c r="R57" i="5"/>
  <c r="R56" i="5" s="1"/>
  <c r="R53" i="5"/>
  <c r="Q53" i="5"/>
  <c r="Q57" i="5"/>
  <c r="Q56" i="5" s="1"/>
  <c r="P57" i="5"/>
  <c r="P56" i="5" s="1"/>
  <c r="P53" i="5"/>
  <c r="O53" i="5"/>
  <c r="O57" i="5"/>
  <c r="O56" i="5" s="1"/>
  <c r="N57" i="5"/>
  <c r="N56" i="5" s="1"/>
  <c r="N53" i="5"/>
  <c r="M53" i="5"/>
  <c r="M57" i="5"/>
  <c r="M56" i="5" s="1"/>
  <c r="L57" i="5"/>
  <c r="L56" i="5" s="1"/>
  <c r="L53" i="5"/>
  <c r="K53" i="5"/>
  <c r="K57" i="5"/>
  <c r="K56" i="5" s="1"/>
  <c r="J57" i="5"/>
  <c r="J56" i="5" s="1"/>
  <c r="J53" i="5"/>
  <c r="I53" i="5"/>
  <c r="I57" i="5"/>
  <c r="I56" i="5" s="1"/>
  <c r="B64" i="5"/>
  <c r="B63" i="5" s="1"/>
  <c r="B60" i="5"/>
  <c r="AE63" i="5"/>
  <c r="AE67" i="5"/>
  <c r="AE66" i="5" s="1"/>
  <c r="AD67" i="5"/>
  <c r="AD66" i="5" s="1"/>
  <c r="AD63" i="5"/>
  <c r="AC63" i="5"/>
  <c r="AC67" i="5"/>
  <c r="AC66" i="5" s="1"/>
  <c r="AB67" i="5"/>
  <c r="AB66" i="5" s="1"/>
  <c r="AB63" i="5"/>
  <c r="AA63" i="5"/>
  <c r="AA67" i="5"/>
  <c r="AA66" i="5" s="1"/>
  <c r="Z67" i="5"/>
  <c r="Z66" i="5" s="1"/>
  <c r="Z63" i="5"/>
  <c r="Y63" i="5"/>
  <c r="Y67" i="5"/>
  <c r="Y66" i="5" s="1"/>
  <c r="X67" i="5"/>
  <c r="X66" i="5" s="1"/>
  <c r="X63" i="5"/>
  <c r="W63" i="5"/>
  <c r="W67" i="5"/>
  <c r="W66" i="5" s="1"/>
  <c r="V67" i="5"/>
  <c r="V66" i="5" s="1"/>
  <c r="V63" i="5"/>
  <c r="U63" i="5"/>
  <c r="U67" i="5"/>
  <c r="U66" i="5" s="1"/>
  <c r="T67" i="5"/>
  <c r="T66" i="5" s="1"/>
  <c r="T63" i="5"/>
  <c r="S63" i="5"/>
  <c r="S67" i="5"/>
  <c r="S66" i="5" s="1"/>
  <c r="R67" i="5"/>
  <c r="R66" i="5" s="1"/>
  <c r="R63" i="5"/>
  <c r="Q63" i="5"/>
  <c r="Q67" i="5"/>
  <c r="Q66" i="5" s="1"/>
  <c r="P67" i="5"/>
  <c r="P66" i="5" s="1"/>
  <c r="P63" i="5"/>
  <c r="O63" i="5"/>
  <c r="O67" i="5"/>
  <c r="O66" i="5" s="1"/>
  <c r="N67" i="5"/>
  <c r="N66" i="5" s="1"/>
  <c r="N63" i="5"/>
  <c r="M63" i="5"/>
  <c r="M67" i="5"/>
  <c r="M66" i="5" s="1"/>
  <c r="L67" i="5"/>
  <c r="L66" i="5" s="1"/>
  <c r="L63" i="5"/>
  <c r="K63" i="5"/>
  <c r="K67" i="5"/>
  <c r="K66" i="5" s="1"/>
  <c r="J67" i="5"/>
  <c r="J66" i="5" s="1"/>
  <c r="J63" i="5"/>
  <c r="I63" i="5"/>
  <c r="I67" i="5"/>
  <c r="I66" i="5" s="1"/>
  <c r="AE68" i="5"/>
  <c r="AE71" i="5"/>
  <c r="AE70" i="5" s="1"/>
  <c r="AD71" i="5"/>
  <c r="AD70" i="5" s="1"/>
  <c r="AD68" i="5"/>
  <c r="AC68" i="5"/>
  <c r="AC71" i="5"/>
  <c r="AC70" i="5" s="1"/>
  <c r="AB71" i="5"/>
  <c r="AB70" i="5" s="1"/>
  <c r="AB68" i="5"/>
  <c r="AA68" i="5"/>
  <c r="AA71" i="5"/>
  <c r="AA70" i="5" s="1"/>
  <c r="Z71" i="5"/>
  <c r="Z70" i="5" s="1"/>
  <c r="Z68" i="5"/>
  <c r="Y68" i="5"/>
  <c r="Y71" i="5"/>
  <c r="Y70" i="5" s="1"/>
  <c r="X71" i="5"/>
  <c r="X70" i="5" s="1"/>
  <c r="X68" i="5"/>
  <c r="W68" i="5"/>
  <c r="W71" i="5"/>
  <c r="W70" i="5" s="1"/>
  <c r="V71" i="5"/>
  <c r="V70" i="5" s="1"/>
  <c r="V68" i="5"/>
  <c r="U68" i="5"/>
  <c r="U71" i="5"/>
  <c r="U70" i="5" s="1"/>
  <c r="T71" i="5"/>
  <c r="T70" i="5" s="1"/>
  <c r="T68" i="5"/>
  <c r="S68" i="5"/>
  <c r="S71" i="5"/>
  <c r="S70" i="5" s="1"/>
  <c r="R71" i="5"/>
  <c r="R70" i="5" s="1"/>
  <c r="R68" i="5"/>
  <c r="Q68" i="5"/>
  <c r="Q71" i="5"/>
  <c r="Q70" i="5" s="1"/>
  <c r="P71" i="5"/>
  <c r="P70" i="5" s="1"/>
  <c r="P68" i="5"/>
  <c r="O68" i="5"/>
  <c r="O71" i="5"/>
  <c r="O70" i="5" s="1"/>
  <c r="N71" i="5"/>
  <c r="N70" i="5" s="1"/>
  <c r="N68" i="5"/>
  <c r="M68" i="5"/>
  <c r="M71" i="5"/>
  <c r="M70" i="5" s="1"/>
  <c r="L71" i="5"/>
  <c r="L70" i="5" s="1"/>
  <c r="L68" i="5"/>
  <c r="K68" i="5"/>
  <c r="K71" i="5"/>
  <c r="K70" i="5" s="1"/>
  <c r="J71" i="5"/>
  <c r="J70" i="5" s="1"/>
  <c r="J68" i="5"/>
  <c r="I68" i="5"/>
  <c r="I71" i="5"/>
  <c r="I70" i="5" s="1"/>
  <c r="W52" i="6"/>
  <c r="W61" i="6"/>
  <c r="U61" i="6"/>
  <c r="S52" i="6"/>
  <c r="O52" i="6"/>
  <c r="O61" i="6"/>
  <c r="B103" i="7"/>
  <c r="B102" i="7" s="1"/>
  <c r="B117" i="7"/>
  <c r="B121" i="7" s="1"/>
  <c r="B119" i="7" s="1"/>
  <c r="G53" i="7"/>
  <c r="D115" i="7"/>
  <c r="G114" i="7"/>
  <c r="C51" i="7"/>
  <c r="C58" i="7"/>
  <c r="C56" i="7" s="1"/>
  <c r="E51" i="7"/>
  <c r="E58" i="7"/>
  <c r="E56" i="7" s="1"/>
  <c r="B58" i="7"/>
  <c r="B56" i="7" s="1"/>
  <c r="B51" i="7"/>
  <c r="F51" i="7" s="1"/>
  <c r="F25" i="7"/>
  <c r="G25" i="7"/>
  <c r="B99" i="7"/>
  <c r="D103" i="7"/>
  <c r="D102" i="7" s="1"/>
  <c r="F100" i="7"/>
  <c r="D99" i="7"/>
  <c r="E102" i="7"/>
  <c r="G113" i="7"/>
  <c r="F113" i="7"/>
  <c r="G57" i="7"/>
  <c r="F57" i="7"/>
  <c r="C103" i="7"/>
  <c r="C102" i="7" s="1"/>
  <c r="C99" i="7"/>
  <c r="G99" i="7" s="1"/>
  <c r="G122" i="7"/>
  <c r="F122" i="7"/>
  <c r="G90" i="7"/>
  <c r="F90" i="7"/>
  <c r="G100" i="7"/>
  <c r="F114" i="7"/>
  <c r="E65" i="6"/>
  <c r="E74" i="6"/>
  <c r="F37" i="6"/>
  <c r="H25" i="6"/>
  <c r="C55" i="6"/>
  <c r="AD25" i="6"/>
  <c r="AB25" i="6"/>
  <c r="Z25" i="6"/>
  <c r="X25" i="6"/>
  <c r="V25" i="6"/>
  <c r="T25" i="6"/>
  <c r="R25" i="6"/>
  <c r="P25" i="6"/>
  <c r="N25" i="6"/>
  <c r="L25" i="6"/>
  <c r="J25" i="6"/>
  <c r="F75" i="6"/>
  <c r="B72" i="6"/>
  <c r="B116" i="6"/>
  <c r="E116" i="6"/>
  <c r="E125" i="6"/>
  <c r="E128" i="6"/>
  <c r="B18" i="6"/>
  <c r="B131" i="6"/>
  <c r="H59" i="6"/>
  <c r="C65" i="6"/>
  <c r="C99" i="6"/>
  <c r="D65" i="6"/>
  <c r="C116" i="6"/>
  <c r="C129" i="6"/>
  <c r="E77" i="6"/>
  <c r="B43" i="6"/>
  <c r="B78" i="6"/>
  <c r="D25" i="6"/>
  <c r="AE25" i="6"/>
  <c r="AC25" i="6"/>
  <c r="AA25" i="6"/>
  <c r="Y25" i="6"/>
  <c r="W25" i="6"/>
  <c r="U25" i="6"/>
  <c r="S25" i="6"/>
  <c r="Q25" i="6"/>
  <c r="O25" i="6"/>
  <c r="M25" i="6"/>
  <c r="K25" i="6"/>
  <c r="I25" i="6"/>
  <c r="H61" i="6"/>
  <c r="AD61" i="6"/>
  <c r="AD58" i="6" s="1"/>
  <c r="R61" i="6"/>
  <c r="P61" i="6"/>
  <c r="L61" i="6"/>
  <c r="Z60" i="6"/>
  <c r="T60" i="6"/>
  <c r="R60" i="6"/>
  <c r="P60" i="6"/>
  <c r="N60" i="6"/>
  <c r="L60" i="6"/>
  <c r="J60" i="6"/>
  <c r="AE59" i="6"/>
  <c r="AC59" i="6"/>
  <c r="AA59" i="6"/>
  <c r="Y59" i="6"/>
  <c r="W59" i="6"/>
  <c r="U59" i="6"/>
  <c r="S59" i="6"/>
  <c r="Q59" i="6"/>
  <c r="O59" i="6"/>
  <c r="M59" i="6"/>
  <c r="K59" i="6"/>
  <c r="I59" i="6"/>
  <c r="F87" i="6"/>
  <c r="F86" i="6"/>
  <c r="B15" i="6"/>
  <c r="C120" i="6"/>
  <c r="F121" i="6"/>
  <c r="B123" i="6"/>
  <c r="B83" i="6"/>
  <c r="F83" i="6" s="1"/>
  <c r="G37" i="6"/>
  <c r="C9" i="6"/>
  <c r="G96" i="6"/>
  <c r="B40" i="6"/>
  <c r="G121" i="6"/>
  <c r="G38" i="6"/>
  <c r="B22" i="6"/>
  <c r="G93" i="6"/>
  <c r="B95" i="6"/>
  <c r="G92" i="6"/>
  <c r="G81" i="6"/>
  <c r="G84" i="6"/>
  <c r="G87" i="6"/>
  <c r="G90" i="6"/>
  <c r="E95" i="6"/>
  <c r="E120" i="6"/>
  <c r="G89" i="6"/>
  <c r="G86" i="6"/>
  <c r="G83" i="6"/>
  <c r="G69" i="6"/>
  <c r="G117" i="6"/>
  <c r="G66" i="6"/>
  <c r="F68" i="6"/>
  <c r="F69" i="6"/>
  <c r="G68" i="6"/>
  <c r="G75" i="6"/>
  <c r="D66" i="5"/>
  <c r="E64" i="5"/>
  <c r="D63" i="5"/>
  <c r="F40" i="5"/>
  <c r="D60" i="5"/>
  <c r="C39" i="5"/>
  <c r="D39" i="5" s="1"/>
  <c r="B36" i="5"/>
  <c r="E36" i="5"/>
  <c r="C36" i="5"/>
  <c r="D36" i="5" s="1"/>
  <c r="D30" i="5"/>
  <c r="F31" i="5"/>
  <c r="B14" i="5"/>
  <c r="I61" i="6" l="1"/>
  <c r="K61" i="6"/>
  <c r="AA61" i="6"/>
  <c r="AA58" i="6" s="1"/>
  <c r="Y52" i="6"/>
  <c r="AC61" i="6"/>
  <c r="M61" i="6"/>
  <c r="N52" i="6"/>
  <c r="M52" i="6"/>
  <c r="V52" i="6"/>
  <c r="U133" i="6"/>
  <c r="F66" i="6"/>
  <c r="I52" i="6"/>
  <c r="Q61" i="6"/>
  <c r="Q58" i="6" s="1"/>
  <c r="S61" i="6"/>
  <c r="O133" i="6"/>
  <c r="O138" i="6" s="1"/>
  <c r="O135" i="6" s="1"/>
  <c r="F65" i="6"/>
  <c r="E63" i="5"/>
  <c r="F64" i="5"/>
  <c r="N133" i="6"/>
  <c r="N138" i="6" s="1"/>
  <c r="N135" i="6" s="1"/>
  <c r="V133" i="6"/>
  <c r="V130" i="6" s="1"/>
  <c r="W133" i="6"/>
  <c r="W138" i="6" s="1"/>
  <c r="W135" i="6" s="1"/>
  <c r="AE52" i="6"/>
  <c r="AE133" i="6"/>
  <c r="AE138" i="6" s="1"/>
  <c r="AE135" i="6" s="1"/>
  <c r="AA133" i="6"/>
  <c r="AA130" i="6" s="1"/>
  <c r="L52" i="6"/>
  <c r="L133" i="6"/>
  <c r="L130" i="6" s="1"/>
  <c r="P52" i="6"/>
  <c r="P133" i="6"/>
  <c r="P130" i="6" s="1"/>
  <c r="Q133" i="6"/>
  <c r="Q138" i="6" s="1"/>
  <c r="Q135" i="6" s="1"/>
  <c r="T52" i="6"/>
  <c r="T133" i="6"/>
  <c r="T138" i="6" s="1"/>
  <c r="T135" i="6" s="1"/>
  <c r="Y133" i="6"/>
  <c r="Y138" i="6" s="1"/>
  <c r="Y135" i="6" s="1"/>
  <c r="X52" i="6"/>
  <c r="X133" i="6"/>
  <c r="X138" i="6" s="1"/>
  <c r="X135" i="6" s="1"/>
  <c r="AC133" i="6"/>
  <c r="B132" i="6"/>
  <c r="B137" i="6" s="1"/>
  <c r="AB52" i="6"/>
  <c r="AB133" i="6"/>
  <c r="AB138" i="6" s="1"/>
  <c r="AB135" i="6" s="1"/>
  <c r="J52" i="6"/>
  <c r="J133" i="6"/>
  <c r="J138" i="6" s="1"/>
  <c r="J135" i="6" s="1"/>
  <c r="K98" i="6"/>
  <c r="E99" i="6"/>
  <c r="E102" i="6" s="1"/>
  <c r="AD133" i="6"/>
  <c r="AD138" i="6" s="1"/>
  <c r="AD135" i="6" s="1"/>
  <c r="H52" i="6"/>
  <c r="H133" i="6"/>
  <c r="H130" i="6" s="1"/>
  <c r="R52" i="6"/>
  <c r="R133" i="6"/>
  <c r="R138" i="6" s="1"/>
  <c r="R135" i="6" s="1"/>
  <c r="K133" i="6"/>
  <c r="K130" i="6" s="1"/>
  <c r="Z52" i="6"/>
  <c r="Z133" i="6"/>
  <c r="Z130" i="6" s="1"/>
  <c r="G80" i="6"/>
  <c r="F120" i="6"/>
  <c r="E129" i="6"/>
  <c r="E127" i="6" s="1"/>
  <c r="G95" i="6"/>
  <c r="G77" i="6"/>
  <c r="G74" i="6"/>
  <c r="D125" i="6"/>
  <c r="F125" i="6" s="1"/>
  <c r="D116" i="6"/>
  <c r="H21" i="5"/>
  <c r="B77" i="6"/>
  <c r="F77" i="6" s="1"/>
  <c r="G116" i="6"/>
  <c r="G78" i="6"/>
  <c r="G65" i="6"/>
  <c r="C25" i="6"/>
  <c r="N58" i="6"/>
  <c r="AE61" i="6"/>
  <c r="AE58" i="6" s="1"/>
  <c r="D27" i="5"/>
  <c r="G129" i="6"/>
  <c r="F74" i="6"/>
  <c r="G125" i="6"/>
  <c r="K58" i="6"/>
  <c r="O58" i="6"/>
  <c r="S58" i="6"/>
  <c r="W58" i="6"/>
  <c r="L58" i="6"/>
  <c r="I58" i="6"/>
  <c r="Y58" i="6"/>
  <c r="R58" i="6"/>
  <c r="R43" i="5"/>
  <c r="R42" i="5" s="1"/>
  <c r="M58" i="6"/>
  <c r="U58" i="6"/>
  <c r="AC58" i="6"/>
  <c r="H58" i="6"/>
  <c r="T43" i="5"/>
  <c r="T42" i="5" s="1"/>
  <c r="Z58" i="6"/>
  <c r="E123" i="6"/>
  <c r="F95" i="6"/>
  <c r="G51" i="7"/>
  <c r="F37" i="5"/>
  <c r="T58" i="6"/>
  <c r="F53" i="6"/>
  <c r="G58" i="7"/>
  <c r="P58" i="6"/>
  <c r="C28" i="5"/>
  <c r="C22" i="5" s="1"/>
  <c r="C30" i="5"/>
  <c r="E28" i="5"/>
  <c r="E30" i="5"/>
  <c r="G31" i="5"/>
  <c r="G37" i="5"/>
  <c r="G64" i="5"/>
  <c r="B25" i="6"/>
  <c r="B52" i="6" s="1"/>
  <c r="B136" i="6"/>
  <c r="C115" i="7"/>
  <c r="C121" i="7"/>
  <c r="C119" i="7" s="1"/>
  <c r="E115" i="7"/>
  <c r="E121" i="7"/>
  <c r="E119" i="7" s="1"/>
  <c r="I21" i="5"/>
  <c r="J43" i="5"/>
  <c r="J21" i="5"/>
  <c r="K43" i="5"/>
  <c r="K21" i="5"/>
  <c r="L43" i="5"/>
  <c r="L21" i="5"/>
  <c r="M43" i="5"/>
  <c r="M21" i="5"/>
  <c r="N43" i="5"/>
  <c r="N21" i="5"/>
  <c r="O43" i="5"/>
  <c r="O21" i="5"/>
  <c r="P43" i="5"/>
  <c r="P21" i="5"/>
  <c r="Q43" i="5"/>
  <c r="Q21" i="5"/>
  <c r="S43" i="5"/>
  <c r="S21" i="5"/>
  <c r="U43" i="5"/>
  <c r="U21" i="5"/>
  <c r="V43" i="5"/>
  <c r="V21" i="5"/>
  <c r="W43" i="5"/>
  <c r="W21" i="5"/>
  <c r="X43" i="5"/>
  <c r="X21" i="5"/>
  <c r="Y43" i="5"/>
  <c r="Y21" i="5"/>
  <c r="Z43" i="5"/>
  <c r="Z21" i="5"/>
  <c r="AA43" i="5"/>
  <c r="AA21" i="5"/>
  <c r="AB43" i="5"/>
  <c r="AB21" i="5"/>
  <c r="AC43" i="5"/>
  <c r="AC21" i="5"/>
  <c r="AD43" i="5"/>
  <c r="AD21" i="5"/>
  <c r="AE43" i="5"/>
  <c r="AE21" i="5"/>
  <c r="H46" i="5"/>
  <c r="H45" i="5" s="1"/>
  <c r="H42" i="5"/>
  <c r="B115" i="7"/>
  <c r="G117" i="7"/>
  <c r="F99" i="7"/>
  <c r="F58" i="7"/>
  <c r="G103" i="7"/>
  <c r="F103" i="7"/>
  <c r="G56" i="7"/>
  <c r="F56" i="7"/>
  <c r="F117" i="7"/>
  <c r="G102" i="7"/>
  <c r="F102" i="7"/>
  <c r="J58" i="6"/>
  <c r="C123" i="6"/>
  <c r="C128" i="6"/>
  <c r="C127" i="6" s="1"/>
  <c r="I138" i="6"/>
  <c r="I135" i="6" s="1"/>
  <c r="I130" i="6"/>
  <c r="M138" i="6"/>
  <c r="M135" i="6" s="1"/>
  <c r="M130" i="6"/>
  <c r="O130" i="6"/>
  <c r="S138" i="6"/>
  <c r="S135" i="6" s="1"/>
  <c r="S130" i="6"/>
  <c r="U138" i="6"/>
  <c r="U135" i="6" s="1"/>
  <c r="U130" i="6"/>
  <c r="F116" i="6"/>
  <c r="H138" i="6"/>
  <c r="H135" i="6" s="1"/>
  <c r="C98" i="6"/>
  <c r="C102" i="6"/>
  <c r="C101" i="6" s="1"/>
  <c r="B71" i="6"/>
  <c r="F71" i="6" s="1"/>
  <c r="B99" i="6"/>
  <c r="F72" i="6"/>
  <c r="E71" i="6"/>
  <c r="G72" i="6"/>
  <c r="G120" i="6"/>
  <c r="G40" i="5"/>
  <c r="B39" i="5"/>
  <c r="F39" i="5" s="1"/>
  <c r="G39" i="5"/>
  <c r="F36" i="5"/>
  <c r="G36" i="5"/>
  <c r="D54" i="5"/>
  <c r="C54" i="5"/>
  <c r="B27" i="5"/>
  <c r="B22" i="5"/>
  <c r="I57" i="4"/>
  <c r="J57" i="4"/>
  <c r="J60" i="4" s="1"/>
  <c r="J59" i="4" s="1"/>
  <c r="K57" i="4"/>
  <c r="K56" i="4" s="1"/>
  <c r="L57" i="4"/>
  <c r="M57" i="4"/>
  <c r="N57" i="4"/>
  <c r="N60" i="4" s="1"/>
  <c r="N59" i="4" s="1"/>
  <c r="O57" i="4"/>
  <c r="O56" i="4" s="1"/>
  <c r="P57" i="4"/>
  <c r="Q57" i="4"/>
  <c r="R57" i="4"/>
  <c r="R60" i="4" s="1"/>
  <c r="R59" i="4" s="1"/>
  <c r="S57" i="4"/>
  <c r="S56" i="4" s="1"/>
  <c r="T57" i="4"/>
  <c r="U57" i="4"/>
  <c r="V57" i="4"/>
  <c r="V60" i="4" s="1"/>
  <c r="V59" i="4" s="1"/>
  <c r="W57" i="4"/>
  <c r="W56" i="4" s="1"/>
  <c r="X57" i="4"/>
  <c r="Y57" i="4"/>
  <c r="Z57" i="4"/>
  <c r="Z60" i="4" s="1"/>
  <c r="Z59" i="4" s="1"/>
  <c r="AA57" i="4"/>
  <c r="AA56" i="4" s="1"/>
  <c r="AB57" i="4"/>
  <c r="AC57" i="4"/>
  <c r="AD57" i="4"/>
  <c r="AD60" i="4" s="1"/>
  <c r="AD59" i="4" s="1"/>
  <c r="AE57" i="4"/>
  <c r="AE56" i="4" s="1"/>
  <c r="H57" i="4"/>
  <c r="H60" i="4" s="1"/>
  <c r="H59" i="4" s="1"/>
  <c r="J53" i="4"/>
  <c r="K53" i="4"/>
  <c r="L53" i="4"/>
  <c r="M53" i="4"/>
  <c r="N53" i="4"/>
  <c r="O53" i="4"/>
  <c r="P53" i="4"/>
  <c r="Q53" i="4"/>
  <c r="R53" i="4"/>
  <c r="S53" i="4"/>
  <c r="T53" i="4"/>
  <c r="U53" i="4"/>
  <c r="V53" i="4"/>
  <c r="W53" i="4"/>
  <c r="X53" i="4"/>
  <c r="Y53" i="4"/>
  <c r="Z53" i="4"/>
  <c r="AA53" i="4"/>
  <c r="AB53" i="4"/>
  <c r="AC53" i="4"/>
  <c r="AD53" i="4"/>
  <c r="AE53" i="4"/>
  <c r="H53" i="4"/>
  <c r="I49" i="4"/>
  <c r="J49" i="4"/>
  <c r="K49" i="4"/>
  <c r="L49" i="4"/>
  <c r="M49" i="4"/>
  <c r="N49" i="4"/>
  <c r="O49" i="4"/>
  <c r="R49" i="4"/>
  <c r="S49" i="4"/>
  <c r="T49" i="4"/>
  <c r="U49" i="4"/>
  <c r="V49" i="4"/>
  <c r="W49" i="4"/>
  <c r="X49" i="4"/>
  <c r="Y49" i="4"/>
  <c r="Z49" i="4"/>
  <c r="AA49" i="4"/>
  <c r="AB49" i="4"/>
  <c r="AC49" i="4"/>
  <c r="AD49" i="4"/>
  <c r="AE49" i="4"/>
  <c r="H49" i="4"/>
  <c r="K40" i="4"/>
  <c r="L40" i="4"/>
  <c r="L44" i="4" s="1"/>
  <c r="M40" i="4"/>
  <c r="N40" i="4"/>
  <c r="N44" i="4" s="1"/>
  <c r="O40" i="4"/>
  <c r="P40" i="4"/>
  <c r="P44" i="4" s="1"/>
  <c r="Q40" i="4"/>
  <c r="R40" i="4"/>
  <c r="R44" i="4" s="1"/>
  <c r="S40" i="4"/>
  <c r="T40" i="4"/>
  <c r="T44" i="4" s="1"/>
  <c r="U40" i="4"/>
  <c r="V40" i="4"/>
  <c r="V44" i="4" s="1"/>
  <c r="W40" i="4"/>
  <c r="X40" i="4"/>
  <c r="X44" i="4" s="1"/>
  <c r="Y40" i="4"/>
  <c r="Z40" i="4"/>
  <c r="Z44" i="4" s="1"/>
  <c r="AA40" i="4"/>
  <c r="AB40" i="4"/>
  <c r="AB44" i="4" s="1"/>
  <c r="AC40" i="4"/>
  <c r="AD40" i="4"/>
  <c r="AD44" i="4" s="1"/>
  <c r="AE40" i="4"/>
  <c r="K41" i="4"/>
  <c r="L41" i="4"/>
  <c r="L64" i="4" s="1"/>
  <c r="L68" i="4" s="1"/>
  <c r="M41" i="4"/>
  <c r="N41" i="4"/>
  <c r="N64" i="4" s="1"/>
  <c r="N68" i="4" s="1"/>
  <c r="O41" i="4"/>
  <c r="P41" i="4"/>
  <c r="P64" i="4" s="1"/>
  <c r="P68" i="4" s="1"/>
  <c r="Q41" i="4"/>
  <c r="R41" i="4"/>
  <c r="R64" i="4" s="1"/>
  <c r="R68" i="4" s="1"/>
  <c r="S41" i="4"/>
  <c r="T41" i="4"/>
  <c r="T64" i="4" s="1"/>
  <c r="T68" i="4" s="1"/>
  <c r="U41" i="4"/>
  <c r="V41" i="4"/>
  <c r="V64" i="4" s="1"/>
  <c r="V68" i="4" s="1"/>
  <c r="W41" i="4"/>
  <c r="X41" i="4"/>
  <c r="X64" i="4" s="1"/>
  <c r="X68" i="4" s="1"/>
  <c r="Y41" i="4"/>
  <c r="Z41" i="4"/>
  <c r="Z64" i="4" s="1"/>
  <c r="Z68" i="4" s="1"/>
  <c r="AA41" i="4"/>
  <c r="AB41" i="4"/>
  <c r="AB64" i="4" s="1"/>
  <c r="AB68" i="4" s="1"/>
  <c r="AC41" i="4"/>
  <c r="AD41" i="4"/>
  <c r="AE41" i="4"/>
  <c r="I40" i="4"/>
  <c r="J40" i="4"/>
  <c r="I41" i="4"/>
  <c r="J41" i="4"/>
  <c r="H41" i="4"/>
  <c r="H40" i="4"/>
  <c r="I36" i="4"/>
  <c r="J36" i="4"/>
  <c r="K36" i="4"/>
  <c r="L36" i="4"/>
  <c r="M36" i="4"/>
  <c r="N36" i="4"/>
  <c r="O36" i="4"/>
  <c r="P36" i="4"/>
  <c r="Q36" i="4"/>
  <c r="R36" i="4"/>
  <c r="S36" i="4"/>
  <c r="T36" i="4"/>
  <c r="U36" i="4"/>
  <c r="V36" i="4"/>
  <c r="W36" i="4"/>
  <c r="X36" i="4"/>
  <c r="Y36" i="4"/>
  <c r="Z36" i="4"/>
  <c r="AA36" i="4"/>
  <c r="AB36" i="4"/>
  <c r="AC36" i="4"/>
  <c r="AD36" i="4"/>
  <c r="AE36" i="4"/>
  <c r="H36" i="4"/>
  <c r="I23" i="3"/>
  <c r="J23" i="3"/>
  <c r="K23" i="3"/>
  <c r="L23" i="3"/>
  <c r="M23" i="3"/>
  <c r="N23" i="3"/>
  <c r="O23" i="3"/>
  <c r="P23" i="3"/>
  <c r="Q23" i="3"/>
  <c r="R23" i="3"/>
  <c r="S23" i="3"/>
  <c r="T23" i="3"/>
  <c r="V23" i="3"/>
  <c r="W23" i="3"/>
  <c r="X23" i="3"/>
  <c r="Y23" i="3"/>
  <c r="Z23" i="3"/>
  <c r="AA23" i="3"/>
  <c r="AB23" i="3"/>
  <c r="AC23" i="3"/>
  <c r="AD23" i="3"/>
  <c r="AE23" i="3"/>
  <c r="H23" i="3"/>
  <c r="I20" i="3"/>
  <c r="J20" i="3"/>
  <c r="K20" i="3"/>
  <c r="L20" i="3"/>
  <c r="M20" i="3"/>
  <c r="N20" i="3"/>
  <c r="O20" i="3"/>
  <c r="P20" i="3"/>
  <c r="Q20" i="3"/>
  <c r="R20" i="3"/>
  <c r="S20" i="3"/>
  <c r="T20" i="3"/>
  <c r="U20" i="3"/>
  <c r="V20" i="3"/>
  <c r="W20" i="3"/>
  <c r="X20" i="3"/>
  <c r="Y20" i="3"/>
  <c r="Z20" i="3"/>
  <c r="AA20" i="3"/>
  <c r="AB20" i="3"/>
  <c r="AC20" i="3"/>
  <c r="AD20" i="3"/>
  <c r="AE20" i="3"/>
  <c r="H20" i="3"/>
  <c r="D20" i="3"/>
  <c r="I17" i="3"/>
  <c r="J17" i="3"/>
  <c r="K17" i="3"/>
  <c r="L17" i="3"/>
  <c r="M17" i="3"/>
  <c r="N17" i="3"/>
  <c r="O17" i="3"/>
  <c r="P17" i="3"/>
  <c r="Q17" i="3"/>
  <c r="R17" i="3"/>
  <c r="S17" i="3"/>
  <c r="T17" i="3"/>
  <c r="U17" i="3"/>
  <c r="V17" i="3"/>
  <c r="W17" i="3"/>
  <c r="X17" i="3"/>
  <c r="Y17" i="3"/>
  <c r="Z17" i="3"/>
  <c r="AA17" i="3"/>
  <c r="AB17" i="3"/>
  <c r="AC17" i="3"/>
  <c r="AD17" i="3"/>
  <c r="AE17" i="3"/>
  <c r="H17" i="3"/>
  <c r="I14" i="3"/>
  <c r="J14" i="3"/>
  <c r="J12" i="3" s="1"/>
  <c r="J11" i="3" s="1"/>
  <c r="K14" i="3"/>
  <c r="K12" i="3" s="1"/>
  <c r="L14" i="3"/>
  <c r="L12" i="3" s="1"/>
  <c r="L11" i="3" s="1"/>
  <c r="M14" i="3"/>
  <c r="M12" i="3" s="1"/>
  <c r="O14" i="3"/>
  <c r="O12" i="3" s="1"/>
  <c r="P14" i="3"/>
  <c r="P12" i="3" s="1"/>
  <c r="P11" i="3" s="1"/>
  <c r="Q14" i="3"/>
  <c r="Q12" i="3" s="1"/>
  <c r="Q11" i="3" s="1"/>
  <c r="R14" i="3"/>
  <c r="S14" i="3"/>
  <c r="S12" i="3" s="1"/>
  <c r="T14" i="3"/>
  <c r="U14" i="3"/>
  <c r="U12" i="3" s="1"/>
  <c r="U11" i="3" s="1"/>
  <c r="V14" i="3"/>
  <c r="W14" i="3"/>
  <c r="W12" i="3" s="1"/>
  <c r="X14" i="3"/>
  <c r="Y14" i="3"/>
  <c r="Y12" i="3" s="1"/>
  <c r="Y11" i="3" s="1"/>
  <c r="AA14" i="3"/>
  <c r="AA12" i="3" s="1"/>
  <c r="AB14" i="3"/>
  <c r="AC14" i="3"/>
  <c r="AC12" i="3" s="1"/>
  <c r="AC11" i="3" s="1"/>
  <c r="AD14" i="3"/>
  <c r="AE14" i="3"/>
  <c r="AE12" i="3" s="1"/>
  <c r="AE11" i="3" s="1"/>
  <c r="H14" i="3"/>
  <c r="H12" i="3" s="1"/>
  <c r="H11" i="3" s="1"/>
  <c r="I51" i="2"/>
  <c r="J51" i="2"/>
  <c r="K51" i="2"/>
  <c r="L51" i="2"/>
  <c r="M51" i="2"/>
  <c r="N51" i="2"/>
  <c r="O51" i="2"/>
  <c r="P51" i="2"/>
  <c r="Q51" i="2"/>
  <c r="R51" i="2"/>
  <c r="S51" i="2"/>
  <c r="T51" i="2"/>
  <c r="U51" i="2"/>
  <c r="V51" i="2"/>
  <c r="W51" i="2"/>
  <c r="X51" i="2"/>
  <c r="Y51" i="2"/>
  <c r="Z51" i="2"/>
  <c r="AA51" i="2"/>
  <c r="AB51" i="2"/>
  <c r="AC51" i="2"/>
  <c r="AD51" i="2"/>
  <c r="AE51" i="2"/>
  <c r="H51" i="2"/>
  <c r="D51" i="2"/>
  <c r="E51" i="2"/>
  <c r="I33" i="2"/>
  <c r="J33" i="2"/>
  <c r="K33" i="2"/>
  <c r="L33" i="2"/>
  <c r="M33" i="2"/>
  <c r="N33" i="2"/>
  <c r="O33" i="2"/>
  <c r="P33" i="2"/>
  <c r="Q33" i="2"/>
  <c r="R33" i="2"/>
  <c r="S33" i="2"/>
  <c r="T33" i="2"/>
  <c r="U33" i="2"/>
  <c r="V33" i="2"/>
  <c r="W33" i="2"/>
  <c r="X33" i="2"/>
  <c r="Y33" i="2"/>
  <c r="Z33" i="2"/>
  <c r="AA33" i="2"/>
  <c r="AB33" i="2"/>
  <c r="AC33" i="2"/>
  <c r="AD33" i="2"/>
  <c r="AE33" i="2"/>
  <c r="H33" i="2"/>
  <c r="D33" i="2"/>
  <c r="I30" i="2"/>
  <c r="J30" i="2"/>
  <c r="K30" i="2"/>
  <c r="L30" i="2"/>
  <c r="M30" i="2"/>
  <c r="N30" i="2"/>
  <c r="O30" i="2"/>
  <c r="P30" i="2"/>
  <c r="Q30" i="2"/>
  <c r="R30" i="2"/>
  <c r="S30" i="2"/>
  <c r="T30" i="2"/>
  <c r="U30" i="2"/>
  <c r="V30" i="2"/>
  <c r="W30" i="2"/>
  <c r="X30" i="2"/>
  <c r="Y30" i="2"/>
  <c r="Z30" i="2"/>
  <c r="AA30" i="2"/>
  <c r="AB30" i="2"/>
  <c r="AC30" i="2"/>
  <c r="AD30" i="2"/>
  <c r="AE30" i="2"/>
  <c r="H30" i="2"/>
  <c r="I26" i="2"/>
  <c r="J26" i="2"/>
  <c r="K26" i="2"/>
  <c r="L26" i="2"/>
  <c r="M26" i="2"/>
  <c r="N26" i="2"/>
  <c r="O26" i="2"/>
  <c r="P26" i="2"/>
  <c r="Q26" i="2"/>
  <c r="S26" i="2"/>
  <c r="T26" i="2"/>
  <c r="U26" i="2"/>
  <c r="V26" i="2"/>
  <c r="W26" i="2"/>
  <c r="X26" i="2"/>
  <c r="Y26" i="2"/>
  <c r="Z26" i="2"/>
  <c r="AA26" i="2"/>
  <c r="AB26" i="2"/>
  <c r="AC26" i="2"/>
  <c r="AD26" i="2"/>
  <c r="AE26" i="2"/>
  <c r="H26" i="2"/>
  <c r="D26" i="2"/>
  <c r="I22" i="2"/>
  <c r="J22" i="2"/>
  <c r="K22" i="2"/>
  <c r="L22" i="2"/>
  <c r="M22" i="2"/>
  <c r="N22" i="2"/>
  <c r="O22" i="2"/>
  <c r="P22" i="2"/>
  <c r="Q22" i="2"/>
  <c r="R22" i="2"/>
  <c r="S22" i="2"/>
  <c r="T22" i="2"/>
  <c r="U22" i="2"/>
  <c r="V22" i="2"/>
  <c r="W22" i="2"/>
  <c r="X22" i="2"/>
  <c r="Y22" i="2"/>
  <c r="Z22" i="2"/>
  <c r="AA22" i="2"/>
  <c r="AB22" i="2"/>
  <c r="AC22" i="2"/>
  <c r="AD22" i="2"/>
  <c r="AE22" i="2"/>
  <c r="H22" i="2"/>
  <c r="D22" i="2"/>
  <c r="I14" i="2"/>
  <c r="J14" i="2"/>
  <c r="K14" i="2"/>
  <c r="L14" i="2"/>
  <c r="M14" i="2"/>
  <c r="N14" i="2"/>
  <c r="O14" i="2"/>
  <c r="P14" i="2"/>
  <c r="Q14" i="2"/>
  <c r="R14" i="2"/>
  <c r="S14" i="2"/>
  <c r="T14" i="2"/>
  <c r="U14" i="2"/>
  <c r="V14" i="2"/>
  <c r="W14" i="2"/>
  <c r="X14" i="2"/>
  <c r="Y14" i="2"/>
  <c r="Z14" i="2"/>
  <c r="AA14" i="2"/>
  <c r="AB14" i="2"/>
  <c r="AC14" i="2"/>
  <c r="AD14" i="2"/>
  <c r="AE14" i="2"/>
  <c r="H14" i="2"/>
  <c r="AD23" i="4"/>
  <c r="I19" i="4"/>
  <c r="I18" i="4" s="1"/>
  <c r="J19" i="4"/>
  <c r="J18" i="4" s="1"/>
  <c r="K19" i="4"/>
  <c r="K18" i="4" s="1"/>
  <c r="L19" i="4"/>
  <c r="L18" i="4" s="1"/>
  <c r="M19" i="4"/>
  <c r="M18" i="4" s="1"/>
  <c r="N19" i="4"/>
  <c r="N18" i="4" s="1"/>
  <c r="O19" i="4"/>
  <c r="O18" i="4" s="1"/>
  <c r="P19" i="4"/>
  <c r="P18" i="4" s="1"/>
  <c r="Q19" i="4"/>
  <c r="Q18" i="4" s="1"/>
  <c r="R19" i="4"/>
  <c r="R18" i="4" s="1"/>
  <c r="S19" i="4"/>
  <c r="S18" i="4" s="1"/>
  <c r="T19" i="4"/>
  <c r="T18" i="4" s="1"/>
  <c r="U19" i="4"/>
  <c r="U18" i="4" s="1"/>
  <c r="V19" i="4"/>
  <c r="V18" i="4" s="1"/>
  <c r="W19" i="4"/>
  <c r="W18" i="4" s="1"/>
  <c r="X19" i="4"/>
  <c r="X18" i="4" s="1"/>
  <c r="Y19" i="4"/>
  <c r="Y18" i="4" s="1"/>
  <c r="Z19" i="4"/>
  <c r="Z18" i="4" s="1"/>
  <c r="AA19" i="4"/>
  <c r="AA18" i="4" s="1"/>
  <c r="AB19" i="4"/>
  <c r="AB18" i="4" s="1"/>
  <c r="AC19" i="4"/>
  <c r="AC18" i="4" s="1"/>
  <c r="AD19" i="4"/>
  <c r="AD18" i="4" s="1"/>
  <c r="AE19" i="4"/>
  <c r="AE18" i="4" s="1"/>
  <c r="H19" i="4"/>
  <c r="H18" i="4" s="1"/>
  <c r="AD16" i="4"/>
  <c r="AD15" i="4" s="1"/>
  <c r="I13" i="4"/>
  <c r="I12" i="4" s="1"/>
  <c r="J13" i="4"/>
  <c r="J12" i="4" s="1"/>
  <c r="K13" i="4"/>
  <c r="K12" i="4" s="1"/>
  <c r="L13" i="4"/>
  <c r="L12" i="4" s="1"/>
  <c r="M13" i="4"/>
  <c r="M12" i="4" s="1"/>
  <c r="N13" i="4"/>
  <c r="N12" i="4" s="1"/>
  <c r="O13" i="4"/>
  <c r="O12" i="4" s="1"/>
  <c r="P13" i="4"/>
  <c r="P12" i="4" s="1"/>
  <c r="Q13" i="4"/>
  <c r="Q12" i="4" s="1"/>
  <c r="R13" i="4"/>
  <c r="R12" i="4" s="1"/>
  <c r="S13" i="4"/>
  <c r="S12" i="4" s="1"/>
  <c r="T13" i="4"/>
  <c r="T12" i="4" s="1"/>
  <c r="U12" i="4"/>
  <c r="V13" i="4"/>
  <c r="V12" i="4" s="1"/>
  <c r="W13" i="4"/>
  <c r="W12" i="4" s="1"/>
  <c r="X13" i="4"/>
  <c r="X12" i="4" s="1"/>
  <c r="Y13" i="4"/>
  <c r="Y12" i="4" s="1"/>
  <c r="Z13" i="4"/>
  <c r="Z12" i="4" s="1"/>
  <c r="AA13" i="4"/>
  <c r="AA12" i="4" s="1"/>
  <c r="AB13" i="4"/>
  <c r="AB12" i="4" s="1"/>
  <c r="AC13" i="4"/>
  <c r="AC12" i="4" s="1"/>
  <c r="AD13" i="4"/>
  <c r="AD12" i="4" s="1"/>
  <c r="AE13" i="4"/>
  <c r="AE12" i="4" s="1"/>
  <c r="H13" i="4"/>
  <c r="H12" i="4" s="1"/>
  <c r="AB10" i="4"/>
  <c r="AB9" i="4" s="1"/>
  <c r="AC10" i="4"/>
  <c r="AC9" i="4" s="1"/>
  <c r="AD10" i="4"/>
  <c r="AD9" i="4" s="1"/>
  <c r="AE10" i="4"/>
  <c r="AE9" i="4" s="1"/>
  <c r="I10" i="4"/>
  <c r="J10" i="4"/>
  <c r="J9" i="4" s="1"/>
  <c r="K10" i="4"/>
  <c r="L10" i="4"/>
  <c r="L9" i="4" s="1"/>
  <c r="M10" i="4"/>
  <c r="M9" i="4" s="1"/>
  <c r="N10" i="4"/>
  <c r="O10" i="4"/>
  <c r="O9" i="4" s="1"/>
  <c r="P10" i="4"/>
  <c r="P9" i="4" s="1"/>
  <c r="Q10" i="4"/>
  <c r="Q9" i="4" s="1"/>
  <c r="R10" i="4"/>
  <c r="R9" i="4" s="1"/>
  <c r="S10" i="4"/>
  <c r="S9" i="4" s="1"/>
  <c r="T10" i="4"/>
  <c r="T9" i="4" s="1"/>
  <c r="U10" i="4"/>
  <c r="U9" i="4" s="1"/>
  <c r="V10" i="4"/>
  <c r="V9" i="4" s="1"/>
  <c r="W10" i="4"/>
  <c r="W9" i="4" s="1"/>
  <c r="X10" i="4"/>
  <c r="X9" i="4" s="1"/>
  <c r="Y10" i="4"/>
  <c r="Y9" i="4" s="1"/>
  <c r="Z10" i="4"/>
  <c r="Z9" i="4" s="1"/>
  <c r="AA10" i="4"/>
  <c r="AA9" i="4" s="1"/>
  <c r="H10" i="4"/>
  <c r="H9" i="4" s="1"/>
  <c r="I9" i="4"/>
  <c r="K9" i="4"/>
  <c r="N9" i="4"/>
  <c r="I11" i="3"/>
  <c r="K11" i="3"/>
  <c r="M11" i="3"/>
  <c r="N11" i="3"/>
  <c r="O11" i="3"/>
  <c r="R11" i="3"/>
  <c r="V11" i="3"/>
  <c r="W11" i="3"/>
  <c r="X11" i="3"/>
  <c r="Z11" i="3"/>
  <c r="AA11" i="3"/>
  <c r="AB11" i="3"/>
  <c r="AD11" i="3"/>
  <c r="B54" i="4"/>
  <c r="B53" i="4" s="1"/>
  <c r="B50" i="4"/>
  <c r="B49" i="4" s="1"/>
  <c r="E33" i="4"/>
  <c r="D33" i="4"/>
  <c r="B33" i="4"/>
  <c r="E40" i="4"/>
  <c r="G31" i="4"/>
  <c r="B31" i="4"/>
  <c r="C20" i="4"/>
  <c r="B20" i="4"/>
  <c r="B19" i="4" s="1"/>
  <c r="E19" i="4"/>
  <c r="E18" i="4" s="1"/>
  <c r="D19" i="4"/>
  <c r="D18" i="4" s="1"/>
  <c r="AG14" i="4"/>
  <c r="D13" i="4"/>
  <c r="D12" i="4" s="1"/>
  <c r="C13" i="4"/>
  <c r="B14" i="4"/>
  <c r="B13" i="4" s="1"/>
  <c r="B12" i="4" s="1"/>
  <c r="D10" i="4"/>
  <c r="D9" i="4" s="1"/>
  <c r="B11" i="4"/>
  <c r="B10" i="4" s="1"/>
  <c r="B9" i="4" s="1"/>
  <c r="E53" i="4"/>
  <c r="D53" i="4"/>
  <c r="C53" i="4"/>
  <c r="E36" i="4"/>
  <c r="C36" i="4"/>
  <c r="B37" i="4"/>
  <c r="AC135" i="6" l="1"/>
  <c r="AC138" i="6"/>
  <c r="AC130" i="6"/>
  <c r="K138" i="6"/>
  <c r="K135" i="6" s="1"/>
  <c r="AB130" i="6"/>
  <c r="X130" i="6"/>
  <c r="N130" i="6"/>
  <c r="AE130" i="6"/>
  <c r="W130" i="6"/>
  <c r="V138" i="6"/>
  <c r="V135" i="6" s="1"/>
  <c r="D40" i="4"/>
  <c r="D44" i="4" s="1"/>
  <c r="E12" i="3"/>
  <c r="S11" i="3"/>
  <c r="S27" i="3"/>
  <c r="S35" i="3" s="1"/>
  <c r="S39" i="3" s="1"/>
  <c r="P138" i="6"/>
  <c r="P135" i="6" s="1"/>
  <c r="J130" i="6"/>
  <c r="AA138" i="6"/>
  <c r="AA135" i="6" s="1"/>
  <c r="AD130" i="6"/>
  <c r="Z138" i="6"/>
  <c r="Z135" i="6" s="1"/>
  <c r="T130" i="6"/>
  <c r="L138" i="6"/>
  <c r="L135" i="6" s="1"/>
  <c r="R130" i="6"/>
  <c r="Y130" i="6"/>
  <c r="AD64" i="4"/>
  <c r="AD68" i="4" s="1"/>
  <c r="AD45" i="4"/>
  <c r="B30" i="4"/>
  <c r="F30" i="4" s="1"/>
  <c r="F31" i="4"/>
  <c r="Q130" i="6"/>
  <c r="C27" i="5"/>
  <c r="C43" i="5"/>
  <c r="E133" i="6"/>
  <c r="B133" i="6"/>
  <c r="G63" i="5"/>
  <c r="AG36" i="4"/>
  <c r="F123" i="6"/>
  <c r="E98" i="6"/>
  <c r="G98" i="6" s="1"/>
  <c r="G71" i="6"/>
  <c r="AG53" i="4"/>
  <c r="D129" i="6"/>
  <c r="D127" i="6" s="1"/>
  <c r="D123" i="6"/>
  <c r="C53" i="5"/>
  <c r="C12" i="4"/>
  <c r="AG49" i="4"/>
  <c r="C40" i="4"/>
  <c r="AG40" i="4" s="1"/>
  <c r="AG31" i="4"/>
  <c r="C33" i="4"/>
  <c r="AG33" i="4" s="1"/>
  <c r="AG34" i="4"/>
  <c r="C19" i="4"/>
  <c r="G19" i="4" s="1"/>
  <c r="AG20" i="4"/>
  <c r="T46" i="5"/>
  <c r="T45" i="5" s="1"/>
  <c r="G127" i="6"/>
  <c r="R46" i="5"/>
  <c r="R45" i="5" s="1"/>
  <c r="G99" i="6"/>
  <c r="E27" i="5"/>
  <c r="E22" i="5"/>
  <c r="E21" i="5" s="1"/>
  <c r="E24" i="5"/>
  <c r="G123" i="6"/>
  <c r="G119" i="7"/>
  <c r="F115" i="7"/>
  <c r="G121" i="7"/>
  <c r="C24" i="5"/>
  <c r="C30" i="4"/>
  <c r="G30" i="4" s="1"/>
  <c r="D30" i="4"/>
  <c r="F51" i="2"/>
  <c r="B24" i="5"/>
  <c r="C50" i="5"/>
  <c r="E54" i="5"/>
  <c r="E53" i="5" s="1"/>
  <c r="G51" i="5"/>
  <c r="D50" i="5"/>
  <c r="D53" i="5"/>
  <c r="D57" i="5"/>
  <c r="D56" i="5" s="1"/>
  <c r="D24" i="5"/>
  <c r="D22" i="5" s="1"/>
  <c r="H39" i="4"/>
  <c r="H56" i="4"/>
  <c r="E50" i="5"/>
  <c r="F50" i="5" s="1"/>
  <c r="G115" i="7"/>
  <c r="B41" i="4"/>
  <c r="B45" i="4" s="1"/>
  <c r="B36" i="4"/>
  <c r="F36" i="4" s="1"/>
  <c r="D41" i="4"/>
  <c r="D64" i="4" s="1"/>
  <c r="D68" i="4" s="1"/>
  <c r="D36" i="4"/>
  <c r="G20" i="4"/>
  <c r="F53" i="4"/>
  <c r="AD26" i="4"/>
  <c r="AD25" i="4" s="1"/>
  <c r="AD62" i="4"/>
  <c r="AD66" i="4" s="1"/>
  <c r="AD22" i="4"/>
  <c r="H45" i="4"/>
  <c r="H64" i="4"/>
  <c r="H68" i="4" s="1"/>
  <c r="J45" i="4"/>
  <c r="J64" i="4"/>
  <c r="J68" i="4" s="1"/>
  <c r="I64" i="4"/>
  <c r="I68" i="4" s="1"/>
  <c r="I45" i="4"/>
  <c r="AE45" i="4"/>
  <c r="AE64" i="4"/>
  <c r="AE68" i="4" s="1"/>
  <c r="AC45" i="4"/>
  <c r="AC64" i="4"/>
  <c r="AC68" i="4" s="1"/>
  <c r="AA45" i="4"/>
  <c r="AA64" i="4"/>
  <c r="AA68" i="4" s="1"/>
  <c r="Y45" i="4"/>
  <c r="Y64" i="4"/>
  <c r="Y68" i="4" s="1"/>
  <c r="W45" i="4"/>
  <c r="W64" i="4"/>
  <c r="W68" i="4" s="1"/>
  <c r="U45" i="4"/>
  <c r="U64" i="4"/>
  <c r="U68" i="4" s="1"/>
  <c r="S45" i="4"/>
  <c r="S64" i="4"/>
  <c r="S68" i="4" s="1"/>
  <c r="Q45" i="4"/>
  <c r="Q64" i="4"/>
  <c r="Q68" i="4" s="1"/>
  <c r="O45" i="4"/>
  <c r="O64" i="4"/>
  <c r="O68" i="4" s="1"/>
  <c r="M45" i="4"/>
  <c r="M64" i="4"/>
  <c r="M68" i="4" s="1"/>
  <c r="K45" i="4"/>
  <c r="K64" i="4"/>
  <c r="K68" i="4" s="1"/>
  <c r="AC56" i="4"/>
  <c r="AC60" i="4"/>
  <c r="AC59" i="4" s="1"/>
  <c r="AB60" i="4"/>
  <c r="AB59" i="4" s="1"/>
  <c r="AB56" i="4"/>
  <c r="Y56" i="4"/>
  <c r="Y60" i="4"/>
  <c r="Y59" i="4" s="1"/>
  <c r="X60" i="4"/>
  <c r="X59" i="4" s="1"/>
  <c r="X56" i="4"/>
  <c r="U56" i="4"/>
  <c r="U60" i="4"/>
  <c r="U59" i="4" s="1"/>
  <c r="T60" i="4"/>
  <c r="T59" i="4" s="1"/>
  <c r="T56" i="4"/>
  <c r="Q56" i="4"/>
  <c r="Q60" i="4"/>
  <c r="Q59" i="4" s="1"/>
  <c r="P60" i="4"/>
  <c r="P59" i="4" s="1"/>
  <c r="P56" i="4"/>
  <c r="M56" i="4"/>
  <c r="M59" i="4"/>
  <c r="L60" i="4"/>
  <c r="L59" i="4" s="1"/>
  <c r="L56" i="4"/>
  <c r="I56" i="4"/>
  <c r="I60" i="4"/>
  <c r="I59" i="4" s="1"/>
  <c r="C10" i="5"/>
  <c r="C9" i="5" s="1"/>
  <c r="C13" i="5"/>
  <c r="D14" i="5"/>
  <c r="D13" i="5" s="1"/>
  <c r="E9" i="5"/>
  <c r="E14" i="5"/>
  <c r="E13" i="5" s="1"/>
  <c r="B43" i="5"/>
  <c r="B42" i="5" s="1"/>
  <c r="B21" i="5"/>
  <c r="B69" i="5"/>
  <c r="B71" i="5" s="1"/>
  <c r="B70" i="5" s="1"/>
  <c r="AE42" i="5"/>
  <c r="AE46" i="5"/>
  <c r="AE45" i="5" s="1"/>
  <c r="AD46" i="5"/>
  <c r="AD45" i="5" s="1"/>
  <c r="AD42" i="5"/>
  <c r="AC42" i="5"/>
  <c r="AC46" i="5"/>
  <c r="AC45" i="5" s="1"/>
  <c r="AB46" i="5"/>
  <c r="AB45" i="5" s="1"/>
  <c r="AB42" i="5"/>
  <c r="AA42" i="5"/>
  <c r="AA46" i="5"/>
  <c r="AA45" i="5" s="1"/>
  <c r="Z46" i="5"/>
  <c r="Z45" i="5" s="1"/>
  <c r="Z42" i="5"/>
  <c r="Y42" i="5"/>
  <c r="Y46" i="5"/>
  <c r="Y45" i="5" s="1"/>
  <c r="X46" i="5"/>
  <c r="X45" i="5" s="1"/>
  <c r="X42" i="5"/>
  <c r="W42" i="5"/>
  <c r="W46" i="5"/>
  <c r="W45" i="5" s="1"/>
  <c r="V46" i="5"/>
  <c r="V45" i="5" s="1"/>
  <c r="V42" i="5"/>
  <c r="U42" i="5"/>
  <c r="U46" i="5"/>
  <c r="U45" i="5" s="1"/>
  <c r="S42" i="5"/>
  <c r="S46" i="5"/>
  <c r="S45" i="5" s="1"/>
  <c r="Q42" i="5"/>
  <c r="Q46" i="5"/>
  <c r="Q45" i="5" s="1"/>
  <c r="P46" i="5"/>
  <c r="P45" i="5" s="1"/>
  <c r="P42" i="5"/>
  <c r="O42" i="5"/>
  <c r="O46" i="5"/>
  <c r="O45" i="5" s="1"/>
  <c r="N46" i="5"/>
  <c r="N45" i="5" s="1"/>
  <c r="N42" i="5"/>
  <c r="M42" i="5"/>
  <c r="M46" i="5"/>
  <c r="M45" i="5" s="1"/>
  <c r="L46" i="5"/>
  <c r="L45" i="5" s="1"/>
  <c r="L42" i="5"/>
  <c r="K42" i="5"/>
  <c r="K46" i="5"/>
  <c r="K45" i="5" s="1"/>
  <c r="J46" i="5"/>
  <c r="J45" i="5" s="1"/>
  <c r="J42" i="5"/>
  <c r="I42" i="5"/>
  <c r="G30" i="5"/>
  <c r="F30" i="5"/>
  <c r="F119" i="7"/>
  <c r="F121" i="7"/>
  <c r="B98" i="6"/>
  <c r="B102" i="6"/>
  <c r="C61" i="6"/>
  <c r="C52" i="6"/>
  <c r="F127" i="6"/>
  <c r="F28" i="5"/>
  <c r="G25" i="5"/>
  <c r="G11" i="5"/>
  <c r="F25" i="5"/>
  <c r="G28" i="5"/>
  <c r="F51" i="5"/>
  <c r="F11" i="5"/>
  <c r="B10" i="5"/>
  <c r="B9" i="5" s="1"/>
  <c r="D10" i="5"/>
  <c r="D9" i="5" s="1"/>
  <c r="G36" i="4"/>
  <c r="E44" i="4"/>
  <c r="G49" i="4"/>
  <c r="F37" i="4"/>
  <c r="E41" i="4"/>
  <c r="E64" i="4" s="1"/>
  <c r="J39" i="4"/>
  <c r="H44" i="4"/>
  <c r="F49" i="4"/>
  <c r="B57" i="4"/>
  <c r="G53" i="4"/>
  <c r="D57" i="4"/>
  <c r="F19" i="4"/>
  <c r="F20" i="4"/>
  <c r="B40" i="4"/>
  <c r="I39" i="4"/>
  <c r="I44" i="4"/>
  <c r="AD39" i="4"/>
  <c r="AD43" i="4"/>
  <c r="AB39" i="4"/>
  <c r="AB45" i="4"/>
  <c r="AB43" i="4" s="1"/>
  <c r="Z39" i="4"/>
  <c r="Z45" i="4"/>
  <c r="Z43" i="4" s="1"/>
  <c r="X39" i="4"/>
  <c r="X45" i="4"/>
  <c r="X43" i="4" s="1"/>
  <c r="V39" i="4"/>
  <c r="V45" i="4"/>
  <c r="V43" i="4" s="1"/>
  <c r="T39" i="4"/>
  <c r="T45" i="4"/>
  <c r="T43" i="4" s="1"/>
  <c r="R39" i="4"/>
  <c r="R45" i="4"/>
  <c r="R43" i="4" s="1"/>
  <c r="P39" i="4"/>
  <c r="P45" i="4"/>
  <c r="P43" i="4" s="1"/>
  <c r="J44" i="4"/>
  <c r="E57" i="4"/>
  <c r="AG57" i="4" s="1"/>
  <c r="AE60" i="4"/>
  <c r="AE59" i="4" s="1"/>
  <c r="AA60" i="4"/>
  <c r="AA59" i="4" s="1"/>
  <c r="W60" i="4"/>
  <c r="W59" i="4" s="1"/>
  <c r="S60" i="4"/>
  <c r="S59" i="4" s="1"/>
  <c r="O60" i="4"/>
  <c r="O59" i="4" s="1"/>
  <c r="K60" i="4"/>
  <c r="K59" i="4" s="1"/>
  <c r="N39" i="4"/>
  <c r="L39" i="4"/>
  <c r="AE39" i="4"/>
  <c r="AC39" i="4"/>
  <c r="AA39" i="4"/>
  <c r="Y39" i="4"/>
  <c r="W39" i="4"/>
  <c r="U39" i="4"/>
  <c r="S39" i="4"/>
  <c r="Q39" i="4"/>
  <c r="O39" i="4"/>
  <c r="M39" i="4"/>
  <c r="K39" i="4"/>
  <c r="N45" i="4"/>
  <c r="N43" i="4" s="1"/>
  <c r="L45" i="4"/>
  <c r="L43" i="4" s="1"/>
  <c r="AE44" i="4"/>
  <c r="AC44" i="4"/>
  <c r="AA44" i="4"/>
  <c r="Y44" i="4"/>
  <c r="W44" i="4"/>
  <c r="U44" i="4"/>
  <c r="S44" i="4"/>
  <c r="Q44" i="4"/>
  <c r="O44" i="4"/>
  <c r="M44" i="4"/>
  <c r="K44" i="4"/>
  <c r="AD56" i="4"/>
  <c r="Z56" i="4"/>
  <c r="V56" i="4"/>
  <c r="R56" i="4"/>
  <c r="N56" i="4"/>
  <c r="J56" i="4"/>
  <c r="B18" i="4"/>
  <c r="G34" i="4"/>
  <c r="F33" i="4"/>
  <c r="F34" i="4"/>
  <c r="F14" i="4"/>
  <c r="E13" i="4"/>
  <c r="AG13" i="4" s="1"/>
  <c r="G50" i="4"/>
  <c r="F54" i="4"/>
  <c r="F50" i="4"/>
  <c r="G54" i="4"/>
  <c r="G37" i="4"/>
  <c r="K55" i="2"/>
  <c r="K59" i="2" s="1"/>
  <c r="L55" i="2"/>
  <c r="L59" i="2" s="1"/>
  <c r="M55" i="2"/>
  <c r="M59" i="2" s="1"/>
  <c r="N55" i="2"/>
  <c r="N59" i="2" s="1"/>
  <c r="O55" i="2"/>
  <c r="O59" i="2" s="1"/>
  <c r="P55" i="2"/>
  <c r="P59" i="2" s="1"/>
  <c r="Q55" i="2"/>
  <c r="Q59" i="2" s="1"/>
  <c r="R55" i="2"/>
  <c r="R59" i="2" s="1"/>
  <c r="S55" i="2"/>
  <c r="S59" i="2" s="1"/>
  <c r="T55" i="2"/>
  <c r="T59" i="2" s="1"/>
  <c r="U55" i="2"/>
  <c r="U59" i="2" s="1"/>
  <c r="V55" i="2"/>
  <c r="V59" i="2" s="1"/>
  <c r="W55" i="2"/>
  <c r="X55" i="2"/>
  <c r="X59" i="2" s="1"/>
  <c r="Y55" i="2"/>
  <c r="Y59" i="2" s="1"/>
  <c r="Z55" i="2"/>
  <c r="Z59" i="2" s="1"/>
  <c r="AA55" i="2"/>
  <c r="AA59" i="2" s="1"/>
  <c r="AB55" i="2"/>
  <c r="AB59" i="2" s="1"/>
  <c r="AC55" i="2"/>
  <c r="AC59" i="2" s="1"/>
  <c r="AD55" i="2"/>
  <c r="AD59" i="2" s="1"/>
  <c r="AE55" i="2"/>
  <c r="AE59" i="2" s="1"/>
  <c r="K60" i="2"/>
  <c r="L60" i="2"/>
  <c r="M60" i="2"/>
  <c r="N60" i="2"/>
  <c r="O60" i="2"/>
  <c r="P60" i="2"/>
  <c r="Q60" i="2"/>
  <c r="R60" i="2"/>
  <c r="S60" i="2"/>
  <c r="T60" i="2"/>
  <c r="U60" i="2"/>
  <c r="V60" i="2"/>
  <c r="W60" i="2"/>
  <c r="X60" i="2"/>
  <c r="Y60" i="2"/>
  <c r="Z60" i="2"/>
  <c r="AA60" i="2"/>
  <c r="AB60" i="2"/>
  <c r="AC60" i="2"/>
  <c r="AD60" i="2"/>
  <c r="AE60" i="2"/>
  <c r="I55" i="2"/>
  <c r="J55" i="2"/>
  <c r="J59" i="2" s="1"/>
  <c r="I60" i="2"/>
  <c r="J60" i="2"/>
  <c r="H54" i="2"/>
  <c r="D60" i="2"/>
  <c r="E60" i="2"/>
  <c r="F29" i="3"/>
  <c r="G29" i="3"/>
  <c r="F33" i="3"/>
  <c r="G33" i="3"/>
  <c r="F37" i="3"/>
  <c r="G37" i="3"/>
  <c r="Q27" i="3"/>
  <c r="Q35" i="3" s="1"/>
  <c r="Q39" i="3" s="1"/>
  <c r="R27" i="3"/>
  <c r="R31" i="3" s="1"/>
  <c r="T27" i="3"/>
  <c r="T31" i="3" s="1"/>
  <c r="U27" i="3"/>
  <c r="U35" i="3" s="1"/>
  <c r="U39" i="3" s="1"/>
  <c r="V27" i="3"/>
  <c r="V31" i="3" s="1"/>
  <c r="W27" i="3"/>
  <c r="W35" i="3" s="1"/>
  <c r="W39" i="3" s="1"/>
  <c r="X27" i="3"/>
  <c r="X31" i="3" s="1"/>
  <c r="Y27" i="3"/>
  <c r="Z31" i="3"/>
  <c r="AA27" i="3"/>
  <c r="AA35" i="3" s="1"/>
  <c r="AA39" i="3" s="1"/>
  <c r="AB27" i="3"/>
  <c r="AB31" i="3" s="1"/>
  <c r="AC27" i="3"/>
  <c r="AC35" i="3" s="1"/>
  <c r="AC39" i="3" s="1"/>
  <c r="AD27" i="3"/>
  <c r="AD31" i="3" s="1"/>
  <c r="AE27" i="3"/>
  <c r="AE35" i="3" s="1"/>
  <c r="AE39" i="3" s="1"/>
  <c r="Q28" i="3"/>
  <c r="Q32" i="3" s="1"/>
  <c r="R28" i="3"/>
  <c r="S28" i="3"/>
  <c r="S32" i="3" s="1"/>
  <c r="T28" i="3"/>
  <c r="U28" i="3"/>
  <c r="U32" i="3" s="1"/>
  <c r="V28" i="3"/>
  <c r="W28" i="3"/>
  <c r="W32" i="3" s="1"/>
  <c r="X28" i="3"/>
  <c r="Y28" i="3"/>
  <c r="Y32" i="3" s="1"/>
  <c r="Z28" i="3"/>
  <c r="AA28" i="3"/>
  <c r="AA32" i="3" s="1"/>
  <c r="AB28" i="3"/>
  <c r="AB36" i="3" s="1"/>
  <c r="AB40" i="3" s="1"/>
  <c r="AC28" i="3"/>
  <c r="AC32" i="3" s="1"/>
  <c r="AD28" i="3"/>
  <c r="AD36" i="3" s="1"/>
  <c r="AD40" i="3" s="1"/>
  <c r="AE28" i="3"/>
  <c r="AE32" i="3" s="1"/>
  <c r="I27" i="3"/>
  <c r="I35" i="3" s="1"/>
  <c r="I39" i="3" s="1"/>
  <c r="J27" i="3"/>
  <c r="K27" i="3"/>
  <c r="K35" i="3" s="1"/>
  <c r="K39" i="3" s="1"/>
  <c r="L27" i="3"/>
  <c r="M27" i="3"/>
  <c r="M35" i="3" s="1"/>
  <c r="M39" i="3" s="1"/>
  <c r="N27" i="3"/>
  <c r="O27" i="3"/>
  <c r="O35" i="3" s="1"/>
  <c r="O39" i="3" s="1"/>
  <c r="P27" i="3"/>
  <c r="I28" i="3"/>
  <c r="I32" i="3" s="1"/>
  <c r="J28" i="3"/>
  <c r="K28" i="3"/>
  <c r="K32" i="3" s="1"/>
  <c r="L28" i="3"/>
  <c r="M28" i="3"/>
  <c r="M32" i="3" s="1"/>
  <c r="N28" i="3"/>
  <c r="O28" i="3"/>
  <c r="O32" i="3" s="1"/>
  <c r="P28" i="3"/>
  <c r="H28" i="3"/>
  <c r="H32" i="3" s="1"/>
  <c r="H27" i="3"/>
  <c r="H35" i="3" s="1"/>
  <c r="H39" i="3" s="1"/>
  <c r="Y35" i="3"/>
  <c r="Y39" i="3" s="1"/>
  <c r="G14" i="4"/>
  <c r="E10" i="4"/>
  <c r="E9" i="4" s="1"/>
  <c r="F14" i="3"/>
  <c r="F24" i="3"/>
  <c r="B28" i="2"/>
  <c r="F28" i="2" s="1"/>
  <c r="W59" i="2" l="1"/>
  <c r="W54" i="2"/>
  <c r="Z36" i="3"/>
  <c r="Z40" i="3" s="1"/>
  <c r="Z26" i="3"/>
  <c r="Z35" i="3"/>
  <c r="Z39" i="3" s="1"/>
  <c r="E130" i="6"/>
  <c r="B68" i="5"/>
  <c r="E27" i="3"/>
  <c r="D12" i="3"/>
  <c r="E11" i="3"/>
  <c r="G11" i="3" s="1"/>
  <c r="G12" i="3"/>
  <c r="G33" i="4"/>
  <c r="G40" i="4"/>
  <c r="C44" i="4"/>
  <c r="AG44" i="4" s="1"/>
  <c r="G27" i="5"/>
  <c r="F129" i="6"/>
  <c r="C21" i="5"/>
  <c r="G21" i="5" s="1"/>
  <c r="D43" i="5"/>
  <c r="D46" i="5" s="1"/>
  <c r="D45" i="5" s="1"/>
  <c r="D21" i="5"/>
  <c r="AG41" i="4"/>
  <c r="E101" i="6"/>
  <c r="C18" i="4"/>
  <c r="AG18" i="4" s="1"/>
  <c r="AG19" i="4"/>
  <c r="AG30" i="4"/>
  <c r="C10" i="4"/>
  <c r="C9" i="4" s="1"/>
  <c r="AG11" i="4"/>
  <c r="J43" i="4"/>
  <c r="F27" i="5"/>
  <c r="G102" i="6"/>
  <c r="F22" i="5"/>
  <c r="K43" i="4"/>
  <c r="O43" i="4"/>
  <c r="S43" i="4"/>
  <c r="W43" i="4"/>
  <c r="AA43" i="4"/>
  <c r="AE43" i="4"/>
  <c r="G24" i="5"/>
  <c r="G22" i="5"/>
  <c r="E43" i="5"/>
  <c r="M43" i="4"/>
  <c r="U43" i="4"/>
  <c r="AC43" i="4"/>
  <c r="F24" i="5"/>
  <c r="H43" i="4"/>
  <c r="G50" i="5"/>
  <c r="F11" i="3"/>
  <c r="D45" i="4"/>
  <c r="D43" i="4" s="1"/>
  <c r="M36" i="3"/>
  <c r="M40" i="3" s="1"/>
  <c r="Q43" i="4"/>
  <c r="Y43" i="4"/>
  <c r="I43" i="4"/>
  <c r="D39" i="4"/>
  <c r="X35" i="3"/>
  <c r="X39" i="3" s="1"/>
  <c r="B46" i="5"/>
  <c r="B45" i="5" s="1"/>
  <c r="G17" i="3"/>
  <c r="AD65" i="4"/>
  <c r="I36" i="3"/>
  <c r="I40" i="3" s="1"/>
  <c r="AD61" i="4"/>
  <c r="F21" i="5"/>
  <c r="F60" i="2"/>
  <c r="AG56" i="2"/>
  <c r="G56" i="2"/>
  <c r="H60" i="2"/>
  <c r="C60" i="2"/>
  <c r="I59" i="2"/>
  <c r="I58" i="2" s="1"/>
  <c r="I54" i="2"/>
  <c r="G10" i="5"/>
  <c r="G9" i="5" s="1"/>
  <c r="P58" i="2"/>
  <c r="N58" i="2"/>
  <c r="H36" i="3"/>
  <c r="H40" i="3" s="1"/>
  <c r="AD35" i="3"/>
  <c r="AD39" i="3" s="1"/>
  <c r="W36" i="3"/>
  <c r="W40" i="3" s="1"/>
  <c r="U36" i="3"/>
  <c r="U40" i="3" s="1"/>
  <c r="AB35" i="3"/>
  <c r="AB39" i="3" s="1"/>
  <c r="O36" i="3"/>
  <c r="O40" i="3" s="1"/>
  <c r="AB58" i="2"/>
  <c r="Z58" i="2"/>
  <c r="D58" i="2"/>
  <c r="L58" i="2"/>
  <c r="T58" i="2"/>
  <c r="AD58" i="2"/>
  <c r="R58" i="2"/>
  <c r="X58" i="2"/>
  <c r="V58" i="2"/>
  <c r="AE36" i="3"/>
  <c r="AE40" i="3" s="1"/>
  <c r="AC36" i="3"/>
  <c r="AC40" i="3" s="1"/>
  <c r="T35" i="3"/>
  <c r="T39" i="3" s="1"/>
  <c r="AA36" i="3"/>
  <c r="AA40" i="3" s="1"/>
  <c r="K36" i="3"/>
  <c r="K40" i="3" s="1"/>
  <c r="S36" i="3"/>
  <c r="S40" i="3" s="1"/>
  <c r="R35" i="3"/>
  <c r="R39" i="3" s="1"/>
  <c r="Y36" i="3"/>
  <c r="Y40" i="3" s="1"/>
  <c r="V35" i="3"/>
  <c r="V39" i="3" s="1"/>
  <c r="Q36" i="3"/>
  <c r="Q40" i="3" s="1"/>
  <c r="C51" i="2"/>
  <c r="F20" i="3"/>
  <c r="G20" i="3"/>
  <c r="B23" i="3"/>
  <c r="B28" i="3"/>
  <c r="G14" i="3"/>
  <c r="H26" i="3"/>
  <c r="H34" i="3" s="1"/>
  <c r="H38" i="3" s="1"/>
  <c r="H31" i="3"/>
  <c r="H30" i="3" s="1"/>
  <c r="P36" i="3"/>
  <c r="P40" i="3" s="1"/>
  <c r="P32" i="3"/>
  <c r="N36" i="3"/>
  <c r="N40" i="3" s="1"/>
  <c r="N32" i="3"/>
  <c r="L36" i="3"/>
  <c r="L40" i="3" s="1"/>
  <c r="L32" i="3"/>
  <c r="J36" i="3"/>
  <c r="J40" i="3" s="1"/>
  <c r="J32" i="3"/>
  <c r="P35" i="3"/>
  <c r="P39" i="3" s="1"/>
  <c r="P31" i="3"/>
  <c r="O26" i="3"/>
  <c r="O34" i="3" s="1"/>
  <c r="O38" i="3" s="1"/>
  <c r="O31" i="3"/>
  <c r="O30" i="3" s="1"/>
  <c r="N35" i="3"/>
  <c r="N39" i="3" s="1"/>
  <c r="N31" i="3"/>
  <c r="M26" i="3"/>
  <c r="M34" i="3" s="1"/>
  <c r="M38" i="3" s="1"/>
  <c r="M31" i="3"/>
  <c r="M30" i="3" s="1"/>
  <c r="L35" i="3"/>
  <c r="L39" i="3" s="1"/>
  <c r="L31" i="3"/>
  <c r="K26" i="3"/>
  <c r="K34" i="3" s="1"/>
  <c r="K38" i="3" s="1"/>
  <c r="K31" i="3"/>
  <c r="K30" i="3" s="1"/>
  <c r="J35" i="3"/>
  <c r="J39" i="3" s="1"/>
  <c r="J31" i="3"/>
  <c r="I26" i="3"/>
  <c r="I34" i="3" s="1"/>
  <c r="I38" i="3" s="1"/>
  <c r="I31" i="3"/>
  <c r="I30" i="3" s="1"/>
  <c r="AD26" i="3"/>
  <c r="AD34" i="3" s="1"/>
  <c r="AD38" i="3" s="1"/>
  <c r="AD32" i="3"/>
  <c r="AD30" i="3" s="1"/>
  <c r="AB26" i="3"/>
  <c r="AB34" i="3" s="1"/>
  <c r="AB38" i="3" s="1"/>
  <c r="AB32" i="3"/>
  <c r="AB30" i="3" s="1"/>
  <c r="Z34" i="3"/>
  <c r="Z38" i="3" s="1"/>
  <c r="Z32" i="3"/>
  <c r="Z30" i="3" s="1"/>
  <c r="X36" i="3"/>
  <c r="X40" i="3" s="1"/>
  <c r="X32" i="3"/>
  <c r="X30" i="3" s="1"/>
  <c r="V36" i="3"/>
  <c r="V40" i="3" s="1"/>
  <c r="V32" i="3"/>
  <c r="V30" i="3" s="1"/>
  <c r="T36" i="3"/>
  <c r="T40" i="3" s="1"/>
  <c r="T32" i="3"/>
  <c r="T30" i="3" s="1"/>
  <c r="R36" i="3"/>
  <c r="R40" i="3" s="1"/>
  <c r="R32" i="3"/>
  <c r="R30" i="3" s="1"/>
  <c r="AE26" i="3"/>
  <c r="AE34" i="3" s="1"/>
  <c r="AE38" i="3" s="1"/>
  <c r="AE31" i="3"/>
  <c r="AE30" i="3" s="1"/>
  <c r="AC26" i="3"/>
  <c r="AC34" i="3" s="1"/>
  <c r="AC38" i="3" s="1"/>
  <c r="AC31" i="3"/>
  <c r="AC30" i="3" s="1"/>
  <c r="AA26" i="3"/>
  <c r="AA34" i="3" s="1"/>
  <c r="AA38" i="3" s="1"/>
  <c r="AA31" i="3"/>
  <c r="AA30" i="3" s="1"/>
  <c r="Y26" i="3"/>
  <c r="Y34" i="3" s="1"/>
  <c r="Y38" i="3" s="1"/>
  <c r="Y31" i="3"/>
  <c r="Y30" i="3" s="1"/>
  <c r="W26" i="3"/>
  <c r="W34" i="3" s="1"/>
  <c r="W38" i="3" s="1"/>
  <c r="W31" i="3"/>
  <c r="W30" i="3" s="1"/>
  <c r="U26" i="3"/>
  <c r="U34" i="3" s="1"/>
  <c r="U38" i="3" s="1"/>
  <c r="U31" i="3"/>
  <c r="U30" i="3" s="1"/>
  <c r="S26" i="3"/>
  <c r="S34" i="3" s="1"/>
  <c r="S38" i="3" s="1"/>
  <c r="S31" i="3"/>
  <c r="S30" i="3" s="1"/>
  <c r="Q26" i="3"/>
  <c r="Q34" i="3" s="1"/>
  <c r="Q38" i="3" s="1"/>
  <c r="Q31" i="3"/>
  <c r="Q30" i="3" s="1"/>
  <c r="J58" i="2"/>
  <c r="J54" i="2"/>
  <c r="AE54" i="2"/>
  <c r="AD54" i="2"/>
  <c r="AC54" i="2"/>
  <c r="AB54" i="2"/>
  <c r="AA54" i="2"/>
  <c r="Z54" i="2"/>
  <c r="Y54" i="2"/>
  <c r="X54" i="2"/>
  <c r="V54" i="2"/>
  <c r="U54" i="2"/>
  <c r="T54" i="2"/>
  <c r="S54" i="2"/>
  <c r="R54" i="2"/>
  <c r="Q54" i="2"/>
  <c r="P54" i="2"/>
  <c r="O54" i="2"/>
  <c r="N54" i="2"/>
  <c r="M54" i="2"/>
  <c r="L54" i="2"/>
  <c r="K54" i="2"/>
  <c r="C45" i="4"/>
  <c r="C64" i="4"/>
  <c r="E68" i="4"/>
  <c r="C42" i="5"/>
  <c r="B64" i="4"/>
  <c r="B101" i="6"/>
  <c r="F102" i="6"/>
  <c r="C58" i="6"/>
  <c r="E57" i="5"/>
  <c r="E56" i="5" s="1"/>
  <c r="F54" i="5"/>
  <c r="F53" i="5"/>
  <c r="B57" i="5"/>
  <c r="B56" i="5" s="1"/>
  <c r="C57" i="5"/>
  <c r="G53" i="5"/>
  <c r="G54" i="5"/>
  <c r="F10" i="5"/>
  <c r="F9" i="5" s="1"/>
  <c r="F13" i="4"/>
  <c r="E12" i="4"/>
  <c r="AG12" i="4" s="1"/>
  <c r="E56" i="4"/>
  <c r="F57" i="4"/>
  <c r="E60" i="4"/>
  <c r="G57" i="4"/>
  <c r="D60" i="4"/>
  <c r="D59" i="4" s="1"/>
  <c r="D56" i="4"/>
  <c r="C56" i="4"/>
  <c r="G44" i="4"/>
  <c r="B39" i="4"/>
  <c r="B44" i="4"/>
  <c r="B56" i="4"/>
  <c r="B60" i="4"/>
  <c r="B59" i="4" s="1"/>
  <c r="E45" i="4"/>
  <c r="F41" i="4"/>
  <c r="G41" i="4"/>
  <c r="F40" i="4"/>
  <c r="E39" i="4"/>
  <c r="C39" i="4"/>
  <c r="AE58" i="2"/>
  <c r="AC58" i="2"/>
  <c r="AA58" i="2"/>
  <c r="Y58" i="2"/>
  <c r="W58" i="2"/>
  <c r="U58" i="2"/>
  <c r="S58" i="2"/>
  <c r="Q58" i="2"/>
  <c r="O58" i="2"/>
  <c r="M58" i="2"/>
  <c r="K58" i="2"/>
  <c r="H59" i="2"/>
  <c r="X26" i="3"/>
  <c r="X34" i="3" s="1"/>
  <c r="X38" i="3" s="1"/>
  <c r="V26" i="3"/>
  <c r="V34" i="3" s="1"/>
  <c r="V38" i="3" s="1"/>
  <c r="T26" i="3"/>
  <c r="T34" i="3" s="1"/>
  <c r="T38" i="3" s="1"/>
  <c r="R26" i="3"/>
  <c r="R34" i="3" s="1"/>
  <c r="R38" i="3" s="1"/>
  <c r="P26" i="3"/>
  <c r="P34" i="3" s="1"/>
  <c r="P38" i="3" s="1"/>
  <c r="N26" i="3"/>
  <c r="N34" i="3" s="1"/>
  <c r="N38" i="3" s="1"/>
  <c r="L26" i="3"/>
  <c r="L34" i="3" s="1"/>
  <c r="L38" i="3" s="1"/>
  <c r="J26" i="3"/>
  <c r="J34" i="3" s="1"/>
  <c r="J38" i="3" s="1"/>
  <c r="F11" i="4"/>
  <c r="F10" i="4"/>
  <c r="G11" i="4"/>
  <c r="G13" i="4"/>
  <c r="G18" i="3"/>
  <c r="G21" i="3"/>
  <c r="F18" i="3"/>
  <c r="F21" i="3"/>
  <c r="G24" i="3"/>
  <c r="D11" i="3" l="1"/>
  <c r="D27" i="3"/>
  <c r="E31" i="3"/>
  <c r="E30" i="3" s="1"/>
  <c r="E35" i="3"/>
  <c r="F43" i="5"/>
  <c r="D42" i="5"/>
  <c r="F42" i="5" s="1"/>
  <c r="F101" i="6"/>
  <c r="G101" i="6"/>
  <c r="C56" i="5"/>
  <c r="G56" i="5" s="1"/>
  <c r="C46" i="5"/>
  <c r="C45" i="5" s="1"/>
  <c r="C59" i="4"/>
  <c r="AG60" i="4"/>
  <c r="C68" i="4"/>
  <c r="AG68" i="4" s="1"/>
  <c r="AG64" i="4"/>
  <c r="AG39" i="4"/>
  <c r="AG56" i="4"/>
  <c r="C43" i="4"/>
  <c r="AG45" i="4"/>
  <c r="G43" i="5"/>
  <c r="E46" i="5"/>
  <c r="E45" i="5" s="1"/>
  <c r="E42" i="5"/>
  <c r="H58" i="2"/>
  <c r="B43" i="4"/>
  <c r="AG51" i="2"/>
  <c r="G51" i="2"/>
  <c r="C59" i="2"/>
  <c r="G59" i="2" s="1"/>
  <c r="G55" i="2"/>
  <c r="AG55" i="2"/>
  <c r="G60" i="2"/>
  <c r="C54" i="2"/>
  <c r="G64" i="4"/>
  <c r="B68" i="4"/>
  <c r="F68" i="4" s="1"/>
  <c r="F64" i="4"/>
  <c r="J30" i="3"/>
  <c r="L30" i="3"/>
  <c r="N30" i="3"/>
  <c r="P30" i="3"/>
  <c r="F23" i="3"/>
  <c r="B36" i="3"/>
  <c r="B40" i="3" s="1"/>
  <c r="B32" i="3"/>
  <c r="G57" i="5"/>
  <c r="C67" i="5"/>
  <c r="F57" i="5"/>
  <c r="F56" i="5"/>
  <c r="G39" i="4"/>
  <c r="F39" i="4"/>
  <c r="G45" i="4"/>
  <c r="F45" i="4"/>
  <c r="F44" i="4"/>
  <c r="E43" i="4"/>
  <c r="E59" i="4"/>
  <c r="G60" i="4"/>
  <c r="F60" i="4"/>
  <c r="G56" i="4"/>
  <c r="F56" i="4"/>
  <c r="B27" i="3"/>
  <c r="G10" i="4"/>
  <c r="G12" i="4"/>
  <c r="F12" i="4"/>
  <c r="F12" i="3"/>
  <c r="F15" i="3"/>
  <c r="G15" i="3"/>
  <c r="E26" i="3"/>
  <c r="F48" i="2"/>
  <c r="I19" i="2"/>
  <c r="J19" i="2"/>
  <c r="K19" i="2"/>
  <c r="L19" i="2"/>
  <c r="M19" i="2"/>
  <c r="N19" i="2"/>
  <c r="O19" i="2"/>
  <c r="P19" i="2"/>
  <c r="Q19" i="2"/>
  <c r="R19" i="2"/>
  <c r="S19" i="2"/>
  <c r="T19" i="2"/>
  <c r="U19" i="2"/>
  <c r="V19" i="2"/>
  <c r="W19" i="2"/>
  <c r="X19" i="2"/>
  <c r="Y19" i="2"/>
  <c r="Z19" i="2"/>
  <c r="AA19" i="2"/>
  <c r="AB19" i="2"/>
  <c r="AC19" i="2"/>
  <c r="AD19" i="2"/>
  <c r="AE19" i="2"/>
  <c r="I20" i="2"/>
  <c r="I38" i="2" s="1"/>
  <c r="I64" i="2" s="1"/>
  <c r="J20" i="2"/>
  <c r="J12" i="2" s="1"/>
  <c r="K20" i="2"/>
  <c r="K38" i="2" s="1"/>
  <c r="L20" i="2"/>
  <c r="L12" i="2" s="1"/>
  <c r="M20" i="2"/>
  <c r="M38" i="2" s="1"/>
  <c r="N20" i="2"/>
  <c r="N12" i="2" s="1"/>
  <c r="O20" i="2"/>
  <c r="O38" i="2" s="1"/>
  <c r="P12" i="2"/>
  <c r="Q20" i="2"/>
  <c r="Q38" i="2" s="1"/>
  <c r="R20" i="2"/>
  <c r="R12" i="2" s="1"/>
  <c r="S20" i="2"/>
  <c r="S38" i="2" s="1"/>
  <c r="T20" i="2"/>
  <c r="T12" i="2" s="1"/>
  <c r="U20" i="2"/>
  <c r="U38" i="2" s="1"/>
  <c r="V20" i="2"/>
  <c r="V12" i="2" s="1"/>
  <c r="W20" i="2"/>
  <c r="W38" i="2" s="1"/>
  <c r="X20" i="2"/>
  <c r="X12" i="2" s="1"/>
  <c r="Y20" i="2"/>
  <c r="Y38" i="2" s="1"/>
  <c r="Z20" i="2"/>
  <c r="Z12" i="2" s="1"/>
  <c r="AA20" i="2"/>
  <c r="AA38" i="2" s="1"/>
  <c r="AB20" i="2"/>
  <c r="AB12" i="2" s="1"/>
  <c r="AC20" i="2"/>
  <c r="AC38" i="2" s="1"/>
  <c r="AD20" i="2"/>
  <c r="AD12" i="2" s="1"/>
  <c r="AE20" i="2"/>
  <c r="AE38" i="2" s="1"/>
  <c r="H20" i="2"/>
  <c r="H12" i="2" s="1"/>
  <c r="C33" i="2"/>
  <c r="B34" i="2"/>
  <c r="B31" i="2"/>
  <c r="B27" i="2"/>
  <c r="F27" i="2" s="1"/>
  <c r="B23" i="2"/>
  <c r="F23" i="2" s="1"/>
  <c r="B24" i="2"/>
  <c r="F24" i="2" s="1"/>
  <c r="C14" i="2"/>
  <c r="B15" i="2"/>
  <c r="F15" i="2" s="1"/>
  <c r="B16" i="2"/>
  <c r="F16" i="2" s="1"/>
  <c r="J18" i="2" l="1"/>
  <c r="E39" i="3"/>
  <c r="E34" i="3"/>
  <c r="E38" i="3" s="1"/>
  <c r="D35" i="3"/>
  <c r="D31" i="3"/>
  <c r="D30" i="3" s="1"/>
  <c r="D26" i="3"/>
  <c r="B31" i="3"/>
  <c r="B30" i="3" s="1"/>
  <c r="B35" i="3"/>
  <c r="F35" i="3" s="1"/>
  <c r="G68" i="4"/>
  <c r="D69" i="5"/>
  <c r="D68" i="5" s="1"/>
  <c r="F40" i="3"/>
  <c r="F36" i="3"/>
  <c r="G42" i="5"/>
  <c r="E69" i="5"/>
  <c r="C66" i="5"/>
  <c r="AG43" i="4"/>
  <c r="AG59" i="4"/>
  <c r="G46" i="5"/>
  <c r="F46" i="5"/>
  <c r="AG24" i="2"/>
  <c r="G24" i="2"/>
  <c r="B33" i="2"/>
  <c r="F34" i="2"/>
  <c r="AG54" i="2"/>
  <c r="G54" i="2"/>
  <c r="AG28" i="2"/>
  <c r="G28" i="2"/>
  <c r="D11" i="2"/>
  <c r="D37" i="2"/>
  <c r="D63" i="2" s="1"/>
  <c r="D67" i="2" s="1"/>
  <c r="C30" i="2"/>
  <c r="AG31" i="2"/>
  <c r="G31" i="2"/>
  <c r="B30" i="2"/>
  <c r="F30" i="2" s="1"/>
  <c r="F31" i="2"/>
  <c r="C58" i="2"/>
  <c r="F55" i="2"/>
  <c r="C26" i="2"/>
  <c r="B20" i="2"/>
  <c r="B12" i="2" s="1"/>
  <c r="C22" i="2"/>
  <c r="F27" i="3"/>
  <c r="B14" i="2"/>
  <c r="D14" i="2"/>
  <c r="E14" i="2"/>
  <c r="B22" i="2"/>
  <c r="B19" i="2"/>
  <c r="E22" i="2"/>
  <c r="B26" i="2"/>
  <c r="E26" i="2"/>
  <c r="E33" i="2"/>
  <c r="AG33" i="2" s="1"/>
  <c r="D18" i="2"/>
  <c r="H11" i="2"/>
  <c r="H10" i="2" s="1"/>
  <c r="H18" i="2"/>
  <c r="AE42" i="2"/>
  <c r="AE64" i="2"/>
  <c r="AE68" i="2" s="1"/>
  <c r="AC42" i="2"/>
  <c r="AC64" i="2"/>
  <c r="AC68" i="2" s="1"/>
  <c r="AA42" i="2"/>
  <c r="AA64" i="2"/>
  <c r="AA68" i="2" s="1"/>
  <c r="Y42" i="2"/>
  <c r="Y64" i="2"/>
  <c r="Y68" i="2" s="1"/>
  <c r="W42" i="2"/>
  <c r="W64" i="2"/>
  <c r="W68" i="2" s="1"/>
  <c r="U42" i="2"/>
  <c r="U64" i="2"/>
  <c r="U68" i="2" s="1"/>
  <c r="S42" i="2"/>
  <c r="S64" i="2"/>
  <c r="S68" i="2" s="1"/>
  <c r="Q42" i="2"/>
  <c r="Q64" i="2"/>
  <c r="Q68" i="2" s="1"/>
  <c r="O42" i="2"/>
  <c r="O64" i="2"/>
  <c r="O68" i="2" s="1"/>
  <c r="M42" i="2"/>
  <c r="M64" i="2"/>
  <c r="M68" i="2" s="1"/>
  <c r="K42" i="2"/>
  <c r="K64" i="2"/>
  <c r="K68" i="2" s="1"/>
  <c r="I42" i="2"/>
  <c r="I68" i="2"/>
  <c r="AE11" i="2"/>
  <c r="AE18" i="2"/>
  <c r="AD37" i="2"/>
  <c r="AD18" i="2"/>
  <c r="AC11" i="2"/>
  <c r="AC18" i="2"/>
  <c r="AB37" i="2"/>
  <c r="AB18" i="2"/>
  <c r="AA11" i="2"/>
  <c r="AA18" i="2"/>
  <c r="Z37" i="2"/>
  <c r="Z18" i="2"/>
  <c r="Y11" i="2"/>
  <c r="Y18" i="2"/>
  <c r="X37" i="2"/>
  <c r="X18" i="2"/>
  <c r="W11" i="2"/>
  <c r="W18" i="2"/>
  <c r="V37" i="2"/>
  <c r="V18" i="2"/>
  <c r="U11" i="2"/>
  <c r="U18" i="2"/>
  <c r="T37" i="2"/>
  <c r="T18" i="2"/>
  <c r="S11" i="2"/>
  <c r="S18" i="2"/>
  <c r="R37" i="2"/>
  <c r="R18" i="2"/>
  <c r="Q11" i="2"/>
  <c r="Q18" i="2"/>
  <c r="P37" i="2"/>
  <c r="P18" i="2"/>
  <c r="O11" i="2"/>
  <c r="O18" i="2"/>
  <c r="N37" i="2"/>
  <c r="N18" i="2"/>
  <c r="M11" i="2"/>
  <c r="M18" i="2"/>
  <c r="L37" i="2"/>
  <c r="L18" i="2"/>
  <c r="K11" i="2"/>
  <c r="K18" i="2"/>
  <c r="J37" i="2"/>
  <c r="I11" i="2"/>
  <c r="I18" i="2"/>
  <c r="G35" i="3"/>
  <c r="C60" i="5"/>
  <c r="F32" i="3"/>
  <c r="G32" i="3"/>
  <c r="G40" i="3"/>
  <c r="F31" i="3"/>
  <c r="F61" i="5"/>
  <c r="E61" i="5"/>
  <c r="E67" i="5"/>
  <c r="F45" i="5"/>
  <c r="G45" i="5"/>
  <c r="G59" i="4"/>
  <c r="F59" i="4"/>
  <c r="F43" i="4"/>
  <c r="G43" i="4"/>
  <c r="B26" i="3"/>
  <c r="F26" i="3" s="1"/>
  <c r="G27" i="3"/>
  <c r="G28" i="3"/>
  <c r="G26" i="3"/>
  <c r="F28" i="3"/>
  <c r="D12" i="2"/>
  <c r="Q12" i="2"/>
  <c r="H38" i="2"/>
  <c r="H64" i="2" s="1"/>
  <c r="X11" i="2"/>
  <c r="X10" i="2" s="1"/>
  <c r="Y12" i="2"/>
  <c r="I12" i="2"/>
  <c r="P11" i="2"/>
  <c r="P10" i="2" s="1"/>
  <c r="E20" i="2"/>
  <c r="AC12" i="2"/>
  <c r="U12" i="2"/>
  <c r="M12" i="2"/>
  <c r="AB11" i="2"/>
  <c r="AB10" i="2" s="1"/>
  <c r="T11" i="2"/>
  <c r="T10" i="2" s="1"/>
  <c r="L11" i="2"/>
  <c r="L10" i="2" s="1"/>
  <c r="D38" i="2"/>
  <c r="D64" i="2" s="1"/>
  <c r="AD38" i="2"/>
  <c r="AB38" i="2"/>
  <c r="Z38" i="2"/>
  <c r="X38" i="2"/>
  <c r="V38" i="2"/>
  <c r="T38" i="2"/>
  <c r="R38" i="2"/>
  <c r="P38" i="2"/>
  <c r="N38" i="2"/>
  <c r="L38" i="2"/>
  <c r="J38" i="2"/>
  <c r="AE37" i="2"/>
  <c r="AC37" i="2"/>
  <c r="AA37" i="2"/>
  <c r="Y37" i="2"/>
  <c r="W37" i="2"/>
  <c r="U37" i="2"/>
  <c r="S37" i="2"/>
  <c r="Q37" i="2"/>
  <c r="O37" i="2"/>
  <c r="M37" i="2"/>
  <c r="K37" i="2"/>
  <c r="I37" i="2"/>
  <c r="C20" i="2"/>
  <c r="C12" i="2" s="1"/>
  <c r="E19" i="2"/>
  <c r="AE12" i="2"/>
  <c r="AA12" i="2"/>
  <c r="W12" i="2"/>
  <c r="S12" i="2"/>
  <c r="O12" i="2"/>
  <c r="K12" i="2"/>
  <c r="AD11" i="2"/>
  <c r="AD10" i="2" s="1"/>
  <c r="Z11" i="2"/>
  <c r="Z10" i="2" s="1"/>
  <c r="V11" i="2"/>
  <c r="V10" i="2" s="1"/>
  <c r="R11" i="2"/>
  <c r="R10" i="2" s="1"/>
  <c r="N11" i="2"/>
  <c r="N10" i="2" s="1"/>
  <c r="J11" i="2"/>
  <c r="J10" i="2" s="1"/>
  <c r="C11" i="2"/>
  <c r="B39" i="3" l="1"/>
  <c r="B38" i="3" s="1"/>
  <c r="F38" i="3" s="1"/>
  <c r="B34" i="3"/>
  <c r="D39" i="3"/>
  <c r="D34" i="3"/>
  <c r="D38" i="3" s="1"/>
  <c r="D71" i="5"/>
  <c r="D70" i="5" s="1"/>
  <c r="C68" i="5"/>
  <c r="G31" i="3"/>
  <c r="G14" i="2"/>
  <c r="F14" i="2"/>
  <c r="AG14" i="2"/>
  <c r="G19" i="2"/>
  <c r="F19" i="2"/>
  <c r="G20" i="2"/>
  <c r="F20" i="2"/>
  <c r="F22" i="2"/>
  <c r="G22" i="2"/>
  <c r="AG22" i="2"/>
  <c r="AG20" i="2"/>
  <c r="G33" i="2"/>
  <c r="F33" i="2"/>
  <c r="AG19" i="2"/>
  <c r="C10" i="2"/>
  <c r="G26" i="2"/>
  <c r="F26" i="2"/>
  <c r="AG26" i="2"/>
  <c r="AG30" i="2"/>
  <c r="G30" i="2"/>
  <c r="G47" i="2"/>
  <c r="F47" i="2"/>
  <c r="D42" i="2"/>
  <c r="D36" i="2"/>
  <c r="B59" i="2"/>
  <c r="F54" i="2"/>
  <c r="C18" i="2"/>
  <c r="C38" i="2"/>
  <c r="C64" i="2" s="1"/>
  <c r="D10" i="2"/>
  <c r="H41" i="2"/>
  <c r="E18" i="2"/>
  <c r="I41" i="2"/>
  <c r="I40" i="2" s="1"/>
  <c r="I63" i="2"/>
  <c r="K41" i="2"/>
  <c r="K40" i="2" s="1"/>
  <c r="K63" i="2"/>
  <c r="M41" i="2"/>
  <c r="M40" i="2" s="1"/>
  <c r="M63" i="2"/>
  <c r="O41" i="2"/>
  <c r="O40" i="2" s="1"/>
  <c r="O63" i="2"/>
  <c r="Q41" i="2"/>
  <c r="Q40" i="2" s="1"/>
  <c r="Q63" i="2"/>
  <c r="S41" i="2"/>
  <c r="S40" i="2" s="1"/>
  <c r="S63" i="2"/>
  <c r="U41" i="2"/>
  <c r="U40" i="2" s="1"/>
  <c r="U63" i="2"/>
  <c r="W41" i="2"/>
  <c r="W40" i="2" s="1"/>
  <c r="W63" i="2"/>
  <c r="Y41" i="2"/>
  <c r="Y40" i="2" s="1"/>
  <c r="Y63" i="2"/>
  <c r="AA41" i="2"/>
  <c r="AA40" i="2" s="1"/>
  <c r="AA63" i="2"/>
  <c r="AC41" i="2"/>
  <c r="AC40" i="2" s="1"/>
  <c r="AC63" i="2"/>
  <c r="AE41" i="2"/>
  <c r="AE40" i="2" s="1"/>
  <c r="AE63" i="2"/>
  <c r="J42" i="2"/>
  <c r="J64" i="2"/>
  <c r="L42" i="2"/>
  <c r="L64" i="2"/>
  <c r="N42" i="2"/>
  <c r="N64" i="2"/>
  <c r="P42" i="2"/>
  <c r="P64" i="2"/>
  <c r="R42" i="2"/>
  <c r="R64" i="2"/>
  <c r="T42" i="2"/>
  <c r="T64" i="2"/>
  <c r="V42" i="2"/>
  <c r="V64" i="2"/>
  <c r="X42" i="2"/>
  <c r="X64" i="2"/>
  <c r="Z42" i="2"/>
  <c r="Z64" i="2"/>
  <c r="AB42" i="2"/>
  <c r="AB64" i="2"/>
  <c r="AD42" i="2"/>
  <c r="AD64" i="2"/>
  <c r="D41" i="2"/>
  <c r="H42" i="2"/>
  <c r="F34" i="3"/>
  <c r="E68" i="5"/>
  <c r="E71" i="5"/>
  <c r="E70" i="5" s="1"/>
  <c r="F30" i="3"/>
  <c r="G30" i="3"/>
  <c r="C71" i="5"/>
  <c r="C38" i="3"/>
  <c r="G38" i="3" s="1"/>
  <c r="G39" i="3"/>
  <c r="I10" i="2"/>
  <c r="J41" i="2"/>
  <c r="J63" i="2"/>
  <c r="J67" i="2" s="1"/>
  <c r="K10" i="2"/>
  <c r="L41" i="2"/>
  <c r="L63" i="2"/>
  <c r="L67" i="2" s="1"/>
  <c r="M10" i="2"/>
  <c r="N41" i="2"/>
  <c r="N63" i="2"/>
  <c r="N67" i="2" s="1"/>
  <c r="O10" i="2"/>
  <c r="P41" i="2"/>
  <c r="P63" i="2"/>
  <c r="P67" i="2" s="1"/>
  <c r="Q10" i="2"/>
  <c r="R41" i="2"/>
  <c r="R63" i="2"/>
  <c r="R67" i="2" s="1"/>
  <c r="S10" i="2"/>
  <c r="T41" i="2"/>
  <c r="T63" i="2"/>
  <c r="T67" i="2" s="1"/>
  <c r="U10" i="2"/>
  <c r="V41" i="2"/>
  <c r="V63" i="2"/>
  <c r="V67" i="2" s="1"/>
  <c r="W10" i="2"/>
  <c r="X41" i="2"/>
  <c r="X63" i="2"/>
  <c r="X67" i="2" s="1"/>
  <c r="Y10" i="2"/>
  <c r="Z41" i="2"/>
  <c r="Z63" i="2"/>
  <c r="Z67" i="2" s="1"/>
  <c r="AA10" i="2"/>
  <c r="AB41" i="2"/>
  <c r="AB63" i="2"/>
  <c r="AB67" i="2" s="1"/>
  <c r="AC10" i="2"/>
  <c r="AD41" i="2"/>
  <c r="AD63" i="2"/>
  <c r="AD67" i="2" s="1"/>
  <c r="AE10" i="2"/>
  <c r="B18" i="2"/>
  <c r="B37" i="2"/>
  <c r="B11" i="2"/>
  <c r="B10" i="2" s="1"/>
  <c r="E66" i="5"/>
  <c r="G66" i="5" s="1"/>
  <c r="G67" i="5"/>
  <c r="G61" i="5"/>
  <c r="E60" i="5"/>
  <c r="F63" i="5"/>
  <c r="B67" i="5"/>
  <c r="G36" i="3"/>
  <c r="K36" i="2"/>
  <c r="O36" i="2"/>
  <c r="S36" i="2"/>
  <c r="W36" i="2"/>
  <c r="AA36" i="2"/>
  <c r="AE36" i="2"/>
  <c r="L36" i="2"/>
  <c r="P36" i="2"/>
  <c r="T36" i="2"/>
  <c r="X36" i="2"/>
  <c r="AB36" i="2"/>
  <c r="D68" i="2"/>
  <c r="H36" i="2"/>
  <c r="I36" i="2"/>
  <c r="M36" i="2"/>
  <c r="Q36" i="2"/>
  <c r="U36" i="2"/>
  <c r="Y36" i="2"/>
  <c r="AC36" i="2"/>
  <c r="J36" i="2"/>
  <c r="N36" i="2"/>
  <c r="R36" i="2"/>
  <c r="V36" i="2"/>
  <c r="Z36" i="2"/>
  <c r="AD36" i="2"/>
  <c r="E12" i="2"/>
  <c r="E38" i="2"/>
  <c r="E64" i="2" s="1"/>
  <c r="C37" i="2"/>
  <c r="B38" i="2"/>
  <c r="E37" i="2"/>
  <c r="E63" i="2" s="1"/>
  <c r="E11" i="2"/>
  <c r="F39" i="3" l="1"/>
  <c r="B64" i="2"/>
  <c r="B68" i="2" s="1"/>
  <c r="B63" i="2"/>
  <c r="B67" i="2" s="1"/>
  <c r="C70" i="5"/>
  <c r="G34" i="3"/>
  <c r="D40" i="2"/>
  <c r="F37" i="2"/>
  <c r="G37" i="2"/>
  <c r="G12" i="2"/>
  <c r="F12" i="2"/>
  <c r="B58" i="2"/>
  <c r="F59" i="2"/>
  <c r="C63" i="2"/>
  <c r="C67" i="2" s="1"/>
  <c r="AG37" i="2"/>
  <c r="AG38" i="2"/>
  <c r="G11" i="2"/>
  <c r="F11" i="2"/>
  <c r="G38" i="2"/>
  <c r="F38" i="2"/>
  <c r="G18" i="2"/>
  <c r="F18" i="2"/>
  <c r="AG18" i="2"/>
  <c r="C36" i="2"/>
  <c r="C42" i="2"/>
  <c r="E36" i="2"/>
  <c r="H68" i="2"/>
  <c r="H62" i="2"/>
  <c r="E10" i="2"/>
  <c r="E41" i="2"/>
  <c r="B42" i="2"/>
  <c r="C41" i="2"/>
  <c r="E42" i="2"/>
  <c r="B41" i="2"/>
  <c r="B36" i="2"/>
  <c r="E58" i="2"/>
  <c r="D66" i="2"/>
  <c r="D62" i="2"/>
  <c r="AD62" i="2"/>
  <c r="AD68" i="2"/>
  <c r="AD66" i="2" s="1"/>
  <c r="AD40" i="2"/>
  <c r="AB62" i="2"/>
  <c r="AB68" i="2"/>
  <c r="AB66" i="2" s="1"/>
  <c r="AB40" i="2"/>
  <c r="Z62" i="2"/>
  <c r="Z68" i="2"/>
  <c r="Z66" i="2" s="1"/>
  <c r="Z40" i="2"/>
  <c r="X62" i="2"/>
  <c r="X68" i="2"/>
  <c r="X66" i="2" s="1"/>
  <c r="X40" i="2"/>
  <c r="V62" i="2"/>
  <c r="V68" i="2"/>
  <c r="V66" i="2" s="1"/>
  <c r="V40" i="2"/>
  <c r="T62" i="2"/>
  <c r="T68" i="2"/>
  <c r="T66" i="2" s="1"/>
  <c r="T40" i="2"/>
  <c r="R62" i="2"/>
  <c r="R68" i="2"/>
  <c r="R66" i="2" s="1"/>
  <c r="R40" i="2"/>
  <c r="P62" i="2"/>
  <c r="P68" i="2"/>
  <c r="P66" i="2" s="1"/>
  <c r="P40" i="2"/>
  <c r="N62" i="2"/>
  <c r="N68" i="2"/>
  <c r="N66" i="2" s="1"/>
  <c r="N40" i="2"/>
  <c r="L62" i="2"/>
  <c r="L68" i="2"/>
  <c r="L66" i="2" s="1"/>
  <c r="L40" i="2"/>
  <c r="J62" i="2"/>
  <c r="J68" i="2"/>
  <c r="J66" i="2" s="1"/>
  <c r="J40" i="2"/>
  <c r="AE67" i="2"/>
  <c r="AE66" i="2" s="1"/>
  <c r="AE62" i="2"/>
  <c r="AC67" i="2"/>
  <c r="AC66" i="2" s="1"/>
  <c r="AC62" i="2"/>
  <c r="AA67" i="2"/>
  <c r="AA66" i="2" s="1"/>
  <c r="AA62" i="2"/>
  <c r="Y67" i="2"/>
  <c r="Y66" i="2" s="1"/>
  <c r="Y62" i="2"/>
  <c r="W67" i="2"/>
  <c r="W66" i="2" s="1"/>
  <c r="W62" i="2"/>
  <c r="U67" i="2"/>
  <c r="U66" i="2" s="1"/>
  <c r="U62" i="2"/>
  <c r="S67" i="2"/>
  <c r="S66" i="2" s="1"/>
  <c r="S62" i="2"/>
  <c r="Q67" i="2"/>
  <c r="Q66" i="2" s="1"/>
  <c r="Q62" i="2"/>
  <c r="O67" i="2"/>
  <c r="O66" i="2" s="1"/>
  <c r="O62" i="2"/>
  <c r="M67" i="2"/>
  <c r="M66" i="2" s="1"/>
  <c r="M62" i="2"/>
  <c r="K67" i="2"/>
  <c r="K66" i="2" s="1"/>
  <c r="K62" i="2"/>
  <c r="I67" i="2"/>
  <c r="I66" i="2" s="1"/>
  <c r="I62" i="2"/>
  <c r="H67" i="2"/>
  <c r="H40" i="2"/>
  <c r="G60" i="5"/>
  <c r="F60" i="5"/>
  <c r="F67" i="5"/>
  <c r="B66" i="5"/>
  <c r="F66" i="5" s="1"/>
  <c r="F64" i="2" l="1"/>
  <c r="C40" i="2"/>
  <c r="H66" i="2"/>
  <c r="F36" i="2"/>
  <c r="G36" i="2"/>
  <c r="C68" i="2"/>
  <c r="C66" i="2" s="1"/>
  <c r="AG64" i="2"/>
  <c r="F42" i="2"/>
  <c r="G42" i="2"/>
  <c r="G41" i="2"/>
  <c r="F41" i="2"/>
  <c r="E68" i="2"/>
  <c r="G64" i="2"/>
  <c r="G10" i="2"/>
  <c r="F10" i="2"/>
  <c r="AG36" i="2"/>
  <c r="G58" i="2"/>
  <c r="F58" i="2"/>
  <c r="E67" i="2"/>
  <c r="G63" i="2"/>
  <c r="F63" i="2"/>
  <c r="AG63" i="2"/>
  <c r="B66" i="2"/>
  <c r="B40" i="2"/>
  <c r="E62" i="2"/>
  <c r="C62" i="2"/>
  <c r="E40" i="2"/>
  <c r="B62" i="2"/>
  <c r="F62" i="2" l="1"/>
  <c r="G40" i="2"/>
  <c r="F40" i="2"/>
  <c r="F68" i="2"/>
  <c r="G68" i="2"/>
  <c r="G67" i="2"/>
  <c r="F67" i="2"/>
  <c r="G62" i="2"/>
  <c r="AG62" i="2"/>
  <c r="E66" i="2"/>
  <c r="D17" i="5"/>
  <c r="D16" i="5" s="1"/>
  <c r="B17" i="5"/>
  <c r="B16" i="5" s="1"/>
  <c r="G66" i="2" l="1"/>
  <c r="F66" i="2"/>
  <c r="B13" i="5"/>
  <c r="F13" i="5" s="1"/>
  <c r="E17" i="5"/>
  <c r="F17" i="5" s="1"/>
  <c r="C17" i="5"/>
  <c r="C16" i="5" s="1"/>
  <c r="G14" i="5"/>
  <c r="F14" i="5"/>
  <c r="G13" i="5"/>
  <c r="F69" i="5" l="1"/>
  <c r="G69" i="5"/>
  <c r="G17" i="5"/>
  <c r="E16" i="5"/>
  <c r="F68" i="5" l="1"/>
  <c r="G68" i="5"/>
  <c r="F71" i="5"/>
  <c r="G71" i="5"/>
  <c r="F16" i="5"/>
  <c r="G16" i="5"/>
  <c r="F70" i="5" l="1"/>
  <c r="G70" i="5"/>
  <c r="D21" i="11"/>
  <c r="D18" i="11" s="1"/>
  <c r="E18" i="11"/>
  <c r="G11" i="11"/>
  <c r="E17" i="4" l="1"/>
  <c r="E23" i="4" s="1"/>
  <c r="E62" i="4" s="1"/>
  <c r="E61" i="4" s="1"/>
  <c r="I23" i="4"/>
  <c r="I22" i="4" s="1"/>
  <c r="H23" i="4"/>
  <c r="H22" i="4" s="1"/>
  <c r="D17" i="4"/>
  <c r="D16" i="4" s="1"/>
  <c r="D15" i="4" s="1"/>
  <c r="I16" i="4"/>
  <c r="I15" i="4" s="1"/>
  <c r="H16" i="4"/>
  <c r="H15" i="4" s="1"/>
  <c r="H26" i="4" l="1"/>
  <c r="H25" i="4" s="1"/>
  <c r="I26" i="4"/>
  <c r="I25" i="4" s="1"/>
  <c r="D23" i="4"/>
  <c r="I62" i="4"/>
  <c r="E22" i="4"/>
  <c r="E26" i="4"/>
  <c r="H62" i="4"/>
  <c r="E66" i="4"/>
  <c r="E65" i="4" s="1"/>
  <c r="E16" i="4"/>
  <c r="E25" i="4" l="1"/>
  <c r="D22" i="4"/>
  <c r="D26" i="4"/>
  <c r="D25" i="4" s="1"/>
  <c r="D62" i="4"/>
  <c r="D61" i="4" s="1"/>
  <c r="E15" i="4"/>
  <c r="H61" i="4"/>
  <c r="H66" i="4"/>
  <c r="H65" i="4" s="1"/>
  <c r="I61" i="4"/>
  <c r="I66" i="4"/>
  <c r="I65" i="4" s="1"/>
  <c r="D66" i="4" l="1"/>
  <c r="D65" i="4" s="1"/>
  <c r="K23" i="4"/>
  <c r="K26" i="4" s="1"/>
  <c r="K25" i="4" s="1"/>
  <c r="X23" i="4"/>
  <c r="X22" i="4" s="1"/>
  <c r="L23" i="4"/>
  <c r="Y23" i="4"/>
  <c r="Y62" i="4" s="1"/>
  <c r="AA23" i="4"/>
  <c r="AA22" i="4" s="1"/>
  <c r="R23" i="4"/>
  <c r="R26" i="4" s="1"/>
  <c r="R25" i="4" s="1"/>
  <c r="W23" i="4"/>
  <c r="W62" i="4" s="1"/>
  <c r="U23" i="4"/>
  <c r="U62" i="4" s="1"/>
  <c r="S23" i="4"/>
  <c r="S62" i="4" s="1"/>
  <c r="AB23" i="4"/>
  <c r="AB26" i="4" s="1"/>
  <c r="AB25" i="4" s="1"/>
  <c r="AC16" i="4"/>
  <c r="AC15" i="4" s="1"/>
  <c r="AC23" i="4"/>
  <c r="AC26" i="4" s="1"/>
  <c r="AC25" i="4" s="1"/>
  <c r="M62" i="4"/>
  <c r="M66" i="4" s="1"/>
  <c r="M65" i="4" s="1"/>
  <c r="K16" i="4"/>
  <c r="K15" i="4" s="1"/>
  <c r="J23" i="4"/>
  <c r="J26" i="4" s="1"/>
  <c r="J25" i="4" s="1"/>
  <c r="Q16" i="4"/>
  <c r="Q15" i="4" s="1"/>
  <c r="Q23" i="4"/>
  <c r="Q22" i="4" s="1"/>
  <c r="T23" i="4"/>
  <c r="T22" i="4" s="1"/>
  <c r="V16" i="4"/>
  <c r="V15" i="4" s="1"/>
  <c r="V23" i="4"/>
  <c r="V26" i="4" s="1"/>
  <c r="V25" i="4" s="1"/>
  <c r="Z23" i="4"/>
  <c r="Z22" i="4" s="1"/>
  <c r="X16" i="4"/>
  <c r="X15" i="4" s="1"/>
  <c r="T16" i="4"/>
  <c r="T15" i="4" s="1"/>
  <c r="L16" i="4"/>
  <c r="L15" i="4" s="1"/>
  <c r="Y16" i="4"/>
  <c r="Y15" i="4" s="1"/>
  <c r="U16" i="4"/>
  <c r="U15" i="4" s="1"/>
  <c r="M16" i="4"/>
  <c r="M15" i="4" s="1"/>
  <c r="Z16" i="4"/>
  <c r="Z15" i="4" s="1"/>
  <c r="S16" i="4"/>
  <c r="S15" i="4" s="1"/>
  <c r="R16" i="4"/>
  <c r="R15" i="4" s="1"/>
  <c r="AB16" i="4"/>
  <c r="AB15" i="4" s="1"/>
  <c r="O16" i="4"/>
  <c r="O15" i="4" s="1"/>
  <c r="O23" i="4"/>
  <c r="O26" i="4" s="1"/>
  <c r="O25" i="4" s="1"/>
  <c r="J16" i="4"/>
  <c r="J15" i="4" s="1"/>
  <c r="B17" i="4"/>
  <c r="B16" i="4" s="1"/>
  <c r="N16" i="4"/>
  <c r="N15" i="4" s="1"/>
  <c r="N23" i="4"/>
  <c r="N62" i="4" s="1"/>
  <c r="W16" i="4"/>
  <c r="W15" i="4" s="1"/>
  <c r="AA16" i="4"/>
  <c r="AA15" i="4" s="1"/>
  <c r="P16" i="4"/>
  <c r="P15" i="4" s="1"/>
  <c r="P23" i="4"/>
  <c r="P26" i="4" s="1"/>
  <c r="P25" i="4" s="1"/>
  <c r="L22" i="4" l="1"/>
  <c r="L62" i="4"/>
  <c r="L61" i="4" s="1"/>
  <c r="J62" i="4"/>
  <c r="J66" i="4" s="1"/>
  <c r="J65" i="4" s="1"/>
  <c r="AC62" i="4"/>
  <c r="AC61" i="4" s="1"/>
  <c r="M25" i="4"/>
  <c r="AB62" i="4"/>
  <c r="R62" i="4"/>
  <c r="R61" i="4" s="1"/>
  <c r="Z26" i="4"/>
  <c r="Z25" i="4" s="1"/>
  <c r="Z62" i="4"/>
  <c r="Z61" i="4" s="1"/>
  <c r="AA62" i="4"/>
  <c r="AA66" i="4" s="1"/>
  <c r="AA65" i="4" s="1"/>
  <c r="J22" i="4"/>
  <c r="Y26" i="4"/>
  <c r="Y25" i="4" s="1"/>
  <c r="AB22" i="4"/>
  <c r="M22" i="4"/>
  <c r="F23" i="4"/>
  <c r="O62" i="4"/>
  <c r="O22" i="4"/>
  <c r="W61" i="4"/>
  <c r="W66" i="4"/>
  <c r="W65" i="4" s="1"/>
  <c r="Y66" i="4"/>
  <c r="Y65" i="4" s="1"/>
  <c r="Y61" i="4"/>
  <c r="U61" i="4"/>
  <c r="U66" i="4"/>
  <c r="U65" i="4" s="1"/>
  <c r="B15" i="4"/>
  <c r="F15" i="4" s="1"/>
  <c r="F16" i="4"/>
  <c r="N66" i="4"/>
  <c r="N65" i="4" s="1"/>
  <c r="N61" i="4"/>
  <c r="S66" i="4"/>
  <c r="S65" i="4" s="1"/>
  <c r="S61" i="4"/>
  <c r="W22" i="4"/>
  <c r="V62" i="4"/>
  <c r="V22" i="4"/>
  <c r="L26" i="4"/>
  <c r="L25" i="4" s="1"/>
  <c r="AA26" i="4"/>
  <c r="AA25" i="4" s="1"/>
  <c r="R22" i="4"/>
  <c r="W26" i="4"/>
  <c r="W25" i="4" s="1"/>
  <c r="AC22" i="4"/>
  <c r="Q62" i="4"/>
  <c r="Q26" i="4"/>
  <c r="Q25" i="4" s="1"/>
  <c r="T62" i="4"/>
  <c r="P22" i="4"/>
  <c r="Y22" i="4"/>
  <c r="K22" i="4"/>
  <c r="S26" i="4"/>
  <c r="S25" i="4" s="1"/>
  <c r="F17" i="4"/>
  <c r="U26" i="4"/>
  <c r="U25" i="4" s="1"/>
  <c r="K62" i="4"/>
  <c r="U22" i="4"/>
  <c r="N22" i="4"/>
  <c r="S22" i="4"/>
  <c r="P62" i="4"/>
  <c r="T26" i="4"/>
  <c r="T25" i="4" s="1"/>
  <c r="M61" i="4"/>
  <c r="N26" i="4"/>
  <c r="N25" i="4" s="1"/>
  <c r="X62" i="4"/>
  <c r="X26" i="4"/>
  <c r="X25" i="4" s="1"/>
  <c r="Z66" i="4" l="1"/>
  <c r="Z65" i="4" s="1"/>
  <c r="J61" i="4"/>
  <c r="AC66" i="4"/>
  <c r="AC65" i="4" s="1"/>
  <c r="R66" i="4"/>
  <c r="R65" i="4" s="1"/>
  <c r="AB61" i="4"/>
  <c r="AB66" i="4"/>
  <c r="AB65" i="4" s="1"/>
  <c r="O66" i="4"/>
  <c r="O65" i="4" s="1"/>
  <c r="O61" i="4"/>
  <c r="L66" i="4"/>
  <c r="L65" i="4" s="1"/>
  <c r="AA61" i="4"/>
  <c r="B22" i="4"/>
  <c r="F22" i="4" s="1"/>
  <c r="B26" i="4"/>
  <c r="B62" i="4"/>
  <c r="B61" i="4" s="1"/>
  <c r="P66" i="4"/>
  <c r="P65" i="4" s="1"/>
  <c r="P61" i="4"/>
  <c r="K66" i="4"/>
  <c r="K65" i="4" s="1"/>
  <c r="K61" i="4"/>
  <c r="X66" i="4"/>
  <c r="X65" i="4" s="1"/>
  <c r="X61" i="4"/>
  <c r="T61" i="4"/>
  <c r="T66" i="4"/>
  <c r="T65" i="4" s="1"/>
  <c r="Q61" i="4"/>
  <c r="Q66" i="4"/>
  <c r="Q65" i="4" s="1"/>
  <c r="V61" i="4"/>
  <c r="V66" i="4"/>
  <c r="V65" i="4" s="1"/>
  <c r="AE23" i="4"/>
  <c r="AE26" i="4" s="1"/>
  <c r="AE25" i="4" s="1"/>
  <c r="AE16" i="4"/>
  <c r="AE15" i="4" s="1"/>
  <c r="C17" i="4"/>
  <c r="C23" i="4" s="1"/>
  <c r="C62" i="4" l="1"/>
  <c r="C61" i="4" s="1"/>
  <c r="C26" i="4"/>
  <c r="C16" i="4"/>
  <c r="AG16" i="4" s="1"/>
  <c r="AG17" i="4"/>
  <c r="F61" i="4"/>
  <c r="F62" i="4"/>
  <c r="B66" i="4"/>
  <c r="B65" i="4" s="1"/>
  <c r="F26" i="4"/>
  <c r="B25" i="4"/>
  <c r="F25" i="4" s="1"/>
  <c r="AE22" i="4"/>
  <c r="AE62" i="4"/>
  <c r="G17" i="4"/>
  <c r="G16" i="4" l="1"/>
  <c r="C66" i="4"/>
  <c r="C65" i="4" s="1"/>
  <c r="C15" i="4"/>
  <c r="G15" i="4" s="1"/>
  <c r="C25" i="4"/>
  <c r="AG23" i="4"/>
  <c r="C22" i="4"/>
  <c r="G23" i="4"/>
  <c r="F66" i="4"/>
  <c r="F65" i="4"/>
  <c r="AE61" i="4"/>
  <c r="AE66" i="4"/>
  <c r="AE65" i="4" s="1"/>
  <c r="AG15" i="4" l="1"/>
  <c r="AG62" i="4"/>
  <c r="G25" i="4"/>
  <c r="AG25" i="4"/>
  <c r="G22" i="4"/>
  <c r="AG22" i="4"/>
  <c r="G26" i="4"/>
  <c r="AG26" i="4"/>
  <c r="G62" i="4"/>
  <c r="G66" i="4" l="1"/>
  <c r="AG66" i="4"/>
  <c r="G61" i="4"/>
  <c r="AG61" i="4"/>
  <c r="I13" i="11"/>
  <c r="I14" i="11"/>
  <c r="I103" i="11" s="1"/>
  <c r="B20" i="11"/>
  <c r="F20" i="11" s="1"/>
  <c r="H13" i="11"/>
  <c r="C20" i="11"/>
  <c r="H14" i="11"/>
  <c r="H103" i="11" s="1"/>
  <c r="C19" i="11"/>
  <c r="D13" i="11" l="1"/>
  <c r="D102" i="11" s="1"/>
  <c r="I102" i="11"/>
  <c r="H107" i="11"/>
  <c r="H102" i="11"/>
  <c r="G20" i="11"/>
  <c r="G19" i="11"/>
  <c r="G65" i="4"/>
  <c r="AG65" i="4"/>
  <c r="D14" i="11"/>
  <c r="F19" i="11"/>
  <c r="H108" i="11"/>
  <c r="I108" i="11"/>
  <c r="D107" i="11"/>
  <c r="B14" i="11"/>
  <c r="C14" i="11"/>
  <c r="I107" i="11"/>
  <c r="C13" i="11"/>
  <c r="B13" i="11"/>
  <c r="B102" i="11" s="1"/>
  <c r="D108" i="11" l="1"/>
  <c r="D103" i="11"/>
  <c r="D106" i="11" s="1"/>
  <c r="C102" i="11"/>
  <c r="C103" i="11"/>
  <c r="C101" i="11" s="1"/>
  <c r="C108" i="11"/>
  <c r="B107" i="11"/>
  <c r="C107" i="11"/>
  <c r="F103" i="11"/>
  <c r="F108" i="11" l="1"/>
  <c r="F104" i="11" s="1"/>
  <c r="F101" i="11" s="1"/>
  <c r="G108" i="11"/>
  <c r="G103" i="11"/>
  <c r="F107" i="11"/>
  <c r="B22" i="11"/>
  <c r="F22" i="11" s="1"/>
  <c r="I16" i="11"/>
  <c r="C22" i="11"/>
  <c r="C18" i="11" s="1"/>
  <c r="H16" i="11"/>
  <c r="C16" i="11" s="1"/>
  <c r="I110" i="11" l="1"/>
  <c r="I12" i="11"/>
  <c r="G22" i="11"/>
  <c r="D16" i="11"/>
  <c r="D110" i="11" s="1"/>
  <c r="C110" i="11"/>
  <c r="C105" i="11"/>
  <c r="B16" i="11"/>
  <c r="H110" i="11"/>
  <c r="H105" i="11"/>
  <c r="I105" i="11"/>
  <c r="I11" i="11" l="1"/>
  <c r="D105" i="11"/>
  <c r="D12" i="11"/>
  <c r="D11" i="11" s="1"/>
  <c r="B110" i="11"/>
  <c r="F110" i="11" s="1"/>
  <c r="B105" i="11"/>
  <c r="F105" i="11" s="1"/>
  <c r="G105" i="11"/>
  <c r="G110" i="11"/>
  <c r="I18" i="11"/>
  <c r="B21" i="11"/>
  <c r="B18" i="11" s="1"/>
  <c r="H18" i="11"/>
  <c r="H15" i="11"/>
  <c r="H12" i="11" l="1"/>
  <c r="B15" i="11"/>
  <c r="G21" i="11"/>
  <c r="H11" i="11"/>
  <c r="H109" i="11"/>
  <c r="C109" i="11" s="1"/>
  <c r="C106" i="11" s="1"/>
  <c r="F21" i="11"/>
  <c r="B104" i="11" l="1"/>
  <c r="B101" i="11" s="1"/>
  <c r="B109" i="11"/>
  <c r="F106" i="11" s="1"/>
  <c r="H106" i="11"/>
  <c r="H104" i="11" s="1"/>
  <c r="H101" i="11" s="1"/>
  <c r="B12" i="11"/>
  <c r="B11" i="11" s="1"/>
  <c r="G18" i="11"/>
  <c r="C12" i="11"/>
  <c r="F18" i="11"/>
  <c r="C11" i="11" l="1"/>
  <c r="D80" i="6"/>
  <c r="D78" i="6" l="1"/>
  <c r="D77" i="6" l="1"/>
  <c r="D99" i="6"/>
  <c r="F78" i="6"/>
  <c r="D102" i="6" l="1"/>
  <c r="D101" i="6" s="1"/>
  <c r="D98" i="6"/>
  <c r="F98" i="6" s="1"/>
  <c r="F99" i="6"/>
  <c r="E107" i="6"/>
  <c r="C107" i="6"/>
  <c r="B107" i="6"/>
  <c r="B106" i="6" s="1"/>
  <c r="D107" i="6"/>
  <c r="D106" i="6" s="1"/>
  <c r="C106" i="6" l="1"/>
  <c r="C133" i="6"/>
  <c r="C130" i="6" s="1"/>
  <c r="G107" i="6"/>
  <c r="F107" i="6"/>
  <c r="D110" i="6"/>
  <c r="B110" i="6"/>
  <c r="C110" i="6"/>
  <c r="E110" i="6"/>
  <c r="E106" i="6"/>
  <c r="C138" i="6" l="1"/>
  <c r="C135" i="6" s="1"/>
  <c r="C113" i="6"/>
  <c r="C109" i="6"/>
  <c r="B113" i="6"/>
  <c r="B112" i="6" s="1"/>
  <c r="B109" i="6"/>
  <c r="D109" i="6"/>
  <c r="D113" i="6"/>
  <c r="D112" i="6" s="1"/>
  <c r="G106" i="6"/>
  <c r="F106" i="6"/>
  <c r="G110" i="6"/>
  <c r="F110" i="6"/>
  <c r="E113" i="6"/>
  <c r="E109" i="6"/>
  <c r="C112" i="6" l="1"/>
  <c r="G113" i="6"/>
  <c r="E112" i="6"/>
  <c r="F113" i="6"/>
  <c r="G109" i="6"/>
  <c r="F109" i="6"/>
  <c r="B138" i="6"/>
  <c r="B135" i="6" s="1"/>
  <c r="F112" i="6" l="1"/>
  <c r="G112" i="6"/>
  <c r="D19" i="6"/>
  <c r="D18" i="6" s="1"/>
  <c r="F19" i="6"/>
  <c r="G19" i="6"/>
  <c r="E15" i="6"/>
  <c r="F15" i="6" s="1"/>
  <c r="D15" i="6"/>
  <c r="F16" i="6"/>
  <c r="G16" i="6"/>
  <c r="D13" i="6"/>
  <c r="D56" i="6" s="1"/>
  <c r="F13" i="6"/>
  <c r="G13" i="6"/>
  <c r="E56" i="6"/>
  <c r="G56" i="6" s="1"/>
  <c r="E18" i="6"/>
  <c r="F18" i="6" s="1"/>
  <c r="F20" i="6"/>
  <c r="G20" i="6"/>
  <c r="D134" i="6" l="1"/>
  <c r="D139" i="6" s="1"/>
  <c r="F56" i="6"/>
  <c r="G15" i="6"/>
  <c r="E134" i="6"/>
  <c r="G18" i="6"/>
  <c r="E22" i="6"/>
  <c r="F22" i="6" s="1"/>
  <c r="F23" i="6"/>
  <c r="G23" i="6"/>
  <c r="E53" i="6"/>
  <c r="G53" i="6" s="1"/>
  <c r="E131" i="6"/>
  <c r="E136" i="6" s="1"/>
  <c r="G22" i="6" l="1"/>
  <c r="G134" i="6"/>
  <c r="F134" i="6"/>
  <c r="E139" i="6"/>
  <c r="E59" i="6"/>
  <c r="F139" i="6" l="1"/>
  <c r="G139" i="6"/>
  <c r="F59" i="6"/>
  <c r="G59" i="6"/>
  <c r="E28" i="6"/>
  <c r="F29" i="6"/>
  <c r="G29" i="6"/>
  <c r="E31" i="6"/>
  <c r="F32" i="6"/>
  <c r="G32" i="6"/>
  <c r="G26" i="6" l="1"/>
  <c r="F26" i="6"/>
  <c r="G25" i="6"/>
  <c r="F25" i="6"/>
  <c r="E46" i="6"/>
  <c r="F46" i="6" s="1"/>
  <c r="F47" i="6"/>
  <c r="G47" i="6"/>
  <c r="G46" i="6" s="1"/>
  <c r="E49" i="6" l="1"/>
  <c r="G50" i="6"/>
  <c r="F50" i="6"/>
  <c r="G130" i="6"/>
  <c r="F130" i="6"/>
  <c r="E137" i="6"/>
  <c r="F133" i="6"/>
  <c r="G133" i="6"/>
  <c r="E138" i="6"/>
  <c r="F138" i="6" s="1"/>
  <c r="E135" i="6" l="1"/>
  <c r="G138" i="6"/>
  <c r="F135" i="6" l="1"/>
  <c r="G135" i="6"/>
  <c r="G11" i="6" l="1"/>
  <c r="F11" i="6"/>
  <c r="F12" i="6"/>
  <c r="G12" i="6"/>
  <c r="E10" i="6"/>
  <c r="G10" i="6" s="1"/>
  <c r="F44" i="6"/>
  <c r="G44" i="6"/>
  <c r="G43" i="6" s="1"/>
  <c r="E43" i="6"/>
  <c r="E41" i="6" s="1"/>
  <c r="G41" i="6" s="1"/>
  <c r="E54" i="6"/>
  <c r="G54" i="6" s="1"/>
  <c r="D11" i="6"/>
  <c r="D44" i="6"/>
  <c r="D43" i="6" s="1"/>
  <c r="D132" i="6" l="1"/>
  <c r="D10" i="6"/>
  <c r="D9" i="6" s="1"/>
  <c r="D41" i="6"/>
  <c r="D55" i="6" s="1"/>
  <c r="E60" i="6"/>
  <c r="G60" i="6" s="1"/>
  <c r="F43" i="6"/>
  <c r="E40" i="6"/>
  <c r="F41" i="6"/>
  <c r="E55" i="6"/>
  <c r="E61" i="6" s="1"/>
  <c r="G61" i="6" s="1"/>
  <c r="D137" i="6"/>
  <c r="F10" i="6"/>
  <c r="D54" i="6"/>
  <c r="E9" i="6"/>
  <c r="F60" i="6" l="1"/>
  <c r="F55" i="6"/>
  <c r="D61" i="6"/>
  <c r="D40" i="6"/>
  <c r="D133" i="6"/>
  <c r="F61" i="6"/>
  <c r="G55" i="6"/>
  <c r="E52" i="6"/>
  <c r="G52" i="6" s="1"/>
  <c r="E58" i="6"/>
  <c r="F58" i="6" s="1"/>
  <c r="G40" i="6"/>
  <c r="F40" i="6"/>
  <c r="F54" i="6"/>
  <c r="D52" i="6"/>
  <c r="F52" i="6" s="1"/>
  <c r="D60" i="6"/>
  <c r="D58" i="6" l="1"/>
  <c r="D138" i="6"/>
  <c r="D135" i="6" s="1"/>
  <c r="D130" i="6"/>
  <c r="G58" i="6"/>
  <c r="G22" i="22" l="1"/>
  <c r="G26" i="22"/>
  <c r="G25" i="22"/>
  <c r="F25" i="22"/>
  <c r="F26" i="22"/>
  <c r="F23" i="22"/>
  <c r="G23" i="22"/>
  <c r="G24" i="22"/>
  <c r="E104" i="11" l="1"/>
  <c r="E101" i="11" s="1"/>
  <c r="E78" i="11"/>
  <c r="D77" i="11"/>
  <c r="D104" i="11" l="1"/>
  <c r="D101" i="11" s="1"/>
  <c r="E77" i="11"/>
  <c r="G78" i="11"/>
  <c r="G306" i="8"/>
  <c r="F306" i="8"/>
  <c r="D141" i="12" l="1"/>
  <c r="D151" i="12"/>
  <c r="X150" i="12"/>
  <c r="X140" i="12"/>
  <c r="G139" i="12"/>
  <c r="F139" i="12"/>
  <c r="G32" i="12"/>
  <c r="O140" i="12"/>
  <c r="O150" i="12"/>
  <c r="P148" i="12"/>
  <c r="B21" i="12"/>
  <c r="AA150" i="12"/>
  <c r="AA140" i="12"/>
  <c r="S138" i="12"/>
  <c r="C18" i="12"/>
  <c r="G27" i="12"/>
  <c r="F27" i="12"/>
  <c r="T73" i="12"/>
  <c r="K55" i="12"/>
  <c r="B141" i="12"/>
  <c r="B151" i="12"/>
  <c r="D148" i="12"/>
  <c r="W73" i="12"/>
  <c r="B22" i="12"/>
  <c r="O73" i="12"/>
  <c r="AC73" i="12"/>
  <c r="T150" i="12"/>
  <c r="T140" i="12"/>
  <c r="C145" i="12"/>
  <c r="J150" i="12"/>
  <c r="J140" i="12"/>
  <c r="J25" i="12"/>
  <c r="B143" i="12"/>
  <c r="AD73" i="12"/>
  <c r="AD19" i="12"/>
  <c r="N138" i="12"/>
  <c r="V143" i="12"/>
  <c r="AB73" i="12"/>
  <c r="AD22" i="12"/>
  <c r="U150" i="12"/>
  <c r="U140" i="12"/>
  <c r="I73" i="12"/>
  <c r="R138" i="12"/>
  <c r="AE148" i="12"/>
  <c r="AA73" i="12"/>
  <c r="B25" i="12"/>
  <c r="F26" i="12"/>
  <c r="N140" i="12"/>
  <c r="N150" i="12"/>
  <c r="C140" i="12"/>
  <c r="C150" i="12"/>
  <c r="U73" i="12"/>
  <c r="P149" i="12"/>
  <c r="P73" i="12"/>
  <c r="C75" i="12"/>
  <c r="C21" i="12"/>
  <c r="J55" i="12"/>
  <c r="D22" i="12"/>
  <c r="Q138" i="12"/>
  <c r="D146" i="12"/>
  <c r="U139" i="12"/>
  <c r="U138" i="12"/>
  <c r="S73" i="12"/>
  <c r="S139" i="12"/>
  <c r="F151" i="12"/>
  <c r="G151" i="12"/>
  <c r="B147" i="12"/>
  <c r="F28" i="12"/>
  <c r="E151" i="12"/>
  <c r="G28" i="12"/>
  <c r="M150" i="12"/>
  <c r="M140" i="12"/>
  <c r="P140" i="12"/>
  <c r="P150" i="12"/>
  <c r="G150" i="12"/>
  <c r="E150" i="12"/>
  <c r="F150" i="12"/>
  <c r="J73" i="12"/>
  <c r="K151" i="12"/>
  <c r="K58" i="12"/>
  <c r="K28" i="12"/>
  <c r="K141" i="12"/>
  <c r="B28" i="12"/>
  <c r="J151" i="12"/>
  <c r="J28" i="12"/>
  <c r="J141" i="12"/>
  <c r="C147" i="12"/>
  <c r="I141" i="12"/>
  <c r="I151" i="12"/>
  <c r="AA20" i="12"/>
  <c r="AC20" i="12"/>
  <c r="O139" i="12"/>
  <c r="O138" i="12"/>
  <c r="G138" i="12"/>
  <c r="E139" i="12"/>
  <c r="E138" i="12"/>
  <c r="F138" i="12"/>
  <c r="N73" i="12"/>
  <c r="N139" i="12"/>
  <c r="O149" i="12"/>
  <c r="O148" i="12"/>
  <c r="R73" i="12"/>
  <c r="R139" i="12"/>
  <c r="AB149" i="12"/>
  <c r="AB148" i="12"/>
  <c r="G25" i="12"/>
  <c r="E25" i="12"/>
  <c r="F25" i="12"/>
  <c r="AD150" i="12"/>
  <c r="AD140" i="12"/>
  <c r="W140" i="12"/>
  <c r="W150" i="12"/>
  <c r="I149" i="12"/>
  <c r="I148" i="12"/>
  <c r="G26" i="12"/>
  <c r="C25" i="12"/>
  <c r="X73" i="12"/>
  <c r="AA139" i="12"/>
  <c r="AA138" i="12"/>
  <c r="B149" i="12"/>
  <c r="B148" i="12"/>
  <c r="D144" i="12"/>
  <c r="D143" i="12"/>
  <c r="U149" i="12"/>
  <c r="U148" i="12"/>
  <c r="AC19" i="12"/>
  <c r="AE19" i="12"/>
  <c r="D75" i="12"/>
  <c r="H31" i="12"/>
  <c r="D20" i="12"/>
  <c r="I139" i="12"/>
  <c r="I138" i="12"/>
  <c r="D147" i="12"/>
  <c r="T149" i="12"/>
  <c r="T148" i="12"/>
  <c r="D25" i="12"/>
  <c r="D150" i="12"/>
  <c r="D140" i="12"/>
  <c r="K152" i="12"/>
  <c r="K142" i="12"/>
  <c r="V18" i="12"/>
  <c r="R21" i="12"/>
  <c r="J149" i="12"/>
  <c r="J148" i="12"/>
  <c r="Y140" i="12"/>
  <c r="Y150" i="12"/>
  <c r="D28" i="12"/>
  <c r="D55" i="12"/>
  <c r="C57" i="12"/>
  <c r="K139" i="12"/>
  <c r="K138" i="12"/>
  <c r="H152" i="12"/>
  <c r="H142" i="12"/>
  <c r="V73" i="12"/>
  <c r="H25" i="12"/>
  <c r="AC150" i="12"/>
  <c r="AC140" i="12"/>
  <c r="Z73" i="12"/>
  <c r="C149" i="12"/>
  <c r="C148" i="12"/>
  <c r="X139" i="12"/>
  <c r="X138" i="12"/>
  <c r="L140" i="12"/>
  <c r="L150" i="12"/>
  <c r="R150" i="12"/>
  <c r="R140" i="12"/>
  <c r="AA149" i="12"/>
  <c r="AA148" i="12"/>
  <c r="D145" i="12"/>
  <c r="G141" i="12"/>
  <c r="E141" i="12"/>
  <c r="F141" i="12"/>
  <c r="R20" i="12"/>
  <c r="C26" i="12"/>
  <c r="C139" i="12"/>
  <c r="C138" i="12"/>
  <c r="W19" i="12"/>
  <c r="Y19" i="12"/>
  <c r="AA19" i="12"/>
  <c r="J21" i="12"/>
  <c r="L21" i="12"/>
  <c r="N21" i="12"/>
  <c r="R149" i="12"/>
  <c r="R148" i="12"/>
  <c r="I55" i="12"/>
  <c r="I28" i="12"/>
  <c r="C22" i="12"/>
  <c r="H73" i="12"/>
  <c r="Q73" i="12"/>
  <c r="Q139" i="12"/>
  <c r="H141" i="12"/>
  <c r="H151" i="12"/>
  <c r="AE22" i="12"/>
  <c r="D73" i="12"/>
  <c r="D149" i="12"/>
  <c r="J152" i="12"/>
  <c r="J29" i="12"/>
  <c r="J142" i="12"/>
  <c r="C20" i="12"/>
  <c r="S150" i="12"/>
  <c r="S140" i="12"/>
  <c r="C144" i="12"/>
  <c r="C143" i="12"/>
  <c r="Y73" i="12"/>
  <c r="Q150" i="12"/>
  <c r="Q140" i="12"/>
  <c r="B145" i="12"/>
  <c r="G29" i="12"/>
  <c r="X149" i="12"/>
  <c r="X148" i="12"/>
  <c r="V149" i="12"/>
  <c r="V148" i="12"/>
  <c r="Z144" i="12"/>
  <c r="AB144" i="12"/>
  <c r="AD144" i="12"/>
  <c r="H139" i="12"/>
  <c r="H138" i="12"/>
  <c r="P102" i="2"/>
  <c r="AE140" i="12"/>
  <c r="O75" i="12"/>
  <c r="Q75" i="12"/>
  <c r="S75" i="12"/>
  <c r="U75" i="12"/>
  <c r="W75" i="12"/>
  <c r="Y75" i="12"/>
  <c r="AA75" i="12"/>
  <c r="AC75" i="12"/>
  <c r="AE75" i="12"/>
  <c r="AE150" i="12"/>
  <c r="Z149" i="12"/>
  <c r="Z148" i="12"/>
  <c r="B74" i="12"/>
  <c r="B73" i="12"/>
  <c r="D57" i="12"/>
  <c r="D27" i="12"/>
  <c r="J27" i="12"/>
  <c r="E28" i="12"/>
  <c r="D58" i="12"/>
  <c r="AC149" i="12"/>
  <c r="AC148" i="12"/>
  <c r="AE143" i="12"/>
  <c r="H26" i="12"/>
  <c r="H149" i="12"/>
  <c r="H148" i="12"/>
  <c r="J59" i="12"/>
  <c r="K59" i="12"/>
  <c r="K29" i="12"/>
  <c r="C19" i="12"/>
  <c r="AC22" i="12"/>
  <c r="N149" i="12"/>
  <c r="N148" i="12"/>
  <c r="I152" i="12"/>
  <c r="I59" i="12"/>
  <c r="I29" i="12"/>
  <c r="I142" i="12"/>
  <c r="D74" i="12"/>
  <c r="D139" i="12"/>
  <c r="D138" i="12"/>
  <c r="W149" i="12"/>
  <c r="W148" i="12"/>
  <c r="C141" i="12"/>
  <c r="C28" i="12"/>
  <c r="C151" i="12"/>
  <c r="C32" i="12"/>
  <c r="C31" i="12"/>
  <c r="G31" i="12"/>
  <c r="R146" i="12"/>
  <c r="Y139" i="12"/>
  <c r="Y138" i="12"/>
  <c r="AD149" i="12"/>
  <c r="AD148" i="12"/>
  <c r="C142" i="12"/>
  <c r="G142" i="12"/>
  <c r="H55" i="12"/>
  <c r="H28" i="12"/>
  <c r="V150" i="12"/>
  <c r="V140" i="12"/>
  <c r="N143" i="12"/>
  <c r="P143" i="12"/>
  <c r="R143" i="12"/>
  <c r="T143" i="12"/>
  <c r="G73" i="12"/>
  <c r="E73" i="12"/>
  <c r="F73" i="12"/>
  <c r="L149" i="12"/>
  <c r="L148" i="12"/>
  <c r="AD75" i="12"/>
  <c r="AB140" i="12"/>
  <c r="AB150" i="12"/>
  <c r="B20" i="12"/>
  <c r="Y149" i="12"/>
  <c r="Y148" i="12"/>
  <c r="C146" i="12"/>
  <c r="G148" i="12"/>
  <c r="F148" i="12"/>
  <c r="F143" i="12"/>
  <c r="H143" i="12"/>
  <c r="J143" i="12"/>
  <c r="L143" i="12"/>
  <c r="U19" i="12"/>
  <c r="S149" i="12"/>
  <c r="S148" i="12"/>
  <c r="B150" i="12"/>
  <c r="J57" i="12"/>
  <c r="B57" i="12"/>
  <c r="B27" i="12"/>
  <c r="B140" i="12"/>
  <c r="K150" i="12"/>
  <c r="K25" i="12"/>
  <c r="K57" i="12"/>
  <c r="K27" i="12"/>
  <c r="K140" i="12"/>
  <c r="B31" i="12"/>
  <c r="F31" i="12"/>
  <c r="B75" i="12"/>
  <c r="N144" i="12"/>
  <c r="P144" i="12"/>
  <c r="R144" i="12"/>
  <c r="T144" i="12"/>
  <c r="V144" i="12"/>
  <c r="X144" i="12"/>
  <c r="X143" i="12"/>
  <c r="Z143" i="12"/>
  <c r="AB143" i="12"/>
  <c r="AD143" i="12"/>
  <c r="AE73" i="12"/>
  <c r="AE149" i="12"/>
  <c r="O144" i="12"/>
  <c r="Q144" i="12"/>
  <c r="S144" i="12"/>
  <c r="U144" i="12"/>
  <c r="W144" i="12"/>
  <c r="Y144" i="12"/>
  <c r="AA144" i="12"/>
  <c r="AC144" i="12"/>
  <c r="AE144" i="12"/>
  <c r="I25" i="12"/>
  <c r="I150" i="12"/>
  <c r="I27" i="12"/>
  <c r="I140" i="12"/>
  <c r="Z139" i="12"/>
  <c r="Z138" i="12"/>
  <c r="F140" i="12"/>
  <c r="E27" i="12"/>
  <c r="E140" i="12"/>
  <c r="G140" i="12"/>
  <c r="G55" i="12"/>
  <c r="E55" i="12"/>
  <c r="F55" i="12"/>
  <c r="M149" i="12"/>
  <c r="M148" i="12"/>
  <c r="F18" i="12"/>
  <c r="H18" i="12"/>
  <c r="J18" i="12"/>
  <c r="L18" i="12"/>
  <c r="N18" i="12"/>
  <c r="P18" i="12"/>
  <c r="R18" i="12"/>
  <c r="T18" i="12"/>
  <c r="Z150" i="12"/>
  <c r="AB75" i="12"/>
  <c r="F75" i="12"/>
  <c r="H75" i="12"/>
  <c r="J75" i="12"/>
  <c r="L75" i="12"/>
  <c r="N75" i="12"/>
  <c r="P75" i="12"/>
  <c r="R75" i="12"/>
  <c r="T75" i="12"/>
  <c r="V75" i="12"/>
  <c r="X75" i="12"/>
  <c r="Z75" i="12"/>
  <c r="Z140" i="12"/>
  <c r="B146" i="12"/>
  <c r="Q149" i="12"/>
  <c r="Q148" i="12"/>
  <c r="F149" i="12"/>
  <c r="E148" i="12"/>
  <c r="E149" i="12"/>
  <c r="G149" i="12"/>
  <c r="W139" i="12"/>
  <c r="W138" i="12"/>
  <c r="R147" i="12"/>
  <c r="T147" i="12"/>
  <c r="V147" i="12"/>
  <c r="Z147" i="12"/>
  <c r="AB147" i="12"/>
  <c r="AD147" i="12"/>
  <c r="C74" i="12"/>
  <c r="C73" i="12"/>
  <c r="Y145" i="12"/>
  <c r="AA145" i="12"/>
  <c r="AC145" i="12"/>
  <c r="AE145" i="12"/>
  <c r="K149" i="12"/>
  <c r="K148" i="12"/>
  <c r="AE18" i="12"/>
  <c r="AE146" i="12"/>
  <c r="Z19" i="12"/>
  <c r="AB19" i="12"/>
  <c r="W145" i="12"/>
  <c r="V22" i="12"/>
  <c r="Z22" i="12"/>
  <c r="AB22" i="12"/>
  <c r="C58" i="12"/>
  <c r="C55" i="12"/>
  <c r="B144" i="12"/>
  <c r="J144" i="12"/>
  <c r="L144" i="12"/>
  <c r="H140" i="12"/>
  <c r="C27" i="12"/>
  <c r="F57" i="12"/>
  <c r="H57" i="12"/>
  <c r="H27" i="12"/>
  <c r="H150" i="12"/>
  <c r="AB18" i="12"/>
  <c r="R145" i="12"/>
  <c r="B18" i="12"/>
  <c r="R26" i="2"/>
  <c r="K75" i="12"/>
  <c r="M75" i="12"/>
  <c r="H21" i="12"/>
  <c r="Q145" i="12"/>
  <c r="S145" i="12"/>
  <c r="U145" i="12"/>
  <c r="E57" i="12"/>
  <c r="G57" i="12"/>
  <c r="I57" i="12"/>
  <c r="D21" i="12"/>
  <c r="F21" i="12"/>
  <c r="T22" i="12"/>
  <c r="K144" i="12"/>
  <c r="M144" i="12"/>
  <c r="AE147" i="12"/>
  <c r="AB139" i="12"/>
  <c r="AB138" i="12"/>
  <c r="AC139" i="12"/>
  <c r="AC138" i="12"/>
  <c r="J139" i="12"/>
  <c r="J138" i="12"/>
  <c r="V139" i="12"/>
  <c r="V138" i="12"/>
  <c r="P147" i="12"/>
  <c r="AA22" i="12"/>
  <c r="O145" i="12"/>
  <c r="F144" i="12"/>
  <c r="H144" i="12"/>
  <c r="K145" i="12"/>
  <c r="M145" i="12"/>
  <c r="S18" i="12"/>
  <c r="U18" i="12"/>
  <c r="W18" i="12"/>
  <c r="Y18" i="12"/>
  <c r="AA18" i="12"/>
  <c r="AC18" i="12"/>
  <c r="G145" i="12"/>
  <c r="I145" i="12"/>
  <c r="E145" i="12"/>
  <c r="F145" i="12"/>
  <c r="H145" i="12"/>
  <c r="J145" i="12"/>
  <c r="L145" i="12"/>
  <c r="N145" i="12"/>
  <c r="R22" i="12"/>
  <c r="E58" i="12"/>
  <c r="F58" i="12"/>
  <c r="G58" i="12"/>
  <c r="H58" i="12"/>
  <c r="I58" i="12"/>
  <c r="J58" i="12"/>
  <c r="B58" i="12"/>
  <c r="F59" i="12"/>
  <c r="G59" i="12"/>
  <c r="H59" i="12"/>
  <c r="H29" i="12"/>
  <c r="C29" i="12"/>
  <c r="C152" i="12"/>
  <c r="G152" i="12"/>
  <c r="O147" i="12"/>
  <c r="Q147" i="12"/>
  <c r="S147" i="12"/>
  <c r="U147" i="12"/>
  <c r="W147" i="12"/>
  <c r="Y147" i="12"/>
  <c r="AA147" i="12"/>
  <c r="AC147" i="12"/>
  <c r="S143" i="12"/>
  <c r="U143" i="12"/>
  <c r="W143" i="12"/>
  <c r="Y143" i="12"/>
  <c r="AA143" i="12"/>
  <c r="AC143" i="12"/>
  <c r="F147" i="12"/>
  <c r="H147" i="12"/>
  <c r="J147" i="12"/>
  <c r="L147" i="12"/>
  <c r="N147" i="12"/>
  <c r="O74" i="12"/>
  <c r="Q74" i="12"/>
  <c r="S74" i="12"/>
  <c r="U74" i="12"/>
  <c r="W74" i="12"/>
  <c r="Y74" i="12"/>
  <c r="AA74" i="12"/>
  <c r="AC74" i="12"/>
  <c r="AE74" i="12"/>
  <c r="AE139" i="12"/>
  <c r="AE138" i="12"/>
  <c r="N19" i="12"/>
  <c r="P19" i="12"/>
  <c r="R19" i="12"/>
  <c r="T19" i="12"/>
  <c r="V19" i="12"/>
  <c r="X19" i="12"/>
  <c r="X18" i="12"/>
  <c r="Z18" i="12"/>
  <c r="K74" i="12"/>
  <c r="M74" i="12"/>
  <c r="M139" i="12"/>
  <c r="M138" i="12"/>
  <c r="Y22" i="12"/>
  <c r="U146" i="12"/>
  <c r="W146" i="12"/>
  <c r="Y146" i="12"/>
  <c r="AA146" i="12"/>
  <c r="AC146" i="12"/>
  <c r="E75" i="12"/>
  <c r="G75" i="12"/>
  <c r="I75" i="12"/>
  <c r="L139" i="12"/>
  <c r="L138" i="12"/>
  <c r="E147" i="12"/>
  <c r="G147" i="12"/>
  <c r="I147" i="12"/>
  <c r="K147" i="12"/>
  <c r="M147" i="12"/>
  <c r="D19" i="12"/>
  <c r="D18" i="12"/>
  <c r="B26" i="12"/>
  <c r="B139" i="12"/>
  <c r="B138" i="12"/>
  <c r="G144" i="12"/>
  <c r="I144" i="12"/>
  <c r="E144" i="12"/>
  <c r="E143" i="12"/>
  <c r="G143" i="12"/>
  <c r="I143" i="12"/>
  <c r="K143" i="12"/>
  <c r="M143" i="12"/>
  <c r="O143" i="12"/>
  <c r="Q143" i="12"/>
  <c r="P139" i="12"/>
  <c r="P138" i="12"/>
  <c r="F20" i="12"/>
  <c r="H20" i="12"/>
  <c r="J20" i="12"/>
  <c r="L20" i="12"/>
  <c r="N20" i="12"/>
  <c r="K22" i="12"/>
  <c r="M22" i="12"/>
  <c r="O22" i="12"/>
  <c r="Q22" i="12"/>
  <c r="S22" i="12"/>
  <c r="U22" i="12"/>
  <c r="W22" i="12"/>
  <c r="G22" i="12"/>
  <c r="I22" i="12"/>
  <c r="E22" i="12"/>
  <c r="F22" i="12"/>
  <c r="H22" i="12"/>
  <c r="J22" i="12"/>
  <c r="L22" i="12"/>
  <c r="N22" i="12"/>
  <c r="P22" i="12"/>
  <c r="K19" i="12"/>
  <c r="M19" i="12"/>
  <c r="O19" i="12"/>
  <c r="Q19" i="12"/>
  <c r="S19" i="12"/>
  <c r="V74" i="12"/>
  <c r="X74" i="12"/>
  <c r="Z74" i="12"/>
  <c r="AB74" i="12"/>
  <c r="AD74" i="12"/>
  <c r="AD139" i="12"/>
  <c r="AD138" i="12"/>
  <c r="L19" i="12"/>
  <c r="F19" i="12"/>
  <c r="H19" i="12"/>
  <c r="J19" i="12"/>
  <c r="B19" i="12"/>
  <c r="G74" i="12"/>
  <c r="I74" i="12"/>
  <c r="E74" i="12"/>
  <c r="F74" i="12"/>
  <c r="H74" i="12"/>
  <c r="J74" i="12"/>
  <c r="L74" i="12"/>
  <c r="N74" i="12"/>
  <c r="P74" i="12"/>
  <c r="R74" i="12"/>
  <c r="T74" i="12"/>
  <c r="T139" i="12"/>
  <c r="T138" i="12"/>
  <c r="B32" i="12"/>
  <c r="F32" i="12"/>
  <c r="H32" i="12"/>
  <c r="K146" i="12"/>
  <c r="M146" i="12"/>
  <c r="O146" i="12"/>
  <c r="Q146" i="12"/>
  <c r="S146" i="12"/>
  <c r="E21" i="12"/>
  <c r="G21" i="12"/>
  <c r="I21" i="12"/>
  <c r="K21" i="12"/>
  <c r="M21" i="12"/>
  <c r="O21" i="12"/>
  <c r="Q21" i="12"/>
  <c r="S21" i="12"/>
  <c r="U21" i="12"/>
  <c r="W21" i="12"/>
  <c r="Y21" i="12"/>
  <c r="AA21" i="12"/>
  <c r="AC21" i="12"/>
  <c r="G19" i="12"/>
  <c r="I19" i="12"/>
  <c r="E19" i="12"/>
  <c r="E18" i="12"/>
  <c r="G18" i="12"/>
  <c r="I18" i="12"/>
  <c r="K18" i="12"/>
  <c r="M18" i="12"/>
  <c r="O18" i="12"/>
  <c r="Q18" i="12"/>
  <c r="E20" i="12"/>
  <c r="G20" i="12"/>
  <c r="I20" i="12"/>
  <c r="K20" i="12"/>
  <c r="M20" i="12"/>
  <c r="O20" i="12"/>
  <c r="Q20" i="12"/>
  <c r="S20" i="12"/>
  <c r="U20" i="12"/>
  <c r="W20" i="12"/>
  <c r="Y20" i="12"/>
  <c r="G146" i="12"/>
  <c r="I146" i="12"/>
  <c r="E146" i="12"/>
  <c r="F146" i="12"/>
  <c r="H146" i="12"/>
  <c r="J146" i="12"/>
  <c r="L146" i="12"/>
  <c r="N146" i="12"/>
</calcChain>
</file>

<file path=xl/comments1.xml><?xml version="1.0" encoding="utf-8"?>
<comments xmlns="http://schemas.openxmlformats.org/spreadsheetml/2006/main">
  <authors>
    <author>Цёвка Елена Александровна</author>
  </authors>
  <commentList>
    <comment ref="C22" authorId="0" guid="{2F287E17-79C0-48A7-9C5F-BD1FBA06F5BA}" shapeId="0">
      <text>
        <r>
          <rPr>
            <b/>
            <sz val="9"/>
            <color indexed="81"/>
            <rFont val="Tahoma"/>
            <family val="2"/>
            <charset val="204"/>
          </rPr>
          <t>Цёвка Елена Александровна:</t>
        </r>
        <r>
          <rPr>
            <sz val="9"/>
            <color indexed="81"/>
            <rFont val="Tahoma"/>
            <family val="2"/>
            <charset val="204"/>
          </rPr>
          <t xml:space="preserve">
Ас Бюджет: 6570056,97
</t>
        </r>
      </text>
    </comment>
    <comment ref="E22" authorId="0" guid="{1AEACCE4-9E46-46AE-8C64-F9B2B4648E7C}" shapeId="0">
      <text>
        <r>
          <rPr>
            <b/>
            <sz val="9"/>
            <color indexed="81"/>
            <rFont val="Tahoma"/>
            <family val="2"/>
            <charset val="204"/>
          </rPr>
          <t>Цёвка Елена Александровна:</t>
        </r>
        <r>
          <rPr>
            <sz val="9"/>
            <color indexed="81"/>
            <rFont val="Tahoma"/>
            <family val="2"/>
            <charset val="204"/>
          </rPr>
          <t xml:space="preserve">
Ас бюджет: 5713,51</t>
        </r>
      </text>
    </comment>
    <comment ref="C39" authorId="0" guid="{2623035E-9F55-4EDD-B9C7-6F932F656D84}" shapeId="0">
      <text>
        <r>
          <rPr>
            <b/>
            <sz val="9"/>
            <color indexed="81"/>
            <rFont val="Tahoma"/>
            <family val="2"/>
            <charset val="204"/>
          </rPr>
          <t>Цёвка Елена Александровна:</t>
        </r>
        <r>
          <rPr>
            <sz val="9"/>
            <color indexed="81"/>
            <rFont val="Tahoma"/>
            <family val="2"/>
            <charset val="204"/>
          </rPr>
          <t xml:space="preserve">
1639229,39
Уточнить</t>
        </r>
      </text>
    </comment>
    <comment ref="E39" authorId="0" guid="{83124DD0-360D-43CE-9DAA-700AD258F35B}" shapeId="0">
      <text>
        <r>
          <rPr>
            <b/>
            <sz val="9"/>
            <color indexed="81"/>
            <rFont val="Tahoma"/>
            <family val="2"/>
            <charset val="204"/>
          </rPr>
          <t>Цёвка Елена Александровна:</t>
        </r>
        <r>
          <rPr>
            <sz val="9"/>
            <color indexed="81"/>
            <rFont val="Tahoma"/>
            <family val="2"/>
            <charset val="204"/>
          </rPr>
          <t xml:space="preserve">
Ас Бюджет": 1 599,82
</t>
        </r>
      </text>
    </comment>
    <comment ref="B56" authorId="0" guid="{410DDDCE-39CB-4347-9EA3-759A979C5C0E}" shapeId="0">
      <text>
        <r>
          <rPr>
            <b/>
            <sz val="9"/>
            <color indexed="81"/>
            <rFont val="Tahoma"/>
            <family val="2"/>
            <charset val="204"/>
          </rPr>
          <t>Цёвка Елена Александровна:</t>
        </r>
        <r>
          <rPr>
            <sz val="9"/>
            <color indexed="81"/>
            <rFont val="Tahoma"/>
            <family val="2"/>
            <charset val="204"/>
          </rPr>
          <t xml:space="preserve">
Ас бюджет: 46295,11</t>
        </r>
      </text>
    </comment>
    <comment ref="C56" authorId="0" guid="{8F06CEDD-F071-4F86-B3C4-4B42E20FCC55}" shapeId="0">
      <text>
        <r>
          <rPr>
            <b/>
            <sz val="9"/>
            <color indexed="81"/>
            <rFont val="Tahoma"/>
            <family val="2"/>
            <charset val="204"/>
          </rPr>
          <t xml:space="preserve">Цёвка Елена Александровна:
Уточнить. Ас Бюджет: 51015348,85
</t>
        </r>
      </text>
    </comment>
    <comment ref="E56" authorId="0" guid="{6F2A747C-102B-4A01-8DC2-A16128BB7A1B}" shapeId="0">
      <text>
        <r>
          <rPr>
            <b/>
            <sz val="9"/>
            <color indexed="81"/>
            <rFont val="Tahoma"/>
            <family val="2"/>
            <charset val="204"/>
          </rPr>
          <t>Цёвка Елена Александровна:</t>
        </r>
        <r>
          <rPr>
            <sz val="9"/>
            <color indexed="81"/>
            <rFont val="Tahoma"/>
            <family val="2"/>
            <charset val="204"/>
          </rPr>
          <t xml:space="preserve">
Уточнить. Ас Бюджет: 34 352,35
</t>
        </r>
      </text>
    </comment>
    <comment ref="B61" authorId="0" guid="{6E5122CA-686B-4990-97E5-92F788CFEBEE}" shapeId="0">
      <text>
        <r>
          <rPr>
            <b/>
            <sz val="9"/>
            <color indexed="81"/>
            <rFont val="Tahoma"/>
            <family val="2"/>
            <charset val="204"/>
          </rPr>
          <t>Цёвка Елена Александровна:</t>
        </r>
        <r>
          <rPr>
            <sz val="9"/>
            <color indexed="81"/>
            <rFont val="Tahoma"/>
            <family val="2"/>
            <charset val="204"/>
          </rPr>
          <t xml:space="preserve">
Уточнить. Ас Бюджет: 54 241 861,56
</t>
        </r>
      </text>
    </comment>
    <comment ref="C61" authorId="0" guid="{756276C6-006B-4A2C-ABEE-06C800CF6527}" shapeId="0">
      <text>
        <r>
          <rPr>
            <b/>
            <sz val="9"/>
            <color indexed="81"/>
            <rFont val="Tahoma"/>
            <family val="2"/>
            <charset val="204"/>
          </rPr>
          <t>Цёвка Елена Александровна:</t>
        </r>
        <r>
          <rPr>
            <sz val="9"/>
            <color indexed="81"/>
            <rFont val="Tahoma"/>
            <family val="2"/>
            <charset val="204"/>
          </rPr>
          <t xml:space="preserve">
Уточнить. Ас Бюджет: 59224635,21
</t>
        </r>
      </text>
    </comment>
    <comment ref="E61" authorId="0" guid="{435FE52A-B9BB-40AB-960E-9E08E5346F3A}" shapeId="0">
      <text>
        <r>
          <rPr>
            <b/>
            <sz val="9"/>
            <color indexed="81"/>
            <rFont val="Tahoma"/>
            <family val="2"/>
            <charset val="204"/>
          </rPr>
          <t>Цёвка Елена Александровна:</t>
        </r>
        <r>
          <rPr>
            <sz val="9"/>
            <color indexed="81"/>
            <rFont val="Tahoma"/>
            <family val="2"/>
            <charset val="204"/>
          </rPr>
          <t xml:space="preserve">
</t>
        </r>
      </text>
    </comment>
    <comment ref="H61" authorId="0" guid="{5286F274-88AD-405B-9CE1-04DC32725245}" shapeId="0">
      <text>
        <r>
          <rPr>
            <b/>
            <sz val="9"/>
            <color indexed="81"/>
            <rFont val="Tahoma"/>
            <family val="2"/>
            <charset val="204"/>
          </rPr>
          <t>Цёвка Елена Александровна:</t>
        </r>
        <r>
          <rPr>
            <sz val="9"/>
            <color indexed="81"/>
            <rFont val="Tahoma"/>
            <family val="2"/>
            <charset val="204"/>
          </rPr>
          <t xml:space="preserve">
4 101 847,54
</t>
        </r>
      </text>
    </comment>
    <comment ref="J61" authorId="0" guid="{2C67EFCE-EF32-4A6F-A51C-7D0334B1D71F}" shapeId="0">
      <text>
        <r>
          <rPr>
            <b/>
            <sz val="9"/>
            <color indexed="81"/>
            <rFont val="Tahoma"/>
            <family val="2"/>
            <charset val="204"/>
          </rPr>
          <t>Цёвка Елена Александровна:</t>
        </r>
        <r>
          <rPr>
            <sz val="9"/>
            <color indexed="81"/>
            <rFont val="Tahoma"/>
            <family val="2"/>
            <charset val="204"/>
          </rPr>
          <t xml:space="preserve">
5 194 464,92
</t>
        </r>
      </text>
    </comment>
    <comment ref="P61" authorId="0" guid="{DF299694-EA61-4DB4-81AB-E638108B571C}" shapeId="0">
      <text>
        <r>
          <rPr>
            <b/>
            <sz val="9"/>
            <color indexed="81"/>
            <rFont val="Tahoma"/>
            <family val="2"/>
            <charset val="204"/>
          </rPr>
          <t>Цёвка Елена Александровна:</t>
        </r>
        <r>
          <rPr>
            <sz val="9"/>
            <color indexed="81"/>
            <rFont val="Tahoma"/>
            <family val="2"/>
            <charset val="204"/>
          </rPr>
          <t xml:space="preserve">
Уточнить. Ас Бюджет: 4124773,54
</t>
        </r>
      </text>
    </comment>
    <comment ref="R61" authorId="0" guid="{62A063AA-8123-4180-BFF2-CFFC47845316}" shapeId="0">
      <text>
        <r>
          <rPr>
            <b/>
            <sz val="9"/>
            <color indexed="81"/>
            <rFont val="Tahoma"/>
            <family val="2"/>
            <charset val="204"/>
          </rPr>
          <t>Цёвка Елена Александровна:</t>
        </r>
        <r>
          <rPr>
            <sz val="9"/>
            <color indexed="81"/>
            <rFont val="Tahoma"/>
            <family val="2"/>
            <charset val="204"/>
          </rPr>
          <t xml:space="preserve">
4120656,48
</t>
        </r>
      </text>
    </comment>
    <comment ref="T61" authorId="0" guid="{20339DEB-1FD1-48E9-B369-377724DB5A38}" shapeId="0">
      <text>
        <r>
          <rPr>
            <b/>
            <sz val="9"/>
            <color indexed="81"/>
            <rFont val="Tahoma"/>
            <family val="2"/>
            <charset val="204"/>
          </rPr>
          <t>Цёвка Елена Александровна:</t>
        </r>
        <r>
          <rPr>
            <sz val="9"/>
            <color indexed="81"/>
            <rFont val="Tahoma"/>
            <family val="2"/>
            <charset val="204"/>
          </rPr>
          <t xml:space="preserve">
6 610 588,88
</t>
        </r>
      </text>
    </comment>
    <comment ref="V61" authorId="0" guid="{64F64C46-4176-467A-81E9-2C99FA4E34BD}" shapeId="0">
      <text>
        <r>
          <rPr>
            <b/>
            <sz val="9"/>
            <color indexed="81"/>
            <rFont val="Tahoma"/>
            <family val="2"/>
            <charset val="204"/>
          </rPr>
          <t>Цёвка Елена Александровна:</t>
        </r>
        <r>
          <rPr>
            <sz val="9"/>
            <color indexed="81"/>
            <rFont val="Tahoma"/>
            <family val="2"/>
            <charset val="204"/>
          </rPr>
          <t xml:space="preserve">
4 566 875,87
</t>
        </r>
      </text>
    </comment>
    <comment ref="X61" authorId="0" guid="{35BE5FE5-2F13-47DD-9BAC-F09958F10693}" shapeId="0">
      <text>
        <r>
          <rPr>
            <b/>
            <sz val="9"/>
            <color indexed="81"/>
            <rFont val="Tahoma"/>
            <family val="2"/>
            <charset val="204"/>
          </rPr>
          <t>Цёвка Елена Александровна:</t>
        </r>
        <r>
          <rPr>
            <sz val="9"/>
            <color indexed="81"/>
            <rFont val="Tahoma"/>
            <family val="2"/>
            <charset val="204"/>
          </rPr>
          <t xml:space="preserve">
5 170 972,78
</t>
        </r>
      </text>
    </comment>
    <comment ref="Z61" authorId="0" guid="{F20DEC89-DAEC-43AF-93BD-9920AFC9CC7B}" shapeId="0">
      <text>
        <r>
          <rPr>
            <b/>
            <sz val="9"/>
            <color indexed="81"/>
            <rFont val="Tahoma"/>
            <family val="2"/>
            <charset val="204"/>
          </rPr>
          <t>Цёвка Елена Александровна:</t>
        </r>
        <r>
          <rPr>
            <sz val="9"/>
            <color indexed="81"/>
            <rFont val="Tahoma"/>
            <family val="2"/>
            <charset val="204"/>
          </rPr>
          <t xml:space="preserve">
4 333 659,58
</t>
        </r>
      </text>
    </comment>
    <comment ref="AB61" authorId="0" guid="{74528EB9-0090-4C5C-A0AE-82C5D54D2475}" shapeId="0">
      <text>
        <r>
          <rPr>
            <b/>
            <sz val="9"/>
            <color indexed="81"/>
            <rFont val="Tahoma"/>
            <family val="2"/>
            <charset val="204"/>
          </rPr>
          <t>Цёвка Елена Александровна:</t>
        </r>
        <r>
          <rPr>
            <sz val="9"/>
            <color indexed="81"/>
            <rFont val="Tahoma"/>
            <family val="2"/>
            <charset val="204"/>
          </rPr>
          <t xml:space="preserve">
4 086 502,38
</t>
        </r>
      </text>
    </comment>
    <comment ref="AD61" authorId="0" guid="{1E1F2D00-6917-4AE2-B74C-C9B1F40DCD70}" shapeId="0">
      <text>
        <r>
          <rPr>
            <b/>
            <sz val="9"/>
            <color indexed="81"/>
            <rFont val="Tahoma"/>
            <family val="2"/>
            <charset val="204"/>
          </rPr>
          <t>Цёвка Елена Александровна:</t>
        </r>
        <r>
          <rPr>
            <sz val="9"/>
            <color indexed="81"/>
            <rFont val="Tahoma"/>
            <family val="2"/>
            <charset val="204"/>
          </rPr>
          <t xml:space="preserve">
3 503 630,97
</t>
        </r>
      </text>
    </comment>
  </commentList>
</comments>
</file>

<file path=xl/comments2.xml><?xml version="1.0" encoding="utf-8"?>
<comments xmlns="http://schemas.openxmlformats.org/spreadsheetml/2006/main">
  <authors>
    <author>Цёвка Елена Александровна</author>
  </authors>
  <commentList>
    <comment ref="B13" authorId="0" guid="{A5DC9E6D-9305-40CA-9B3B-19CDB29A9EEE}" shapeId="0">
      <text>
        <r>
          <rPr>
            <b/>
            <sz val="9"/>
            <color indexed="81"/>
            <rFont val="Tahoma"/>
            <family val="2"/>
            <charset val="204"/>
          </rPr>
          <t>Цёвка Елена Александровна:</t>
        </r>
        <r>
          <rPr>
            <sz val="9"/>
            <color indexed="81"/>
            <rFont val="Tahoma"/>
            <family val="2"/>
            <charset val="204"/>
          </rPr>
          <t xml:space="preserve">
Уточнить. Ас Бюджет: 65300,00
</t>
        </r>
        <r>
          <rPr>
            <b/>
            <sz val="9"/>
            <color indexed="81"/>
            <rFont val="Tahoma"/>
            <family val="2"/>
            <charset val="204"/>
          </rPr>
          <t>Колесник Елена Николаевна:</t>
        </r>
        <r>
          <rPr>
            <sz val="9"/>
            <color indexed="81"/>
            <rFont val="Tahoma"/>
            <family val="2"/>
            <charset val="204"/>
          </rPr>
          <t xml:space="preserve">
</t>
        </r>
        <r>
          <rPr>
            <b/>
            <sz val="9"/>
            <color indexed="81"/>
            <rFont val="Tahoma"/>
            <family val="2"/>
            <charset val="204"/>
          </rPr>
          <t>Цёвка Елена Александровна:</t>
        </r>
        <r>
          <rPr>
            <sz val="9"/>
            <color indexed="81"/>
            <rFont val="Tahoma"/>
            <family val="2"/>
            <charset val="204"/>
          </rPr>
          <t xml:space="preserve">
</t>
        </r>
      </text>
    </comment>
    <comment ref="B58" authorId="0" guid="{FF3F75AE-028B-4C65-A038-0192777605E1}" shapeId="0">
      <text>
        <r>
          <rPr>
            <b/>
            <sz val="9"/>
            <color indexed="81"/>
            <rFont val="Tahoma"/>
            <family val="2"/>
            <charset val="204"/>
          </rPr>
          <t>Цёвка Елена Александровна:</t>
        </r>
        <r>
          <rPr>
            <sz val="9"/>
            <color indexed="81"/>
            <rFont val="Tahoma"/>
            <family val="2"/>
            <charset val="204"/>
          </rPr>
          <t xml:space="preserve">
Ас бюджет: 15 872 778,99
</t>
        </r>
      </text>
    </comment>
    <comment ref="B130" authorId="0" guid="{E4D80E07-109C-404A-9823-C54876A45565}" shapeId="0">
      <text>
        <r>
          <rPr>
            <b/>
            <sz val="9"/>
            <color indexed="81"/>
            <rFont val="Tahoma"/>
            <family val="2"/>
            <charset val="204"/>
          </rPr>
          <t>Цёвка Елена Александровна:</t>
        </r>
        <r>
          <rPr>
            <sz val="9"/>
            <color indexed="81"/>
            <rFont val="Tahoma"/>
            <family val="2"/>
            <charset val="204"/>
          </rPr>
          <t xml:space="preserve">
Уточнить. Ас бюджет 33 484,08</t>
        </r>
      </text>
    </comment>
    <comment ref="E130" authorId="0" guid="{A93A8559-1686-424F-9E8C-9AB8E94A81A1}" shapeId="0">
      <text>
        <r>
          <rPr>
            <b/>
            <sz val="9"/>
            <color indexed="81"/>
            <rFont val="Tahoma"/>
            <family val="2"/>
            <charset val="204"/>
          </rPr>
          <t>Цёвка Елена Александровна:</t>
        </r>
        <r>
          <rPr>
            <sz val="9"/>
            <color indexed="81"/>
            <rFont val="Tahoma"/>
            <family val="2"/>
            <charset val="204"/>
          </rPr>
          <t xml:space="preserve">
Уточнить. АС бюджет 25 676,06</t>
        </r>
      </text>
    </comment>
  </commentList>
</comments>
</file>

<file path=xl/comments3.xml><?xml version="1.0" encoding="utf-8"?>
<comments xmlns="http://schemas.openxmlformats.org/spreadsheetml/2006/main">
  <authors>
    <author>Цёвка Елена Александровна</author>
  </authors>
  <commentList>
    <comment ref="AD37" authorId="0" guid="{3157FD0A-57A9-4F7F-831A-4015A26A65F0}" shapeId="0">
      <text>
        <r>
          <rPr>
            <b/>
            <sz val="9"/>
            <color indexed="81"/>
            <rFont val="Tahoma"/>
            <family val="2"/>
            <charset val="204"/>
          </rPr>
          <t>Цёвка Елена Александровна:</t>
        </r>
        <r>
          <rPr>
            <sz val="9"/>
            <color indexed="81"/>
            <rFont val="Tahoma"/>
            <family val="2"/>
            <charset val="204"/>
          </rPr>
          <t xml:space="preserve">
АЭС Бюджет:             358 057,25
Уточнить</t>
        </r>
      </text>
    </comment>
  </commentList>
</comments>
</file>

<file path=xl/comments4.xml><?xml version="1.0" encoding="utf-8"?>
<comments xmlns="http://schemas.openxmlformats.org/spreadsheetml/2006/main">
  <authors>
    <author>Степаненко Наталья Алексеевна</author>
  </authors>
  <commentList>
    <comment ref="A37" authorId="0" guid="{38B1AF44-4D3D-4EB2-89CF-60CBECAD3F82}" shapeId="0">
      <text>
        <r>
          <rPr>
            <b/>
            <sz val="9"/>
            <color indexed="81"/>
            <rFont val="Tahoma"/>
            <family val="2"/>
            <charset val="204"/>
          </rPr>
          <t>Степаненко Наталья Алексеевна:</t>
        </r>
        <r>
          <rPr>
            <sz val="9"/>
            <color indexed="81"/>
            <rFont val="Tahoma"/>
            <family val="2"/>
            <charset val="204"/>
          </rPr>
          <t xml:space="preserve">
необходимо заполнить</t>
        </r>
      </text>
    </comment>
    <comment ref="B38" authorId="0" guid="{BC32B7BE-A691-41FC-82B6-1E9869367340}" shapeId="0">
      <text>
        <r>
          <rPr>
            <b/>
            <sz val="9"/>
            <color indexed="81"/>
            <rFont val="Tahoma"/>
            <family val="2"/>
            <charset val="204"/>
          </rPr>
          <t>Степаненко Наталья Алексеевна:</t>
        </r>
        <r>
          <rPr>
            <sz val="9"/>
            <color indexed="81"/>
            <rFont val="Tahoma"/>
            <family val="2"/>
            <charset val="204"/>
          </rPr>
          <t xml:space="preserve">
356607,76
</t>
        </r>
      </text>
    </comment>
  </commentList>
</comments>
</file>

<file path=xl/sharedStrings.xml><?xml version="1.0" encoding="utf-8"?>
<sst xmlns="http://schemas.openxmlformats.org/spreadsheetml/2006/main" count="3411" uniqueCount="716">
  <si>
    <t>Отчет о ходе реализации муниципальной программы (сетевой график)</t>
  </si>
  <si>
    <t>тыс. рублей</t>
  </si>
  <si>
    <t>Наименование мероприятий программы</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</si>
  <si>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</si>
  <si>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</si>
  <si>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</si>
  <si>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</si>
  <si>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</si>
  <si>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</si>
  <si>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</si>
  <si>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</si>
  <si>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</si>
  <si>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</si>
  <si>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</si>
  <si>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</si>
  <si>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</si>
  <si>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</si>
  <si>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</si>
  <si>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</si>
  <si>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</si>
  <si>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текущему году</t>
  </si>
  <si>
    <t>на отчетную дату</t>
  </si>
  <si>
    <t xml:space="preserve">план </t>
  </si>
  <si>
    <t>кассовый расход</t>
  </si>
  <si>
    <t>1.1. Содействие трудоустройству граждан, в том числе граждан с инвалидностью (I, II, III, IV)</t>
  </si>
  <si>
    <t xml:space="preserve">1.1.1. Организация проведения оплачиваемых общественных работ для не занятых трудовой деятельностью и безработных граждан </t>
  </si>
  <si>
    <t>1.1.2. Содействие молодёжи в получении трудового опыта</t>
  </si>
  <si>
    <t xml:space="preserve">1.1.2.1. Организация временного трудоустройства несовершеннолетних граждан в возрасте от 14 до 18 лет в свободное от учёбы время </t>
  </si>
  <si>
    <t xml:space="preserve">1.1.2.2. Организация временного трудоустройства несовершеннолетних граждан в возрасте от 14 до 18 лет в течение учебного года </t>
  </si>
  <si>
    <t>1.1.2.3. Привлечение прочих специалистов для организации работ трудовых бригад несовершеннолетних граждан</t>
  </si>
  <si>
    <t>1.1.3. Содействие трудоустройству незанятых инвалидов трудоспособного возраста, в том числе инвалидов молодого возраста, на оборудованные (оснащённые) рабочие места</t>
  </si>
  <si>
    <t>Всего</t>
  </si>
  <si>
    <t>бюджет автономного округа</t>
  </si>
  <si>
    <t>бюджет города Когалыма</t>
  </si>
  <si>
    <t>2.1. Безопасный труд (IV)</t>
  </si>
  <si>
    <t>Итого по подпрограмме 2</t>
  </si>
  <si>
    <t>Подпрограмма 1 «Содействие трудоустройству граждан, в том числе граждан с инвалидностью»</t>
  </si>
  <si>
    <t>Подпрограмма 2 «Улучшение условий и охраны труда в городе Когалыме»</t>
  </si>
  <si>
    <t>2.1.1. Осуществление отдельных государственных полномочий в сфере трудовых отношений и  государственного управления охраной труда в городе Когалыме</t>
  </si>
  <si>
    <t>2.1.2 Организация и проведение в городе Когалыме смотра конкурса «Оказание первой помощи пострадавшим на производстве среди работников организаций, расположенных в городе Когалыме»</t>
  </si>
  <si>
    <t xml:space="preserve"> "Содействие занятости населения города Когалыма"</t>
  </si>
  <si>
    <t>Подпрограмма 1. «Развитие сельскохозяйственного производства и деятельности по заготовке и переработке дикоросов»</t>
  </si>
  <si>
    <t>1.1.Поддержка сельскохозяйственного производства и деятельности по заготовке и переработке дикоросов (I, 1,2, 3)</t>
  </si>
  <si>
    <t>1.1.1. Поддержка животноводства, переработки и реализации продукции животноводства</t>
  </si>
  <si>
    <t xml:space="preserve">1.1.2. Поддержка растениеводства, переработки и реализации продукции растениеводства </t>
  </si>
  <si>
    <t xml:space="preserve">1.1.3. Поддержка деятельности по заготовке и переработке дикоросов </t>
  </si>
  <si>
    <t>1.2. Поддержка развития сельскохозяйственного производства в виде предоставления субсидий в целях возмещения затрат, связанных с реализацией сельскохозяйственной продукции (в том числе в части расходов по аренде торговых мест) (I, 1,2, 3, 4, 5)</t>
  </si>
  <si>
    <t xml:space="preserve"> "Развитие агропромышленного комплекса в городе Когалыме"</t>
  </si>
  <si>
    <t xml:space="preserve"> "Безопасность жизнедеятельности населения города Когалыма"</t>
  </si>
  <si>
    <t>1.1. Обеспечение безопасности населения на водных объектах города Когалыма  (показатель 1)</t>
  </si>
  <si>
    <t>1.2. Содержание и развитие территориальной автоматизированной системы централизованного оповещения населения города Когалыма (показатель 2)</t>
  </si>
  <si>
    <t xml:space="preserve">1.3.Снижение рисков и смягчение последствий чрезвычайных ситуаций природного и  техногенного характера </t>
  </si>
  <si>
    <t>1.4. Организация, содержание и развитие муниципальных курсов граждансой обороны в городе Когалыме</t>
  </si>
  <si>
    <t>Итого по подпрограмме 1</t>
  </si>
  <si>
    <t>Процессная часть</t>
  </si>
  <si>
    <t xml:space="preserve">Подпрограмма 2. Укрепление пожарной безопасности в городе Когалыме </t>
  </si>
  <si>
    <t>2.1. Организация противопожарной пропаганды и обучение населения мерам пожарной безопасности (показатель 3)</t>
  </si>
  <si>
    <t>2.2. Приобретение средств для организации пожаротушения (показатель 5)</t>
  </si>
  <si>
    <t>2.3.Строительство пожарного депо в городе Когалыме (в том числе ПИР) (показатель 3)</t>
  </si>
  <si>
    <t xml:space="preserve">Подпрограмма 3. Материально-техническое и финансовое обеспечение деятельности структурного подразделения Администрации города Когалыма и муниципального учреждения города Когалыма </t>
  </si>
  <si>
    <t>3.1. Финансовое обеспечение реализации отделом по делам гражданской обороны и чрезвычайных ситуаций Администрации города Когалыма полномочий в установленных сферах деятельности (показатели 1-5)</t>
  </si>
  <si>
    <t>3.2. Финансовое обеспечение осуществления муниципальным казённым учреждением «Единая дежурно-диспетчерская служба города Когалыма» установленных видов деятельности (показатели 1-5)</t>
  </si>
  <si>
    <t>Итого по подпрограмме 3</t>
  </si>
  <si>
    <t>Всего по муниципальной программе:</t>
  </si>
  <si>
    <t>Процессная часть в целом по муниципальной программ</t>
  </si>
  <si>
    <t>всего</t>
  </si>
  <si>
    <t>Всего по муниципальной программе</t>
  </si>
  <si>
    <t xml:space="preserve">Процессная часть в целом по муниципальной программе </t>
  </si>
  <si>
    <t>(подпись)</t>
  </si>
  <si>
    <t>Исполнитель: 
тел.</t>
  </si>
  <si>
    <t>ФИО</t>
  </si>
  <si>
    <t>Руководитель структурного подразделения</t>
  </si>
  <si>
    <t>Процессная часть по подпрограмме 1</t>
  </si>
  <si>
    <t>Процессная часть по подпрограмме 2</t>
  </si>
  <si>
    <t xml:space="preserve">иные источники финасирования </t>
  </si>
  <si>
    <t>Подпрограмма 1: Организация и обеспечение мероприятий в сфере гражданской обороны, защиты населения и территории города Когалыма от чрезвычайных ситуаций</t>
  </si>
  <si>
    <t>Процессная часть по подпрограмме 3</t>
  </si>
  <si>
    <t xml:space="preserve"> "Управление муниципальным имуществом города Когалыма"</t>
  </si>
  <si>
    <t xml:space="preserve">Подпрограмма 1: </t>
  </si>
  <si>
    <t xml:space="preserve">1.1. Организация обеспечения формирования состава и структуры муниципального имущества города Когалыма 
(I, II, III, 1)
</t>
  </si>
  <si>
    <t xml:space="preserve">Подпрограмма 2 </t>
  </si>
  <si>
    <t>2.1. Организационно-техническое и финансовое обеспечение органов местного самоуправления города Когалыма (III)</t>
  </si>
  <si>
    <t xml:space="preserve">Подпрограмма 3. </t>
  </si>
  <si>
    <t>3.1. Реконструкция и ремонт, в том числе капитальный, объектов муниципальной собственности города Когалыма (III, 2)</t>
  </si>
  <si>
    <t>4.1. Предоставление субсидий садоводческим, огородническим некоммерческим товариществам на возмещение части затрат на осуществление мероприятий, направленных на благоустройство и развитие инженерной инфраструктуры в границах их территорий (3)</t>
  </si>
  <si>
    <t>Итого по подпрограмме 4</t>
  </si>
  <si>
    <t xml:space="preserve">2.1.1. Расходы на обеспечение функций комитета по управлению муниципальным имуществом Администрации города Когалыма </t>
  </si>
  <si>
    <t>2.1.2. Расходы на обеспечение автотранспортом органов местного самоуправления города Когалыма и муниципальных учреждений</t>
  </si>
  <si>
    <t>2.1.2.1. Выполнение муниципальной работы «Организация и осуществление транспортного обслуживания должностных лиц, органов местного самоуправления и муниципальных учреждений»</t>
  </si>
  <si>
    <t>2.1.2.2. Приобретение автотранспортных средств, в том числе на условиях лизинга для выполнения муниципальной работы «Организация и осуществление транспортного обслуживания должностных лиц, органов местного самоуправления и муниципальных учреждений»</t>
  </si>
  <si>
    <t>2.1.3. Организационно-техническое обеспечение органов местного самоуправления города Когалыма</t>
  </si>
  <si>
    <t>2.1.4. Расходы на обеспечение хозяйственной деятельности муниципального казённого учреждения «Обеспечение эксплуатационно-хозяйственной деятельности»</t>
  </si>
  <si>
    <t>Процессная часть по подпрограмме 4</t>
  </si>
  <si>
    <t xml:space="preserve">бюджет города Когалыма </t>
  </si>
  <si>
    <t>"Профилактика правонарушений и обеспечение отдельных прав граждан в городе Когалыме"</t>
  </si>
  <si>
    <t>Подпрограмма 1: Подпрограмма 1 «Профилактика правонарушений»</t>
  </si>
  <si>
    <t xml:space="preserve">1.1.Создание условий для деятельности  народных дружин (V)
</t>
  </si>
  <si>
    <t xml:space="preserve">бюджет автономного округа </t>
  </si>
  <si>
    <t xml:space="preserve">1.2. Обеспечение функционирования и развития систем видеонаблюдения в сфере общественного порядка (I)
</t>
  </si>
  <si>
    <t xml:space="preserve">1.3. Реализация отдельных государственных полномочий, предусмотренных Законом Ханты- Мансийского автономного округа - Югры от 02.03. 2009 №5-
оз «Об административных комиссиях в Ханты- Мансийском автономном округе – Югре» (VI)
</t>
  </si>
  <si>
    <t>Процессная часть в целом по муниципальной программе</t>
  </si>
  <si>
    <t>1.4. Осуществление государственных полномочий по составлению (изменению и дополнению) списков кандидатов в присяжные заседатели федеральных судов общей юрисдикции (I)</t>
  </si>
  <si>
    <t xml:space="preserve">федеральный бюджет </t>
  </si>
  <si>
    <t>1.5. Совершенствование информационного и методического обеспечения профилактики правонарушений, повышения правосознания граждан (I)</t>
  </si>
  <si>
    <t xml:space="preserve">1.5.1. Проведение городских конкурсов
«Государство. Право. Я.»,
«Юный помощник полиции», «День правовой помощи детям»
</t>
  </si>
  <si>
    <t>1.5.2. Проведение семинаров, семинаров - тренингов, конференций, конкурсов, «круглых столов», совещаний для специалистов, преподавателей общественных организаций, волонтёров, занимающихся решением вопросов профилактики правонарушений среди подростков.Повышение профессионального уровня, квалификации специалистов субъектов профилактики правонарушений</t>
  </si>
  <si>
    <t>1.5.3. Проведение разъяснительной работы с несовершеннолетними и семьями, находящимися в социально опасном положении, с целью профилактики совершения рецидива преступлений и правонарушений</t>
  </si>
  <si>
    <t xml:space="preserve">1.5.4. Создание, распространение, проведение конкурса социальных видеороликов и иной тематической рекламы, направленной на профилактику
правонарушений
</t>
  </si>
  <si>
    <t>1.6. Тематическая социальная реклама в сфере безопасности дорожного движения (I)</t>
  </si>
  <si>
    <t>1.6.1. Приобретение световозвращающих приспособлений для распространения среди воспитанников и обучающихся образовательных организаций. Приобретение оборудования для обучения грамотного поведения детей на дороге и участие в окружном конкурсе  «Безопасное колесо»</t>
  </si>
  <si>
    <t xml:space="preserve">1.6.2. Организация и проведение игровой тематической программы среди детей и подростков
«Азбука дорог»
</t>
  </si>
  <si>
    <t>Подпрограмма 2 «Профилактика незаконного оборота и потребления наркотических средств и психотропных веществ, наркомании»</t>
  </si>
  <si>
    <t>2.1.Организация и проведение мероприятий с субъектами профилактики, в том числе с участием общественности (III,IV)</t>
  </si>
  <si>
    <t>2.1.1.Проведение семинаров, семинаров- тренингов, конференций, конкурсов, «круглых столов», совещаний для специалистов, представителей общественных организаций, волонтёров, занимающихся решением вопросов по проблемам наркомании. Повышение профессионального уровня, квалификации специалистов субъектов профилактики, занимающихся пропагандой здорового образа жизни. Приобретение учебно- методических программ, пособий по профилактике наркомании</t>
  </si>
  <si>
    <t>2.2. Проведение информационной антинаркотической пропаганды (III, IV)</t>
  </si>
  <si>
    <t>2.2.1. Создание и распространение в городе Когалыме социальной рекламы: антинаркотических баннеров, видеороликов, видеофильмов, радио- и телепередач, печатных материалов по профилактике наркомании и токсикомании</t>
  </si>
  <si>
    <t>2.3. Формирование негативного отношения к незаконному обороту и потреблению наркотиков (III,IV)</t>
  </si>
  <si>
    <t>2.3.1. Реализация мероприятий «Спорт - основа здорового образа жизни»</t>
  </si>
  <si>
    <t>2.3.2. Организация и проведение детско- юношеского марафона «Прекрасное слово - жизнь»</t>
  </si>
  <si>
    <t>2.3.3. Организация профильной смены для лидеров детско- юношеских волонтёрских движений, с целью формирования негативного отношения к незаконному обороту и потребления наркотиков</t>
  </si>
  <si>
    <t xml:space="preserve">2.3.4. Организация и проведение мероприятий среди детей, подростков, молодёжи, направленных на здоровый образ жизни, профилактику наркомании, в том числе, проведение массовых профилактических мероприятий, направленных на пропаганду здорового образа жизни (международный день борьбы с наркоманией и незаконным оборотом наркотиков, всемирный день без табачного дыма, международный день отказа от курения, всероссийский день трезвости, день зимних видов спорта в России,
международный Олимпийский день и др.)
</t>
  </si>
  <si>
    <t xml:space="preserve">2.3.5. Проведение акции «Шаг навстречу»
</t>
  </si>
  <si>
    <t xml:space="preserve">2.3.6. Цикл мероприятий «Альтернатива»
</t>
  </si>
  <si>
    <t>Подпрограмма 3 «Обеспечение защиты прав потребителей»</t>
  </si>
  <si>
    <t xml:space="preserve">3.1.Информирование и консультирование в сфере защиты прав потребителей (I,II) </t>
  </si>
  <si>
    <t>Подпрограмма 4 «Создание условий для выполнения функций, направленных на обеспечение прав и законных интересов жителей города Когалыма в отдельных сферах жизнедеятельности»</t>
  </si>
  <si>
    <t>Подпрограмма 4.</t>
  </si>
  <si>
    <t>4.1. Обеспечение выполнения полномочий и функций отдела межведомственного взаимодействия в сфере обеспечения общественного порядка и безопасности Администрации города Когалыма (VI)</t>
  </si>
  <si>
    <t>4.2. Исполнение отдельных государственных полномочий по делам несовершеннолетних и защите их прав муниципальной комиссией по делам несовершеннолетних и защите их прав при Администрации города Когалыма (VI)</t>
  </si>
  <si>
    <t xml:space="preserve">1.7. Ремонт участковых пунктов полиции города Когалыма 
</t>
  </si>
  <si>
    <t xml:space="preserve">в том числе в части софинансирования </t>
  </si>
  <si>
    <t>"Укрепление межнационального и межконфессионального согласия, профилактика экстремизма и терроризма в городе Когалыме"
«Укрепление межнационального и межконфессионального согласия, профилактика экстремизма и терроризма в городе Когалыме»
«Укрепление межнационального и межконфессионального согласия, профилактика экстремизма и терроризма в городе Когалыме»
"</t>
  </si>
  <si>
    <t>Подпрограмма 1: Укрепление межнационального и межконфессионального согласия, поддержка и развитие языков и культуры народов Российской Федерации, проживающих на территории города Когалыма, обеспечение социальной и культурной адаптации мигрантов, профилактика межнациональных (межэтнических) конфликтов</t>
  </si>
  <si>
    <t xml:space="preserve">1.1.Оказание поддержки некоммерческим организациям для реализации проектов и участия в мероприятиях в сфере межнациональных (межэтнических) отношений, профилактики экстремизма (I,1,3)
</t>
  </si>
  <si>
    <t xml:space="preserve">1.2. Мероприятия просветительского характера для представителей общественных объединений, религиозных организаций по вопросам укрепления межнационального и межконфессионального согласия, обеспечения социальной и культурной адаптации мигрантов, профилактики экстремизма и терроризма на территории города Когалыма (I,1,3)
</t>
  </si>
  <si>
    <t xml:space="preserve">1.3.Содействие религиозным организациям в культурно-просветительской и социально значимой деятельности, направленной на развитие межнационального и межконфессионального диалога, возрождению семейных ценностей, противодействию экстремизму, национальной и религиозной нетерпимости (I,1,3)
</t>
  </si>
  <si>
    <t>1.4. Реализация мер, направленных на социальную и культурную адаптацию мигрантов, анализ их эффективности, а также совершенствование системы мер, обеспечивающих уважительное отношение к культуре и традициям принимающего сообщества (I,1,3)</t>
  </si>
  <si>
    <t xml:space="preserve">1.4.1. Содействие в толерантном воспитании, мультикультурном образовании и социокультурной адаптации детей, в том числе детей мигрантов, в образовательных организациях города Когалыма </t>
  </si>
  <si>
    <t xml:space="preserve">1.5. Содействие этнокультурному многообразию народов России 
(I,1,3)
</t>
  </si>
  <si>
    <t xml:space="preserve">1.5.1. Укрепление общероссийской гражданской идентичности. Торжественные мероприятия, приуроченные к памятным датам в истории народов России, государственным праздникам (День России, День народного единства, День Конституции Российской Федерации и День образования Ханты-Мансийского автономного округа - Югры) 
</t>
  </si>
  <si>
    <t>1.5.2. Проведение мероприятий, приуроченных к Международному дню толерантности (концерты, фестивали, конкурсы рисунков, конкурсы плакатов, спортивные мероприятия и др.). Проведение выставок, конкурсов, акций, форумов, ярмарок, конференций городского, форумов общероссийского и регионального значения, направленных на изучение и популяризацию традиционной культуры народов Российской Федерации, укрепление межнационального мира и согласия, в том числе при принятии участия муниципального образования в Форуме национального Единства</t>
  </si>
  <si>
    <t xml:space="preserve">1.5.3. Содействие в функционировании деятельности Дома дружбы народов города Когалыма (имущественные, административные, финансовые и общественные формы поддержки) </t>
  </si>
  <si>
    <t xml:space="preserve">1.5.4. Просветительские мероприятия, направленные на популяризацию и поддержку русского языка, как государственного языка Российской Федерации и языка межнационального общения, а также поддержку родных языков народов России
</t>
  </si>
  <si>
    <t xml:space="preserve">бюджет автномног округа </t>
  </si>
  <si>
    <t xml:space="preserve">1.7. Издание и распространение информационных материалов, тематических словарей, разговорников для мигрантов
(I,2)
</t>
  </si>
  <si>
    <t xml:space="preserve">1.8. Привлечение средств массовой информации к формированию положительного образа мигранта, популяризация легального труда мигрантов. Конкурс социальной рекламы (видеоролик, плакат), направленной на укрепление общероссийского гражданского единства, гармонизацию межнациональных и межконфессиональных отношений, профилактику экстремизма
(I,2)
</t>
  </si>
  <si>
    <t>Подпрограмма 2 «Участие в профилактике экстремизма и терроризма, а также в минимизации и (или) ликвидации последствий проявлений экстремизма и терроризма на территории города Когалыма»</t>
  </si>
  <si>
    <t>2.1.Профилактика экстремизма и терроризма (I,1,3)</t>
  </si>
  <si>
    <t xml:space="preserve">2.1.1.Организация и проведение воспитательной и просветительской работы среди обучающихся в образовательных организациях города Когалыма, проведение  в учреждениях спорта, в спортивных секциях и клубах силовых единоборств информационно-разъяснительной работы, направленной на профилактику экстремизма, терроризма и недопущение конфликтных ситуаций на национальной почве </t>
  </si>
  <si>
    <t xml:space="preserve">2.1.2. Проведение общественных мероприятий, и мероприятий в муниципальных образовательных организациях, посвященных Дню солидарности в борьбе с терроризмом </t>
  </si>
  <si>
    <t>2.1.3. Проведение разъяснительной работы с несовершеннолетними, в отношении которых проводится индивидуальная профилактическая работа в соответствии со статьями 5, 6 Федерального закона Российской Федерации от 24.06.1999 №120-ФЗ «Об основах системы профилактики безнадзорности и правонарушений несовершеннолетних», склонными к противоправным действиям экстремистского и террористического характера, а также с молодыми людьми, освободившимися из учреждений исполнения наказания с целью формирования веротерпимости, межнационального и межконфессионального согласия, негативного отношения к экстремистским проявлениям</t>
  </si>
  <si>
    <t xml:space="preserve">2.1.4. Организация проведения проверок образовательных учреждений, учреждений культуры города Когалыма на предмет реализации мероприятий по ограничению доступа к сайтам экстремистского характера и наличия списков экстремистской литературы </t>
  </si>
  <si>
    <t xml:space="preserve">2.1.5 .Мероприятия в рамках проекта «Живое слово», направленные на профилактику экстремизма в молодежной среде:
- встречи с представителями традиционных религиозных конфессий (православие, ислам); 
 </t>
  </si>
  <si>
    <t xml:space="preserve">2.2. Проведение информационных кампаний, направленных на укрепление общероссийского гражданского единства и гармонизацию межнациональных отношений, профилактику экстремизма и терроризма 
(I,I,3)
</t>
  </si>
  <si>
    <t xml:space="preserve">2.2.1. Создание и распространение в образовательных организациях социальной рекламы, направленной на укрепление общероссийского гражданского единства, гармонизацию межнациональных и межконфессиональных отношений, профилактику экстремизма. Проведение тематических конкурсов, игр, флеш-мобов, выставок. </t>
  </si>
  <si>
    <t>2.2.2. Информационное обеспечение реализации государственной национальной политики, профилактики экстремизма и терроризма. Обеспечение эффективного мониторинга состояния межнациональных, межконфессиональных отношений и раннего предупреждения конфликтных ситуаций и выявления фактов распространения идеологии экстремизма и терроризма  (I,1,3)</t>
  </si>
  <si>
    <t xml:space="preserve">2.3. Мониторинг экстремистских настроений в молодежной среде 
(I,1,3)
</t>
  </si>
  <si>
    <t xml:space="preserve">2.3.1. Организация деятельности ячейки молодежного общественного движения «Кибердружина» для осуществления мониторинга сети Интернет на предмет выявления экстремизма, а также материалов с признаками терроризма </t>
  </si>
  <si>
    <t xml:space="preserve">2.4..Повышение профессионального уровня работников образовательных организаций, учреждений культуры, спорта, социальной и молодежной политики в сфере профилактики экстремизма, внедрение и использование новых методик, направленных на профилактику экстремизма и терроризма 
(I,1,3)
</t>
  </si>
  <si>
    <t>Подпрограмма 3. Усиление антитеррористической защищенности объектов, находящихся в муниципальной собственности</t>
  </si>
  <si>
    <t xml:space="preserve">3.1. Повышение уровня антитеррористической защищенности объектов, находящихся в муниципальной собственности (I) </t>
  </si>
  <si>
    <t>1.6. Повышение уровня компетенций и активизации деятельности лидеров молодежных объединений в деятельности по обеспечению межнационального и межконфессионального согласия, профилактике экстремизма, продвижения лучших практик по реализации проектов в сфере государственной национальной политики(I)</t>
  </si>
  <si>
    <t>Комплексный план (сетевой график) по реализации муниципальной программы  "Культурное пространство города Когалыма"</t>
  </si>
  <si>
    <t>Основные мероприятия программы</t>
  </si>
  <si>
    <t>факт</t>
  </si>
  <si>
    <t>план</t>
  </si>
  <si>
    <t>Подпрограмма 1. "Модернизация и развитие учреждений и организаций культуры"</t>
  </si>
  <si>
    <t>Проектная часть</t>
  </si>
  <si>
    <t>П.1.1. Портфель проектов «Культура», региональный проект «Культурная среда» (II)</t>
  </si>
  <si>
    <t>федеральный бюджет</t>
  </si>
  <si>
    <t>привлеченные средства</t>
  </si>
  <si>
    <t xml:space="preserve">П.1.2. Портфель проектов «Образование», региональный проект «Успех каждого ребенка» (II)
</t>
  </si>
  <si>
    <t>1.1. Развитие библиотечного дела (II, 1)</t>
  </si>
  <si>
    <t>1.1.1. Комплектование книжного фонда города Когалыма</t>
  </si>
  <si>
    <t>в т.ч. бюджет города Когалыма в части софинансирования</t>
  </si>
  <si>
    <t>1.1.2. Проведение библиотечных мероприятий, направленных на повышение читательского интереса</t>
  </si>
  <si>
    <t>1.1.3. Обеспечение деятельности (оказание услуг) общедоступных библиотек города Когалыма</t>
  </si>
  <si>
    <t>1.1.4. Подключение общедоступных библиотек города Когалыма к сети Интернет и развитие системы библиотечного дела с учетом задачи расширения инфомационных технологий и оцифровки</t>
  </si>
  <si>
    <t>1.1.5. Модернизация общедоступных библиотек города Когалыма</t>
  </si>
  <si>
    <t>1.2. Развитие музейного дела (I, 1)</t>
  </si>
  <si>
    <t>1.2.1. Пополнение фонда музея города Когалыма</t>
  </si>
  <si>
    <t>1.2.2. Информатизация музея города Когалыма</t>
  </si>
  <si>
    <t>1.2.3. Поддержка выставочных проектов на базе МБУ "МВЦ"</t>
  </si>
  <si>
    <t>1.2.4. Реализация музейных проектов</t>
  </si>
  <si>
    <t xml:space="preserve">1.2.5. Обеспечение деятельности (оказание  музейных услуг) </t>
  </si>
  <si>
    <t>1.3. Укрепление материально-технической базы учреждений культуры города Когалыма (II, 1)</t>
  </si>
  <si>
    <t>1.3.1. Развитие материально-технического состояния учреждений культуры города Когалыма/МАУ КДК "АРТ-Праздник"</t>
  </si>
  <si>
    <t>1.3.2. Развитие материально-технического состояния учреждений культуры города Когалыма /МАУ "МВЦ"</t>
  </si>
  <si>
    <t>1.3.3. Развитие материально-технического состояния учреждений культуры города Когалыма /МБУ "ЦБС"</t>
  </si>
  <si>
    <t>1.4. Развитие дополнительного образования в сфере культуры (8, 9)</t>
  </si>
  <si>
    <t xml:space="preserve">1.4.1. Обеспечение деятельности (оказание услуг дополнительного образования) </t>
  </si>
  <si>
    <t>Подпрограмма 2. "Поддержка творческих инициатив, способствующих самореализации населения"</t>
  </si>
  <si>
    <t>П.2.1. Портфель проектов «Культура», региональный проект «Творческие люди» (I)</t>
  </si>
  <si>
    <t>2.1. Сохранение нематериального и материального наследия города Когалыма и продвижение культурных проектов (I, 1)</t>
  </si>
  <si>
    <t>2.1.1. Сохранение, возрождение и развитие народных художественных промыслов и ремесел</t>
  </si>
  <si>
    <t>в том числе:</t>
  </si>
  <si>
    <t>МАУ "КДК "АРТ-Праздник"</t>
  </si>
  <si>
    <t>МБУ "МВЦ"</t>
  </si>
  <si>
    <t>МАУ "Дворец спорта"</t>
  </si>
  <si>
    <t>2.1.2 Создание условий для реализации продукции, произведенной мастерами народных художественных промыслов и ремесел города Когалыма</t>
  </si>
  <si>
    <t>2.2. Стимулирование культурного разнообразия (II, 1,4,5,6)</t>
  </si>
  <si>
    <t>2.2.1. Организация и проведение культурно-массовых мероприятий</t>
  </si>
  <si>
    <t>2.2.2. Поддержка деятелей культуры и искусства</t>
  </si>
  <si>
    <t>2.2.3. Обеспечение деятельности (оказание услуг) муниципального культурно-досугового учреждения города Когалыма</t>
  </si>
  <si>
    <t>2.2.4.Поддержка немуниципальных организаций (коммерческих, некоммерческих), осуществляющих деятельность в сфере культуры</t>
  </si>
  <si>
    <t>2.2.5.Поддержка некоммерческих организаций, в том числе добровольческих (волонтерских), по реализации проектов в сфере культуры</t>
  </si>
  <si>
    <t>Подпрограмма 3. "Организационные, экономические механизмы развития культуры, архивного дела и историко-культурного наследия"</t>
  </si>
  <si>
    <t>3.1. Реализация единой государственной политики в сфере культуры и архивного дела (II, 2,3)</t>
  </si>
  <si>
    <t>3.1.1. Обеспечение функций Управления культуры, спорта и молодежной политики Администрации города Когалыма</t>
  </si>
  <si>
    <t xml:space="preserve">3.1.2. Обеспечение деятельности (оказание услуг) архивного отдела Администрации города Когалыма </t>
  </si>
  <si>
    <t>3.2. Развитие архивного дела (II, 2,3)</t>
  </si>
  <si>
    <t>3.2.1. Осуществоение полномочий по хранению,комплектованию, учету и использованию архивных документов, относящихся к государственной собственности ХМАО-Югры</t>
  </si>
  <si>
    <t>3.3 Обеспечение хозяйственной деятельности учреждений культуры города Когалыма</t>
  </si>
  <si>
    <t>Подпрограмма 4. "Развитие туризма"</t>
  </si>
  <si>
    <t>4.1. Продвижение внутреннего и въездного туризма (II, 1,7)</t>
  </si>
  <si>
    <t>4.1.1. Создание условий для развития туризма</t>
  </si>
  <si>
    <t>4.1.2. Размещение информационного щита для продвижения туризма в городе Когалыме</t>
  </si>
  <si>
    <t>ИТОГО по программе, в том числе</t>
  </si>
  <si>
    <t>ПРОЕКТНАЯ ЧАСТЬ в целом по муниципальной программе</t>
  </si>
  <si>
    <t>ПРОЦЕССНАЯ ЧАСТЬ в целом по муниципальной программе</t>
  </si>
  <si>
    <t>Подпрограмма 1. "Повышение профессионального уровня муниципальных служащих органов местного самоуправления города Когалыма"</t>
  </si>
  <si>
    <t>иные внебюджетные источники</t>
  </si>
  <si>
    <t>Подпрограмма 2. Создание условий для развития муниципальной службы в органах местного самоуправления города Когалыма</t>
  </si>
  <si>
    <t>2.1. Цифровизация функций управления кадрами органов местного самоуправления города Когалыма, в том числе кадрового делопроизводства (4)</t>
  </si>
  <si>
    <t>2.2 Проведение мероприятий по повышению эффективности в сфере профилактики коррупции в органах местного самоуправления города Когалыма и развитию управленческой культуры и повышению престижа муниципальной службы в городе Когалыме (2)</t>
  </si>
  <si>
    <t>2.3. Обеспечение деятельности органов местного самоуправления города Когалыма и предоставление гарантий муниципальным служащим (4)</t>
  </si>
  <si>
    <t>2.3.1. Материально-техническое обеспечение органов местного самоуправления города Когалыма</t>
  </si>
  <si>
    <t>2.3.2. Организация представительских мероприятий (расходов) органов местного самоуправления города Когалыма</t>
  </si>
  <si>
    <t>2.3.3.  Обеспечение предоставления муниципальным служащим гарантий, установленных действующим законодательством о муниципальной службе</t>
  </si>
  <si>
    <t xml:space="preserve">2.3.4.  Обеспечение расходов, связанных с командировками </t>
  </si>
  <si>
    <t>2.4. Обеспечение информационной безопасности на объектах информатизации и информационных систем в органах местного самоуправления города Когалыма (3)</t>
  </si>
  <si>
    <t>2.5. Обеспечение выполнения полномочий и функций, возложенных на должностных лиц и структурные подразделения Администрации города Когалыма (4)</t>
  </si>
  <si>
    <t>2.6. Реализация переданных государственных полномочий по государственной регистрации актов гражданского состояния (5)</t>
  </si>
  <si>
    <t>Итого по программе, в том числе</t>
  </si>
  <si>
    <t>Комплексный план (сетевой график) по реализации муниципальной программы "Развитие институтов гражданского общества города Когалыма"</t>
  </si>
  <si>
    <t>Подпрограмма 1. "Поддержка социально ориентированных некоммерческих организаций города Когалыма"</t>
  </si>
  <si>
    <t>1.1. Поддержка социально
ориентированных некоммерческих
организаций (I,II)</t>
  </si>
  <si>
    <t>1.1.2.  Предоставление субсидии некоммерческой организации, не являющейся государственным (муниципальным) учреждением, в целях финансового обеспечения затрат на выполнение функций ресурсного центра поддержки НКО</t>
  </si>
  <si>
    <t>Подпрограмма 2. "Поддержка граждан, внесших значительный вклад в развитие гражданского общества"</t>
  </si>
  <si>
    <t>2.1. Оказание поддержки гражданам удостоенным звания «Почётный гражданин города Когалыма» (VII)</t>
  </si>
  <si>
    <t>2.2 Организация и проведение городского конкурса на присуждение премии «Общественное признание» (III)</t>
  </si>
  <si>
    <t>Подпрограмма 3. "Информационная открытость деятельности Администрации города Когалыма"</t>
  </si>
  <si>
    <t>3.1. Реализация взаимодействия с городскими средствами массовой информации (IV)</t>
  </si>
  <si>
    <t>3.1.1. Освещение деятельности структурных подразделений Администрации города Когалыма в телевизионных эфирах</t>
  </si>
  <si>
    <t>Подпрограмма 4. "Создание условий для выполнения отдельными структурными подразделениями Администрации города Когалыма своих полномочий
"</t>
  </si>
  <si>
    <t>4.1. Обеспечение деятельности структурных подразделений Администрации города Когалыма (I-VI)</t>
  </si>
  <si>
    <t>4.1.1. Обеспечение деятельности сектора по социальным вопросам Администрации города Когалыма</t>
  </si>
  <si>
    <t>4.1.2. Обеспечение деятельности сектора пресс-службы Администрации города Когалыма</t>
  </si>
  <si>
    <t>4.1.3. Обеспечение деятельности управления внутренней политики Администрации города Когалыма</t>
  </si>
  <si>
    <t>Комплексный план (сетевой график) по реализации муниципальной программы  "Развитие физической культуры и спорта в городе Когалыме"</t>
  </si>
  <si>
    <t>Подпрограмма 1. "Развитие физической культуры, массового и детско-юношеского спорта"</t>
  </si>
  <si>
    <t>П.1.1. Портфель проектов «Демография», региональный проект «Спорт – норма жизни» (I)</t>
  </si>
  <si>
    <t>1.1. Мероприятия по 
развитию 
физической культуры и спорта (II,1,2,3,4,5,6)</t>
  </si>
  <si>
    <t>1.1.1. Организация и проведение спортивно массовых мероприятий</t>
  </si>
  <si>
    <t>1.1.2. Содержание муниципального автономного учреждения дополнительного образования «Спортивная школа «Дворец 
спорта»</t>
  </si>
  <si>
    <t>1.1.3. Проведение мероприятий по внедрению Всероссийского физкультурно спортивного комплекса «Готов к труду и обороне» 
в городе Когалыме</t>
  </si>
  <si>
    <t xml:space="preserve">1.1.4. Организация работы по присвоению спортивных разрядов, квалификационных 
категорий </t>
  </si>
  <si>
    <t>1.1.5. Развитие материально технической базы 
МАУ ДО «СШ «Дворец спорта»</t>
  </si>
  <si>
    <t>1.2. Обеспечение 
комфортных 
условий в учреждениях физической 
культуры и спорта (1,2,3,4,5,6)</t>
  </si>
  <si>
    <t>1.2.1. Обеспечение хозяйственной деятельности 
учреждений спорта города Когалыма</t>
  </si>
  <si>
    <t>1.3. Поддержка некоммерческих организаций, реализующих проекты в сфере массовой физической культуры (II,1,2,3,4,7,8)</t>
  </si>
  <si>
    <t>1.4. Строительство, реконструкция и ремонт (в том числе капитальный) объектов спорта (I)</t>
  </si>
  <si>
    <t>1.4.1. Строительство велосипедных и беговых дорожек на территории города Когалыма</t>
  </si>
  <si>
    <t>1.4.2. Реконструкция объекта «Лыжероллерная 
трасса»</t>
  </si>
  <si>
    <t>Подпрограмма 2. "Развитие спорта высших достижений и системы подготовки спортивного резерва"</t>
  </si>
  <si>
    <t>2.1. Организация участия спортсменов города Когалыма в соревнованиях различного уровня 
окружного и  всероссийского масштаба (II,1,2,5,6,7,8)</t>
  </si>
  <si>
    <t>2.2. Обеспечение подготовки спортивного резерва и сборных команд города Когалыма по видам спорта (II,1,4,5,6,7)</t>
  </si>
  <si>
    <t>Подпрограмма 3. "Управление развитием отрасли физической культуры и спорта"</t>
  </si>
  <si>
    <t>3.1. Содержание отдела физической культуры и спорта управления культуры и спорта Администрации города Когалыма (1)</t>
  </si>
  <si>
    <t>Подпрограмма 4. "Укрепление общественного здоровья в городе Когалыме"</t>
  </si>
  <si>
    <t>4.1. Организация и проведение физкультурно оздоровительных мероприятий (II,8)</t>
  </si>
  <si>
    <t>4.2. Реализация Плана мероприятий по снижению уровня преждевременной смертности в городе Когалыме на 2021-2025 
годы (9,10)</t>
  </si>
  <si>
    <t>4.3. Реализация информационно просветительского проекта «Грани здоровья» (10,11)</t>
  </si>
  <si>
    <t>Комплексный план (сетевой график) по реализации муниципальной программы  "Развитие образования в городе Когалыме"</t>
  </si>
  <si>
    <t>Подпрограмма 1. "Общее образование. Дополнительное образование"</t>
  </si>
  <si>
    <t>П.1.1. Портфель проектов «Образование», региональный проект «Успех каждого ребенка» (III, IV, V)</t>
  </si>
  <si>
    <t xml:space="preserve">П.1.2. Портфель проектов «Образование», региональный проект «Цифровая образовательная среда» (VII, VIII, IX, X)
</t>
  </si>
  <si>
    <t>1.1. Развитие системы дошкольного и общего образования (1, 2, 3)</t>
  </si>
  <si>
    <t>1.1.2. Стимулирование роста профессионального мастерства, создание условий для выявления и поддержки педагогических работников, проявляющих творческую инициативу, в 
том числе для специалистов 
некоммерческих организаций</t>
  </si>
  <si>
    <t>1.1.3. Создание условий для распространения лучших практик и деятельности немуниципальных (коммерческих, некоммерческих) организаций по предоставлению услуг в сфере образования</t>
  </si>
  <si>
    <t>1.2. Развитие системы дополнительного образования детей (III, VI, 
11, 12, 13)</t>
  </si>
  <si>
    <t>1.2.1. Развитие системы 
доступного дополнительного образования в соответствии с индивидуальными запросами населения, оснащение материально технической базы образовательных организаций</t>
  </si>
  <si>
    <t>1.2.2. Персонифицированное 
финансирование 
дополнительного 
образования детей</t>
  </si>
  <si>
    <t>1.3. Обеспечение реализации 
общеобразовательных программ в образовательных организациях, расположенных на территории города Когалыма (I, II, 4, 12)</t>
  </si>
  <si>
    <t>1.3.2. Субсидии частным организациям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t>
  </si>
  <si>
    <t xml:space="preserve">1.3.3. 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 расположенных на 
территории города Когалыма (Субвенция ОБ)
</t>
  </si>
  <si>
    <t xml:space="preserve">1.4. Организация отдыха и оздоровления детей (10, 11, 12)
</t>
  </si>
  <si>
    <t>Подпрограмма 2. "Система оценки качества образования и информационная прозрачность системы образования города Когалыма"</t>
  </si>
  <si>
    <t>2.1. Развитие системы оценки качества образования, включающей оценку результатов деятельности по реализации 
федерального государственного образовательного стандарта и учет динамики 
достижений каждого обучающегося (1, 2, 3)</t>
  </si>
  <si>
    <t>2.1.1. Организация и проведение 
государственной итоговой аттестации</t>
  </si>
  <si>
    <t>Подпрограмма 3. "Молодёжь города Когалыма"</t>
  </si>
  <si>
    <t>П.3.1. Портфель проектов «Образование», региональный проект «Социальная активность» (показатель VI)</t>
  </si>
  <si>
    <t>П.3.1.1. Организация мероприятий в рамках реализации регионального проекта 
«Социальная активность»</t>
  </si>
  <si>
    <t xml:space="preserve">П.3.2. Портфель проектов «Образование», региональный проект «Патриотическое 
воспитание граждан Российской Федерации» 
(показатель 5, 6)
</t>
  </si>
  <si>
    <t>3.1. Создание условий для развития духовно-нравственных и гражданско,- военно -патриотических качеств детей и молодежи ( 5, 6, 7)</t>
  </si>
  <si>
    <t>3.2. Создание условий для разностороннего развития, самореализации и роста созидательной активности молодёжи (5, 6, 7, 14)</t>
  </si>
  <si>
    <t xml:space="preserve">3.2.3. Поддержка студентов педагогических вузов
</t>
  </si>
  <si>
    <t>3.3. Обеспечение деятельности учреждения сферы работы с молодёжью и развитие 
его материально технической базы (7, 14)</t>
  </si>
  <si>
    <t>Подпрограмма 4. "Ресурсное обеспечение в сфере образования"</t>
  </si>
  <si>
    <t xml:space="preserve">П.4.1. Портфель проектов «Образование», 
региональный проект «Современная школа» 
(показатели XI, XIII, XIV, 9)
</t>
  </si>
  <si>
    <t>П.4.1.1. Средняя общеобразовательная 
школа в г. Когалыме (Общеобразовательная 
организация с универсальной безбарьерной средой)» (корректировка, привязка проекта «Средняя общеобразовательная школа в микрорайоне 32 г. Сургута» шифр 1541-ПИ.00.32)</t>
  </si>
  <si>
    <t>П.4.2. Портфель проектов «Демография», 
региональный проект «Содействие занятости» 
(показатели I, II)</t>
  </si>
  <si>
    <t>4.1. Финансовое обеспечение полномочий управления образования и ресурсного центра (1, 2, 3, 4, 8, 10)</t>
  </si>
  <si>
    <t>4.1.1. Финансовое и организационно методическое сопровождение по исполнению бюджетными, автономными образовательными организациями и организациями дополнительного образования муниципального задания на оказание муниципальных 
услуг (выполнение работ)</t>
  </si>
  <si>
    <t>4.1.2. Проведение мероприятий аппаратом управления</t>
  </si>
  <si>
    <t xml:space="preserve">4.2. Обеспечение комплексной безопасности в образовательных организациях и 
учреждениях и создание условий для сохранения и укрепления здоровья детей в общеобразовательных организациях (8)
</t>
  </si>
  <si>
    <t>4.2.1. Обеспечение комплексной безопасности и 
комфортных условий образовательной 
деятельности в учреждениях и организациях общего и дополнительного образования</t>
  </si>
  <si>
    <t>4.2.2. Создание системных механизмов сохранения и укрепления здоровья детей 
в образовательных организациях</t>
  </si>
  <si>
    <t>4.2.2.1. Мероприятия по организации бесплатного 
горячего питания обучающихся, получающих 
начальное общее образование в муниципальных образовательных организациях</t>
  </si>
  <si>
    <t>4.2.2.2. Организация питания обучающихся 5-11 классов (не относящиеся к льготной категории)</t>
  </si>
  <si>
    <t>4.2.2.3.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 рамках 
основного мероприятия "Финансовое обеспечение полномочий исполнительного органа государственной власти Ханты-Мансийского автономного округа – Югры по исполнению публичных обязательств перед физическими лицами" подпрограммы "Ресурсное обеспечение в сфере образования, науки и молодежной политики" государственной программы "Развитие образования"</t>
  </si>
  <si>
    <t>4.3. Развитие материально технической базы 
образовательных организаций (XIV)</t>
  </si>
  <si>
    <t>4.3.1. Развитие инфраструктуры общего и дополнительного образования</t>
  </si>
  <si>
    <t>Комплексный план (сетевой график) по реализации муниципальной программы "Управление муниципальными финансами в городе Когалыме"</t>
  </si>
  <si>
    <t>1.1. Обеспечение деятельности Комитета финансов Администрации города Когалыма (I, II)</t>
  </si>
  <si>
    <t>1.2. Обеспеченность программно-техническими средствами специалистов Комитета финансов администрации города Когалыма в объеме, достаточном для исполнения должностных обязанностей (I, II)</t>
  </si>
  <si>
    <t>Комплексный план (сетевой график) по реализации муниципальной программы  "Развитие жилищной сферы в городе Когалыме"</t>
  </si>
  <si>
    <t>Подпрограмма 1. "Содействие развитию жилищного строительства"</t>
  </si>
  <si>
    <t>П.1.1. Портфель проектов «Жилье и городская среда», региональный проект «Жилье»  (I, III, 4)</t>
  </si>
  <si>
    <t xml:space="preserve">П.1.2. Портфель проектов «Жилье и городская среда», региональный проект«Обеспечение устойчивого сокращения непригодного для проживания жилищного фонда» (II, 6)
</t>
  </si>
  <si>
    <t>1.1. Реализация полномочий в области градостроительной деятельности (I,II)</t>
  </si>
  <si>
    <t>1.2. Приобретение жилья в целях реализации полномочий органов местного самоуправления в сфере жилищных отношений (I,III,4,2,7)</t>
  </si>
  <si>
    <t>1.3. Освобождение земельных участков, планируемых для жилищного строительства и комплекса мероприятий по формированию земельных участков для индивидуального жилищного строительства.(6)</t>
  </si>
  <si>
    <t>1.4. Проектирование и строительство систем инженерной инфраструктуры в целях обеспечения инженерной подготовки земельных участков, предназначенных для жилищного строительства</t>
  </si>
  <si>
    <t>Подпрограмма 2. "Обеспечение мерами финансовой поддержки по улучшению жилищных условий отдельных категорий граждан"</t>
  </si>
  <si>
    <t>2.1. «Обеспечение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 (3,1,7)</t>
  </si>
  <si>
    <t>2.2. 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года.(3,1,7)</t>
  </si>
  <si>
    <t>2.3. Реализация полномочий по обеспечению жилыми помещениями отдельных категорий граждан (1,7)</t>
  </si>
  <si>
    <t>2.4. Предоставление субсидии участникам специальной военной операции, членам их семей, состоящим на учете в качестве нуждающихся в жилых помещениях, предоставляемых по договорам социального найма, на приобретение (строительство) жилых помещений в собственность (3)</t>
  </si>
  <si>
    <t>Подпрограмма 3. "Организационное обеспечение деятельности структурных подразделений Администрации города Когалыма и казенных учреждений города Когалыма"</t>
  </si>
  <si>
    <t>3.1. Обеспечение деятельности отдела архитектуры и градостроительства Администрации города Когалыма(I-IV)</t>
  </si>
  <si>
    <t>3.2. Обеспечение деятельности управления по жилищной политике Администрации города Когалыма (I-IV)</t>
  </si>
  <si>
    <t>3.3. Обеспечение деятельности Муниципального казённого учреждения «Управление капитального строительства города Когалыма» (I-IV)</t>
  </si>
  <si>
    <t xml:space="preserve"> "Социально - экономическое развитие и инвестиции муниципального образования город Когалым" </t>
  </si>
  <si>
    <t>Подпрограмма 1. «Совершенствование системы муниципального стратегического управления, повышение инвестиционной привлекательности и развитие конкуренции»</t>
  </si>
  <si>
    <t xml:space="preserve">1.1. Реализация механизмов стратегического управления социально-экономическим развитием города Когалыма (I, 1, 2, 3) </t>
  </si>
  <si>
    <t>1.1.1. Мониторинг социально-экономического развития города Когалыма</t>
  </si>
  <si>
    <t>1.1.2. Реализация и корректировка стратегии социально-экономического развития города Когалыма до 2030 года</t>
  </si>
  <si>
    <t>1.1.3. Обеспечение деятельности управления экономики Администрации города Когалыма</t>
  </si>
  <si>
    <t>1.1.4. Обеспечение деятельности управления  инвестиционной деятельности и развития предпринимательства Администрации города Когалыма</t>
  </si>
  <si>
    <t>1.1.5. Организация и проведение определения поставщика (подрядчика, исполнителя) для заказчиков города Когалыма</t>
  </si>
  <si>
    <t>ИТОГО по подпрограмме 1</t>
  </si>
  <si>
    <t>Подпрограмма 2. «Развитие малого и среднего  предпринимательства»</t>
  </si>
  <si>
    <t xml:space="preserve">П.2.1. Региональный проект «Создание условий для легкого старта и комфортного ведения бизнеса» (показатели II, III, 4, 5) </t>
  </si>
  <si>
    <t>П.2.1.1. Финансовая поддержка субъектов малого и среднего предпринимательства, впервые зарегистрированных и действующих менее одного года, на развитие социального предпринимательства</t>
  </si>
  <si>
    <t>П.2.1.1.1 Финансовая поддержка субъектам малого и среднего предпринимательства (впервые зарегистрированным и действующим менее 1 года), осуществляющим социально значимые (приоритетные) виды деятельности в городе Когалыме</t>
  </si>
  <si>
    <t xml:space="preserve">П.2.1.1.2 Организация и проведение мероприятий, направленных на популяризацию деятельности в сфере социального предпринимательства </t>
  </si>
  <si>
    <t>П.2.1.1.2.1 Изготовление (приобретение материальных запасов, способствующих повышению информированности о социальном предпринимательстве, о существующих мерах и программах поддержки социального предпринимательства</t>
  </si>
  <si>
    <t>П.2.2. Региональный проект «Акселерация субъектов малого и среднего предпринимательства» (показатели II, III, 4, 5)</t>
  </si>
  <si>
    <t xml:space="preserve">П.2.2.1. Дополнительные меры государственной поддержки малого и среднего предпринимательства, а также физических лиц, применяющих специальный налоговый режим «Налог на профессиональный доход» (финансовая поддержка субъектов малого и среднего предпринимательства) </t>
  </si>
  <si>
    <t>П.2.2.1.1 Возмещение части затрат на аренду (субаренду) нежилых помещений</t>
  </si>
  <si>
    <t>П.2.2.1.2 Возмещение части затрат на приобретение нового оборудования (основных средств) и лицензионных программных продуктов</t>
  </si>
  <si>
    <t>П.2.2.1.3 Возмещение части затрат на оплату коммунальных услуг нежилых помещений</t>
  </si>
  <si>
    <t>П.2.2.1.4 Возмещение части затрат, связанных с оплатой жилищно-коммунальных услуг по нежилым помещениям, используемым в целях осуществления предпринимательской деятельности (бюджет города Когалыма сверх доли софинансирования)</t>
  </si>
  <si>
    <t>П.2.2.1.5 Возмещение части затрат на аренду нежилых помещений за счет средств бюджета города Когалыма (сверх доли софинансирования)</t>
  </si>
  <si>
    <t>П.2.2.1.6 Предоставление субсидий на создание и (или) обеспечение деятельности центров молодежного инновационного творчества (сверх доли софинансирования)</t>
  </si>
  <si>
    <t>П.2.2.1.7 Возмещение части затрат на приобретение нового оборудования (основных средств), лицензионных программных продуктов (сверх доли софинансирования)</t>
  </si>
  <si>
    <t>П.2.2.1.8 Грантовая поддержка на развитие предпринимательства (бюджет города Когалыма сверх доли софинансирования)</t>
  </si>
  <si>
    <t>П.2.2.1.9 Грантовая поддержка на развитие молодежного предпринимательства (бюджет города Когалыма сверх доли софинансирования)</t>
  </si>
  <si>
    <t>П.2.2.1.10  Грантовая поддержка социального и креативного предпринимательства (бюджет города Когалыма сверх доли софинансирования)</t>
  </si>
  <si>
    <t>П.2.2.1.11 Возмещение части затрат на обязательную сертификацию произведенной продукции</t>
  </si>
  <si>
    <t xml:space="preserve">2.1. Организация мероприятий по информационно-консультационной поддержке, популяризации и пропаганде предпринимательской деятельности (6) </t>
  </si>
  <si>
    <t>2.1.1. Размещение информационных материалов о проводимых мероприятиях в сфере малого и среднего предпринимательства в  средствах массовой информации (бюджет города Когалыма сверх доли софинансирования)</t>
  </si>
  <si>
    <t>ИТОГО по подпрограмме 2</t>
  </si>
  <si>
    <t>Проектная часть подпрограммы 2</t>
  </si>
  <si>
    <t>Процессная часть подпрограммы 2</t>
  </si>
  <si>
    <t>Проектная часть в целом по муниципальной программе</t>
  </si>
  <si>
    <t xml:space="preserve">«Экологическая безопасность города Когалыма» </t>
  </si>
  <si>
    <t>тыс.рублей</t>
  </si>
  <si>
    <t>Наименование мероприятий  программы</t>
  </si>
  <si>
    <t>План на 2024 год</t>
  </si>
  <si>
    <t>Исполнение,%</t>
  </si>
  <si>
    <t>Подпрограмма 1 «Регулирование качества окружающей среды в городе Когалыма»</t>
  </si>
  <si>
    <t xml:space="preserve">П.1.1. Портфель проектов «Экология», региональный проект «Сохранение уникальных водных объектов» (I, II, III), всего </t>
  </si>
  <si>
    <t>иные источники финансирования</t>
  </si>
  <si>
    <t>П.1.1.1. Выполнение работ по очистке береговой линии от бытового мусора в границах города Когалыма</t>
  </si>
  <si>
    <t>1.1. Предупреждение и ликвидация несанкционированных свалок на территории города Когалыма (IV), всего</t>
  </si>
  <si>
    <t>1.2. Организация и проведение экологически мотивированных культурных мероприятий города Когалыма (III), всего</t>
  </si>
  <si>
    <t>Подпрограмма 2 «Развитие системы обращения с отходами производства и потребления в городе Когалыме»</t>
  </si>
  <si>
    <t>2.1. Обеспечение регулирования деятельности по обращению с отходами производства и потребления в городе Когалыме (V), всего</t>
  </si>
  <si>
    <t>Проектная часть в целом по программе</t>
  </si>
  <si>
    <t>Процессная часть в целом по программе</t>
  </si>
  <si>
    <t xml:space="preserve">Отчет о ходе реализации (сетевой график)  муниципальной программы
«Развитие жилищно-коммунального комплекса в городе Когалыме» </t>
  </si>
  <si>
    <t>Основные мероприятия  программы</t>
  </si>
  <si>
    <t>План на
 2024 год, тыс.руб.</t>
  </si>
  <si>
    <t>Исполнено,%</t>
  </si>
  <si>
    <t>к плану на год</t>
  </si>
  <si>
    <t>Подпрограмма 1. «Содействие проведению капитального ремонта многоквартирных домов»</t>
  </si>
  <si>
    <t>1.1. Обеспечение мероприятий по проведению капитального ремонта многоквартирных домов (2)</t>
  </si>
  <si>
    <t>1.1.1.   Предоставление субсидии на оказание дополнительной помощи при возникновении неотложной необходимости в проведении капитального ремонта общего имущества в многоквартирном доме</t>
  </si>
  <si>
    <t>1.1.2 Предоставление субсидии на долевое финансовое обеспечение проведения капитального ремонта общего имущества в многоквартирных домах, расположенных на территории города Когалыма</t>
  </si>
  <si>
    <t xml:space="preserve">Подпрограмма 2.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теплоснабжение, водоснабжения, водоотведения».  </t>
  </si>
  <si>
    <t>2.1. Предоставление субсидий на реализацию полномочий в сфере жилищно-коммунального комплекса (1)</t>
  </si>
  <si>
    <t>2.1.1. Предоставление субсидии концессионеру на создание, реконструкцию, модернизацию объектов коммунальной инфраструктуры, в том числе на возмещение понесенных затрат концессионера при выполнении мероприятий, предусмотренных концессионным соглашением</t>
  </si>
  <si>
    <r>
      <t xml:space="preserve">КУМИ Администрации г.Когалыма:
</t>
    </r>
    <r>
      <rPr>
        <sz val="12"/>
        <rFont val="Times New Roman"/>
        <family val="1"/>
        <charset val="204"/>
      </rPr>
      <t>Мероприятие направлено  на создание, реконструкцию, модернизацию объектов коммунальной инфраструктуры города Когалыма, в том числе на возмещение понесенных затрат концессионера при выполнении мероприятий, предусмотренных концессионным соглашением. Субсидия носит заявительный характер.</t>
    </r>
  </si>
  <si>
    <t>3.1. Строительство, реконструкция и капитальный ремонт объектов коммунального комплекса (I)</t>
  </si>
  <si>
    <t xml:space="preserve">Отчет о ходе реализации (сетевой график) муниципальной программы «Развитие транспортной системы города Когалыма» </t>
  </si>
  <si>
    <t>Подпрограмма 1. «Автомобильный транспорт»</t>
  </si>
  <si>
    <t>1.1. Организация пассажирских перевозок автомобильным транспортом общего пользования по городским маршрутам (I)</t>
  </si>
  <si>
    <t>Подпрограмма 2. «Дорожное хозяйство»</t>
  </si>
  <si>
    <t>2.1. Строительство, реконструкция, капитальный ремонт и ремонт автомобильных дорог общего  пользования местного значения (II, 1)</t>
  </si>
  <si>
    <t xml:space="preserve">2.1.1. Ремонт, в том числе капитальный  автомобильных дорог общего пользования местного значения (в том числе проезды и устройство ливневой канализации) </t>
  </si>
  <si>
    <t>2.1.2. Проведение лабораторных исследований материалов, применяемых при ремонте автомобильных дорог, в том числе проведение инженерно-геодезических измерений</t>
  </si>
  <si>
    <t>2.1.4 Капитальный ремонт объекта "Путепровод на км 0+468 автодороги Повховское шоссе в городе Когалыме"</t>
  </si>
  <si>
    <t>2.1.5 Реконструкция участков автомобильных дорог улица Дорожников и улица Романтиков (в том числе ПИР)</t>
  </si>
  <si>
    <t>2.2. Обеспечение функционирования сети автомобильных дорог общего пользования местного значения (3, 4, 5)</t>
  </si>
  <si>
    <t>2.2.1. Содержание и ремонт автомобильных дорог местного значения в границах города Когалыма, в том числе нанесение и восстановление дорожной разметки на проезжей части улиц города</t>
  </si>
  <si>
    <t>2.2.1.1. Выполнение муниципальной работы «Выполнение работ в области использования автомобильных дорог»</t>
  </si>
  <si>
    <t>2.2.1.2. Приобретение специализированной техники для выполнения муниципальной работы «Выполнение работ в области использования автомобильных дорог» (в том числе на условиях лизинга)</t>
  </si>
  <si>
    <t>2.2.2. Техническое обслуживание электрооборудования светофорных объектов (в том числе обеспечение электроэнергией)</t>
  </si>
  <si>
    <t xml:space="preserve">2.2.3. Приобретение, монтаж, ремонт и техническое обслуживание информационных табло </t>
  </si>
  <si>
    <t>2.2.4.  Перенос кабелей светофорного объекта, расположенного на пересечении улиц Мира - Молодежная в подземную канализацию</t>
  </si>
  <si>
    <t>2.3. "Строительство, реконструкция, капитальный ремонт, ремонт сетей наружного освещения автомобильных дорог общего пользования местного значения"</t>
  </si>
  <si>
    <t>2.3.1 Строительство сетей наружного освещения автомобильной дороги по проспекту Нефтяников (от ул.Ноябрьская до путепровода) г.Когалыма</t>
  </si>
  <si>
    <t>Подпрограмма 3. «Безопасность дорожного движения»</t>
  </si>
  <si>
    <t>3.1. Внедрение автоматизированных и роботизированных технологий организации дорожного движения и контроля за соблюдением правил дорожного движения (6)</t>
  </si>
  <si>
    <t>3.1.1. Обеспечение бесперебойного функционирования системы фотовидеофиксации</t>
  </si>
  <si>
    <t xml:space="preserve"> 3.1.2 Монтаж системы автоматической фотовидеофиксации нарушений правил дорожного движения на участке автомобильной дороги от пересечения улицы Дружбы Народов - проспекта Нефтяников до путепровода автодороги Повховское шоссе в городе Когалыме</t>
  </si>
  <si>
    <t xml:space="preserve">Отчет о ходе реализации (сетевой график) муниципальной программы "Формирование комфортной городской среды в городе Когалыме" </t>
  </si>
  <si>
    <t xml:space="preserve">Наименование мероприятий программы </t>
  </si>
  <si>
    <t>План на 2024</t>
  </si>
  <si>
    <t xml:space="preserve">Проектная часть </t>
  </si>
  <si>
    <t>П.1.1.1. Строительство, реконструкция, благоустройство общественных территорий в городе Когалыме (площадей, набережной, улиц, пешеходных зон, скверов, парков, иных территорий), в том числе:</t>
  </si>
  <si>
    <t>П.1.1.1.1. Объект благоустройства "Этнодеревня в городе Когалыме"</t>
  </si>
  <si>
    <t xml:space="preserve">Процессная часть </t>
  </si>
  <si>
    <t>1.1. Благоустройство дворовых территорий в городе Когалыме (3)</t>
  </si>
  <si>
    <t>п.п. 1.2  Основное мероприятие "Создание объектов благоустройства на территории города Когалыма" (4)</t>
  </si>
  <si>
    <t xml:space="preserve">Отчет о ходе реализации (сетевой график) муниципальной программы «Содержание объектов городского хозяйства и инженерной инфраструктуры в городе Когалыме» </t>
  </si>
  <si>
    <t>Основные мероприятия
 муниципальной программы</t>
  </si>
  <si>
    <t>касса</t>
  </si>
  <si>
    <t xml:space="preserve">Всего </t>
  </si>
  <si>
    <t>1.1.1. Выполнение муниципальной работы «Уборка территории и аналогичная деятельность»</t>
  </si>
  <si>
    <t>1.1.2. Обеспечение очистки и вывоза снега с территории города, в том числе аренда транспортных средств, в целях вывоза снега с территории города Когалыма сверх муниципального задания, ввиду отсутствия технических возможностей</t>
  </si>
  <si>
    <t>1.1.3. Обустройство и текущее содержание объектов городского хозяйства</t>
  </si>
  <si>
    <t>федерадьный бюджет</t>
  </si>
  <si>
    <t>1.1.4. Ремонт пешеходного моста через реку ИнгуЯгун (Циркуль)</t>
  </si>
  <si>
    <t>1.2. Организация освещения территорий города Когалыма (1)</t>
  </si>
  <si>
    <t>1.2.1. Исполнение обязательств по энергосервисным контрактам по энергосбережению и повышению энергетической эффективности объектов наружного (уличного) освещения города Когалыма</t>
  </si>
  <si>
    <t>1.2.2. Обеспечение наружного освещения территории города Когалыма</t>
  </si>
  <si>
    <t>1.3. Организация ритуальных услуг и содержание мест захоронения (II, 2, 3)</t>
  </si>
  <si>
    <t xml:space="preserve">1.4. Реализация полномочий переданных Администрации города Когалыма в сферах жилищно-оммунального комплекса и городского хозяйства, в рамках осуществления учреждением функций заказчика (5)
</t>
  </si>
  <si>
    <t>1.6. Создание приюта для животных на территории города Когалыма (7)</t>
  </si>
  <si>
    <t>1.7. Архитектурная подсветка улиц, зданий, сооружений и жилых домов, расположенных на территории города Когалыма (9)</t>
  </si>
  <si>
    <t xml:space="preserve">Всего  </t>
  </si>
  <si>
    <t>Комплексный план (сетевой график) по реализации муниципальной программы "Развитие муниципальной службы  в городе Когалыме"</t>
  </si>
  <si>
    <t xml:space="preserve">«Развитие жилищно-коммунального комплекса в городе Когалыме» </t>
  </si>
  <si>
    <t xml:space="preserve">«Развитие транспортной системы города Когалыма» </t>
  </si>
  <si>
    <t xml:space="preserve">«Содержание объектов городского хозяйства и инженерной инфраструктуры в городе Когалыме» </t>
  </si>
  <si>
    <t xml:space="preserve"> «Содействие занятости населения города Когалыма» </t>
  </si>
  <si>
    <t xml:space="preserve"> «Развитие агропромышленного комплекса в городе Когалыме» </t>
  </si>
  <si>
    <t xml:space="preserve"> «Безопасность жизнедеятельности населения города Когалыма» </t>
  </si>
  <si>
    <t xml:space="preserve"> «Управление муниципальным имуществом города Когалыма» </t>
  </si>
  <si>
    <t xml:space="preserve"> «Культурное пространство города Когалыма» </t>
  </si>
  <si>
    <t xml:space="preserve"> «Развитие образования в городе Когалыме» </t>
  </si>
  <si>
    <t xml:space="preserve"> «Управление муниципальными финансами в городе Когалыме» </t>
  </si>
  <si>
    <t xml:space="preserve"> «Социально - экономическое развитие и инвестиции муниципального образования город Когалым» </t>
  </si>
  <si>
    <t xml:space="preserve">«Профилактика правонарушений и обеспечение отдельных прав граждан в городе Когалыме» </t>
  </si>
  <si>
    <t xml:space="preserve">«Укрепление межнационального и межконфессионального согласия, профилактика экстремизма и терроризма в городе Когалыме» </t>
  </si>
  <si>
    <t xml:space="preserve">«Развитие муниципальной службы  в городе Когалыме» </t>
  </si>
  <si>
    <t xml:space="preserve">«Развитие институтов гражданского общества города Когалыма» </t>
  </si>
  <si>
    <t xml:space="preserve">«Развитие физической культуры и спорта в городе Когалыме» </t>
  </si>
  <si>
    <t xml:space="preserve">«Развитие жилищной сферы в городе Когалыме» </t>
  </si>
  <si>
    <t xml:space="preserve">«Формирование комфортной городской среды в городе Когалыме» </t>
  </si>
  <si>
    <t>0.00</t>
  </si>
  <si>
    <t xml:space="preserve">Председатель Комитета финансов </t>
  </si>
  <si>
    <t>Администрации города Когалыма</t>
  </si>
  <si>
    <t>___________</t>
  </si>
  <si>
    <t>М.Г.Рыбачок</t>
  </si>
  <si>
    <t>2.1.3. Реконструкция развязки Восточная (проспект Нефтяников, улица Ноябрьская)</t>
  </si>
  <si>
    <r>
      <rPr>
        <b/>
        <sz val="12"/>
        <rFont val="Times New Roman"/>
        <family val="1"/>
        <charset val="204"/>
      </rPr>
      <t>МКУ "УКС и ЖКК г.Когалыма":</t>
    </r>
    <r>
      <rPr>
        <sz val="12"/>
        <rFont val="Times New Roman"/>
        <family val="1"/>
        <charset val="204"/>
      </rPr>
      <t xml:space="preserve">
Заключен МК от 25.12.2023 с АО "ЮТЭК-Когалым" на выполнение работ по оперативному, техническому обслуживанию и текущему ремонту электрооборудования сетей наружного освещения и светофорных объектов города Когалыма на сумму 27 125,2 тыс.руб. (в т.ч. ТО светофорных объектов на сумму 4 675,00 тыс.руб.).
Заключен МК от 29.12.2023 с АО "Газпром энергосбыт Тюмень" на поставку электроэнергии для светофорных объектов города Когалыма на сумму 956,6 тыс.руб.
Оплата работ производится по факту на основании актов снятия показаний приборов учета за электроэнергию и документа о приемке работ по ТО и текущему ремонту светофорных объектов.</t>
    </r>
  </si>
  <si>
    <r>
      <t xml:space="preserve">МКУ "ЕДДС г.Когалыма":
</t>
    </r>
    <r>
      <rPr>
        <sz val="12"/>
        <rFont val="Times New Roman"/>
        <family val="1"/>
        <charset val="204"/>
      </rPr>
      <t>Отклонение сложилось в результате оплаты электрической энергии согласно показаний счетчиков установленных на комплексах фотовидеофиксации города Когалыма</t>
    </r>
  </si>
  <si>
    <t>Цыганкова И.А.</t>
  </si>
  <si>
    <t>тел.93-790</t>
  </si>
  <si>
    <t>Директор МКУ "УКС и ЖКК г.Когалыма"</t>
  </si>
  <si>
    <t>Начальник управления экономики Администрации г.Когалыма</t>
  </si>
  <si>
    <t>Загорская Е.Г.</t>
  </si>
  <si>
    <t>Исполнитель: Мартынова С.В, 
тел. 93785</t>
  </si>
  <si>
    <r>
      <rPr>
        <b/>
        <sz val="12"/>
        <rFont val="Times New Roman"/>
        <family val="1"/>
        <charset val="204"/>
      </rPr>
      <t>МКУ "УКС и ЖКК г.Когалыма":</t>
    </r>
    <r>
      <rPr>
        <sz val="12"/>
        <rFont val="Times New Roman"/>
        <family val="1"/>
        <charset val="204"/>
      </rPr>
      <t xml:space="preserve">
МК от 09.09.2022 №0187300013722000151 с ООО "ГеоПроектГрупп" на выполнение проектно-изыскательских работ по объекту: "Реконструкция участков автомобильных дорог улица Дорожников и улица Романтиков". Работы выполнены и оплачены в полном объеме.</t>
    </r>
  </si>
  <si>
    <r>
      <rPr>
        <b/>
        <sz val="12"/>
        <rFont val="Times New Roman"/>
        <family val="1"/>
        <charset val="204"/>
      </rPr>
      <t>МКУ "УКС и ЖКК г.Когалыма":</t>
    </r>
    <r>
      <rPr>
        <sz val="12"/>
        <rFont val="Times New Roman"/>
        <family val="1"/>
        <charset val="204"/>
      </rPr>
      <t xml:space="preserve">
МК от 29.12.2023 №1273/1-GSM с ПАО "Ростелеком" на оказание услуг подвижной связи (сим-карты на остановочных павильонах) на сумму 201,6 тыс.руб.;
МК от 06.02.2024 №11/2024 с ООО "Умный транспорт" на оказание услуг по запуску ПО "Умный транспорт. Модуль управления табло" для сопровождения электронных указателей расписания движения общественного транспорта на сумму 70,8 тыс.руб.</t>
    </r>
  </si>
  <si>
    <t>2.2.5. Проведение мониторинга дорожного движения на автомобильных дорогах местного значения</t>
  </si>
  <si>
    <t xml:space="preserve">Кадыров И.Р.  </t>
  </si>
  <si>
    <t>Ответственный за составление сетевого графика:</t>
  </si>
  <si>
    <t>Экономия по заработной плате и начислениям на оплату труда (наличие вакансий, листов временной нетрудоспособности).</t>
  </si>
  <si>
    <t>П.1.1. Портфель проектов "Жилье и городская среда", региональный проект "Формирование комфортной городской среды" (I, II, 1, 2)</t>
  </si>
  <si>
    <t>1.5. Мероприятие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t>
  </si>
  <si>
    <t>В.И. Феоктистов</t>
  </si>
  <si>
    <t>Начальник УИДиРП</t>
  </si>
  <si>
    <t>Исполнитель: Главный специалист ОПРиРП Шамерзоева Т.Ф.
тел.: 93-756</t>
  </si>
  <si>
    <t xml:space="preserve">1.1.4. Реализация мероприятий профориентационной направленности, в том числе в рамках сотрудничества с Пермским научно-исследовательским политехническим университетом </t>
  </si>
  <si>
    <t>В целях реализации мероприятия на отчетную дату ведутся (выполнены) следующие мероприятия:
1. Ведется исполнение муниципального контракта №0187200001721001483 от 14.10.2021 (эл/а) заключенного  с Обществом с ограниченной ответственностью "СИБВИТОСЕРВИС" город Сургут на выполнение проектно-изыскательских и строительно-монтажных работ по объекту:
1.1. Заключено дополнительное соглашение №3 от 22.12.2022, в рамках которого увеличена стоимость проектно-изыскательских работ до 25 239,24 тыс. руб. за счет уменьшения стоимости строительно-монтажных работ и продлены сроки выполнения работ;
1.2. Заключено дополнительное соглашение №4 от 23.12.2022, в рамках которого установлено авансирование по контракту в размере 20,833% от цены контракта, что составляет 312 405,40 тыс. руб.;
1.3. Заключено дополнительное соглашение №6 от 22.06.2023, в рамках которого продлены сроки выполнения проектно-изыскательских работ по 31.08.2023;
1.4. Заключено дополнительное соглашение №7 от 26.07.2023, в рамках которого увеличен размер авансирования по контракту до 46,7538905945082% от цены контракта, что составляет 701 105,65 тыс.  руб. (из них 312 405,40 тыс. руб. за счет лимитов бюджетных обязательств 2022 года, 388 700,25 тыс. руб. за счет лимитов бюджетных обязательств 2023 года);
1.5. Стоимость работ по контракту 1 499 566,43 тыс. руб., из них стоимость проектно-изыскательских работ 25 239,24 тыс. руб.;
1.6. Состав и сроки выполнения работ этапа 1 Контракта: выполнение проектно-изыскательских работ): с даты заключения настоящего контракта по 31 августа 2023 года, в том числе эскизный проект, отчеты по инженерным изысканиям, проектная документация (без смет), положительное заключение государственной экспертизы результатов инженерных изысканий и проектной документации (без смет) по 28.02.2023,
1.7. Состав и сроки выполнения работ этапа 2 Контракта: строительно-монтажные, пусконаладочные работы, поставка оборудования и ввод объекта в эксплуатацию) с момента выполнения первого этапа по 13 февраля 2025 года, в том числе строительно-монтажные, пусконаладочные работы и поставка оборудования по 20 декабря 2024 года;
2. При строительстве объекта применяется экономически эффективная проектная документация повторного применения «Средняя общеобразовательная школа в микрорайоне 32 г. Сургута» шифр 1541-ПИ.00.32;
3. Муниципальным заказчиком перечислен аванс в 2022 году в размере 312 405,40тыс. руб., в 2023 году - 388 700,25 тыс.  руб.;
4. Степень готовности объекта:
4.1 Проектно-изыскательские работы:
- получено положительное заключение государственной экспертизы результатов инженерных изысканий и проектной документации (без смет) №86-1-1-3-091907-2022 от 23.12.2022;
- разработана проектно-сметная документация – 100%;
- получено отрицательное заключение государственной экспертизы о проверке достоверности определения сметной стоимости объекта №86-1-2-2-013819-2024 от 27.03.2024. Требуется повторная ценовая экспертиза после устранения замечаний к сметной документации.
4.2 Строительство объекта - готовность 14%:
- получено разрешение на строительство № RU86–301–726–2023 от 10.01.2023;
- выполнены 100%: подготовительные работы, разработка котлована, свайные работы, фундаменты, бетонирование наружных стен и колонн цокольного этажа;
- ведутся работы: обратная засыпка фундаментов – 94% (10170 м3); бетонирование плиты цокольного перекрытия – 34% (421 м3); устройство щебеночного основания полов подвала – 90% (4500 м3); монтаж опалубки и армирование для цокольного перекрытия – 42% (2100 м2); монтаж тепловых сетей к объекту – 56% (400 м.п.).
5. Выполнение проектно-изыскательских работ по 1 этапу контракта ведется с нарушением сроков выполнения работ подрядной организацией, выставлено четыре претензии об уплате неустойки на общую сумму 2 153 748,85 руб.</t>
  </si>
  <si>
    <t>Неполное освоение плановых ассигнований обусловлено нахождением работника, осуществляющего отдельные гос.полномочия ХМАО-Югры в сфере обращения с ТКО, в отпуске. На время отсутствия данного работника приказ на доплату за исполнение его обязанностей не оформлялся.</t>
  </si>
  <si>
    <r>
      <rPr>
        <b/>
        <sz val="12"/>
        <rFont val="Times New Roman"/>
        <family val="1"/>
        <charset val="204"/>
      </rPr>
      <t>МКУ "УКС и ЖКК г.Когалыма":</t>
    </r>
    <r>
      <rPr>
        <sz val="12"/>
        <rFont val="Times New Roman"/>
        <family val="1"/>
        <charset val="204"/>
      </rPr>
      <t xml:space="preserve">
Заключен МК от 15.12.2023 №0187300013723000396  с ИП Шахбазовым Фикрет Таха оглы на выполнение работ, связанных с осуществлением регулярных перевозок на сумму 9 633,27 тыс.руб. Период оказания услуг по МК с 01.01.2024 по 31.03.2024.
Заключен МК от 25.03.2024 №0187300013724000021  с ИП Шахбазовым Фикрет Таха оглы на выполнение работ, связанных с осуществлением регулярных перевозок на сумму 30 099,182 тыс.руб. Период оказания услуг по МК с 01.04.2024 по 31.12.2024.</t>
    </r>
  </si>
  <si>
    <t xml:space="preserve">Финансирование ШКОЛЫ + д.САДЫ.    Экономия плановых ассигнований складывается,из за перечисления средств по заключенным соглашениям и фактической потребности учреждений. </t>
  </si>
  <si>
    <t xml:space="preserve">Кассовый расход сформировался меньше планового в связи с: образованием листов временной нетрудоспособности, вакантных ставок (уборщик служебных помещений, уборщик территории, маляр, токарь, столяр, электрогазосварщик, подсобный рабочий).        </t>
  </si>
  <si>
    <t>Исполнитель: Харченко Ольга Владимировна
тел. 9 36 49</t>
  </si>
  <si>
    <t xml:space="preserve">Перечисление средств происходит по фактической потребности учреждени, согласно предоставленных счетов по организации питания.  </t>
  </si>
  <si>
    <t>В рамках данного мероприятия предусмотрена компенсация затрат, связанных с выплатой заработной платы, налогов и приобретение оборудования для реализации образовательных программ Частный ДС "Академия детства" и АНО "Город детства". Согласно фактически предоставленных документов.</t>
  </si>
  <si>
    <t>бюджет города Когалыма - софинансирование</t>
  </si>
  <si>
    <t xml:space="preserve">Организация отдыха и оздоровления детей.   ОБ оплата питания в пришкольных лагерях, ОБ приобретение путевок,  МБ  - софинансирование питание. Перечисление средств происходит согласно, фактической потребности.
</t>
  </si>
  <si>
    <t>Лаврентьева А.Н.</t>
  </si>
  <si>
    <t xml:space="preserve">НЕОБХОДИМО ПРОПИСАТЬ ПРИЧИНЫ ОТКЛОНЕНИЙ ПЛАНА НА 1 КВ  ОТ КАССЫ </t>
  </si>
  <si>
    <t>Сложившаяся экономия по заработной плате и начислениям на нее, в связи с наличием больничных листов.</t>
  </si>
  <si>
    <t>Приобретение товара (диск, пленка для ламинирования, картриджи, канц. товары, грамоты,дипломы для награждения, книги для награждения)</t>
  </si>
  <si>
    <t xml:space="preserve"> В январе запланированы денежные средства на сумму 864,9 тыс. руб., израсходовано 691,6 тыс. руб. Остаток на текущую дату в размере 173,3 тыс. руб. в связи с меньшим количеством участников соревнований, фактическими расходами за проживание      В феврале произведена помесячная корректировка планов в связи с потребностью.</t>
  </si>
  <si>
    <t>В феврале запланированны денежные средства на сумму 210,7 тыс.руб., израсходованы денежные средства в размере 17,6 тыс.руб. 
Остаток на текущую дату  в размере 193,1 тыс.руб., из них: 
-на  оплату по договорам ГПХ за февраль в марте месяце в связи с несвоевременным предоставлением табеля рабочего времени;
- мед услуги в связи с фактическими расходами;
-типография  в сязи с не предоставлением платежных документов;
-приобретение канцелярских товаров на стадии заключения договора, выбор поставщика;
-приобретение наградной атрибутики и поощрительных призов для награждения спортсменов согласно фактических расходов</t>
  </si>
  <si>
    <t>По стостояниюна 01.04.2024 передано на исполнение НКО финансовые средства в размере 1900 тыс. рублей. Финансовые средства на сумму 1741,1 тыс. руб. будут переданы в апреле месяце (конкурсные процедуры проведены, соглашения находятся на подписи)</t>
  </si>
  <si>
    <t>1.1. Дополнительное профессиональное образование муниципальных служащих органов местного самоуправления города Когалыма по приоритетным и иным направлениям деятельности" (1)</t>
  </si>
  <si>
    <t>Неисполнение по заработной плате и начислениям по оплате труда (предоставление листов временной нетрудоспособности, выплаты денежного поощрения по результатам работы за год за фактически отработанное время)</t>
  </si>
  <si>
    <t>Исполнитель: Смекалин Д.А.
тел. 93-861</t>
  </si>
  <si>
    <t>С.С.Алексеев</t>
  </si>
  <si>
    <t>Исполнитель: Колесник Елена Николаевна
тел.93-736</t>
  </si>
  <si>
    <t>П.1.1.1. Развитие системы выявления, поддержки, сопровождения и стимулирования одаренных детей в различных сферах деятельности (03 01 11,12)</t>
  </si>
  <si>
    <t xml:space="preserve">1.3.1.1. Иной межбюджетный трансферт, имеющий целевое назначение на 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(03 01 59)
</t>
  </si>
  <si>
    <t>1.3.1.3.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 Мансийского автономного округа - Югры отдельных государственных полномочий в области образования в рамках основного мероприятия "Обеспечение реализации основных и дополнительных общеобразовательных программ в образовательных организациях, расположенных на территории Ханты Мансийского автономного округа – Югры" подпрограммы "Общее образование. Дополнительное образование детей" государственной программы "Развитие образования" * (53,54,55)</t>
  </si>
  <si>
    <t>1.3. Обеспечение доступности качественного общего образования в соответствии с современными требованиями, оснащение материально-технической базы образовательных организаций</t>
  </si>
  <si>
    <t>1.4.1. Организация деятельности лагерей с дневным пребыванием детей, лагерей 
труда и отдыха на базах муниципальных учреждений и организаций. Организация отдыха и оздоровления детей в санаторно оздоровительных учреждениях. Организация отдыха и оздоровления детей в загородных стационарных детских оздоровительных лагерях. Организация пеших походов и экспедиций. Участие в практических 
обучающих семинарах по подготовке и повышению квалификации педагогических кадров (03 01 61,62,63,64,65,69)</t>
  </si>
  <si>
    <t>А.В. Ковальчук</t>
  </si>
  <si>
    <t>Хамадуллина А.О.
93-758</t>
  </si>
  <si>
    <t>В соответсвии с фактически оказанными услугами</t>
  </si>
  <si>
    <r>
      <rPr>
        <b/>
        <sz val="12"/>
        <rFont val="Times New Roman"/>
        <family val="1"/>
        <charset val="204"/>
      </rPr>
      <t>МКУ "УКС и ЖКК г.Когалыма":</t>
    </r>
    <r>
      <rPr>
        <sz val="12"/>
        <rFont val="Times New Roman"/>
        <family val="1"/>
        <charset val="204"/>
      </rPr>
      <t xml:space="preserve">
Бюджетные ассигнования перераспределены на мероприятие по ремонту автомобильных дорог (в процессе выполнения работ технологических «окон» потребовалось меньше, чем предусмотрено проектом)</t>
    </r>
  </si>
  <si>
    <r>
      <rPr>
        <b/>
        <sz val="12"/>
        <rFont val="Times New Roman"/>
        <family val="1"/>
        <charset val="204"/>
      </rPr>
      <t>МКУ "УКС и ЖКК г.Когалыма":</t>
    </r>
    <r>
      <rPr>
        <sz val="12"/>
        <rFont val="Times New Roman"/>
        <family val="1"/>
        <charset val="204"/>
      </rPr>
      <t xml:space="preserve">
МК от 08.04.2024 №0187300013724000041 на выполнение работ по монтажу системы автоматической фотовидеофиксации нарушений правил дорожного движения на участке автомобильной дороги от пересечения улицы Дружбы Народов - проспекта Нефтяников до путепровода автодороги Повховское шоссе в городе Когалыме на сумму 2 964,187 тыс.руб.</t>
    </r>
  </si>
  <si>
    <t xml:space="preserve">3.1.2. Организация и проведение городского конкурса среди общеобразовательных организаций на лучшую подготовку граждан РФ к военной службе (03 01 83)
</t>
  </si>
  <si>
    <t>3.1.1. Организация мероприятий 
по развитию духовно -нравственных и 
гражданско-патриотических качеств (03 01 82,81)
молодёжи и детей</t>
  </si>
  <si>
    <t>3.3.1. Финансовое и организационное 
сопровождение по исполнению МАУ «МКЦ «Феникс» муниципального задания, укрепление 
материально-технической базы учреждения 03 01 А1</t>
  </si>
  <si>
    <t xml:space="preserve"> В январе запланированы денежные средства на сумму 130,5,8 тыс. руб., израсходованы денежные средства в размере 28,4 тыс. руб. 
Остаток на текущую дату в размере 102,1 тыс. руб., из них: 
-оплата ГПХ за январь будет произведена в феврале 2024г.
- мед. услуги в связи с фактическими расходами.
В феврале запланированы денежные средства на сумму 1130,4 тыс. руб., израсходованы денежные средства в размере 141,2 тыс. руб. 
Остаток на текущую дату в размере 1091,3 тыс. руб., из них: 
-оплата ГПХ за февраль будет произведена в марте 2024г.
- мед. услуги в связи с фактическими расходами.
-на сумму 224,5 заключен договор на приобретение  кубков и дипломов.денежные средства будут освоены в марте.
 В марте запланированы денежные средства на сумму 242,6, тыс. руб., израсходованы денежные средства в размере 295,3 тыс. руб. 
Остаток на текущую дату в размере 1038,6 тыс. руб., из них: 
-оплата ГПХ за март будет произведена в апреле 2024г.
- мед. услуги в связи с фактическими расходами.
В апреле запланированы денежные средства на сумму 169,0, тыс. руб., израсходованы денежные средства в размере 333,9 тыс. руб. 
Остаток на текущую дату в размере 873,7 тыс. руб., из них: 
-оплата ГПХ за апрель будет произведена в мае 2024г.
- мед. услуги в связи с фактическими расходами.
</t>
  </si>
  <si>
    <t xml:space="preserve"> В январе запланированы денежгые средства на сумму 22467,9 тыс.руб., израсходованы денежные средства в размере 7535,2 тыс.руб. Остаток на текущую дату в размере 14932,7 тыс. руб. из них:
-по оплате и начислениям на оплату труда работников в сумме в связи с предоставлением больничных листов, наличием вакантных мест;
-по услуге предоставления местной связи в связи с использованием меньшего количества минут местных телефонных соединений;
-по водоснабжению, согласно приборов учета
-по уборке снега согласно фактически предоставленным услугам;
-мед. услугам согласно фактически представленным платежным документам
-по физ.охране объектов, в связи с проведением закупочной процедуры ; 
-по налогам и сборам. В феврале запланированы денежгые средства на сумму 15159,5 тыс.руб., израсходованы денежные средства в размере 13602,3 тыс.руб. Остаток на текущую дату в размере 16489,9 тыс. руб. из них:
-по оплате и начислениям на оплату труда работников в сумме в связи с предоставлением больничных листов, наличием вакантных мест;
-по услуге предоставления местной связи в связи с использованием меньшего количества минут местных телефонных соединений;
-по водоснабжению, согласно приборов учета
-по уборке снега согласно фактически предоставленным услугам;
-мед. услугам согласно фактически представленным платежным документам
-по физ.охране объектов, в связи с проведением закупочной процедуры ; 
-по налогам и сборам.    В марте запланированы денежные средства на сумму 14292,7 тыс. руб., израсходованы денежные средства в размере 13188,3 тыс. руб. Остаток на текущую дату в размере 1104,4тыс. руб. из них:
-по оплате и начислениям на оплату труда работников в сумме в связи с предоставлением больничных листов, наличием вакантных мест;
-по услуге предоставления местной связи в связи с использованием меньшего количества минут местных телефонных соединений;
-по водоснабжению, согласно приборов учета
-по уборке снега согласно фактически предоставленным услугам;
-мед. услугам согласно фактически представленным платежным документам
-по физ. охране объектов, в связи с проведением закупочной процедуры ; 
-по налогам и сборам. 
В апреле запланированы денежные средства на сумму 20075,5 тыс. руб., израсходованы денежные средства в размере 11509,9 тыс. руб. Остаток на текущую дату в размере 26146,3 тыс. руб. из них:
-по оплате и начислениям на оплату труда работников в сумме в связи с предоставлением больничных листов, наличием вакантных мест;
-по услуге предоставления местной связи в связи с использованием меньшего количества минут местных телефонных соединений;
-по водоснабжению, согласно приборов учета
-по уборке снега согласно фактически предоставленным услугам;
-мед. услугам согласно фактически представленным платежным документам
-по физ. охране объектов, в связи с проведением закупочной процедуры ; 
-по налогам и сборам. </t>
  </si>
  <si>
    <t xml:space="preserve"> В январе запланированы денежные средства на сумму 12,8 тыс. руб.
Остаток на текущую дату в размере 12,8 тыс. руб., из них: 
--оплата ГПХ за январь будет произведена в феврале 2024г.
- мед услуги в связи с фактическими расходами;
-приобретение наградной атрибутики и поощрительных призов для награждения спортсменов согласно фактическим расходам
 В марте запланированы денежные средства на сумму 123,7 тыс. руб.
Остаток на текущую дату в размере 118,5 тыс. руб., из них: 
--оплата ГПХ за март будет произведена в апреле 2024г.
- мед услуги в связи с фактическими расходами;
-приобретение наградной атрибутики и поощрительных призов для награждения спортсменов согласно фактическим расходам       В апреле запланированы денежные средства на сумму 12,82 тыс. руб.
Остаток на текущую дату в размере 78,8 тыс. руб., из них: 
--оплата ГПХ за апрель будет произведена в мае 2024г.
- мед услуги в связи с фактическими расходами;
-приобретение наградной атрибутики и поощрительных призов для награждения спортсменов согласно фактическим расходам
</t>
  </si>
  <si>
    <t xml:space="preserve">В марте денежные средства запланированы в сумме 404,8 тыс. руб.,  Договора в стадии согласования. Денежные средства будут освоены в апреле. (Договор  ИП Чурбанов № 24-ДС-62 поставка расходников для картингов.) В апреле денежные средства не запланированы. Сумма 314,8 запланирована на приобретение шин, расходных материалов для картинга и гимнастических ковриков.  Договор по картингу заключен. Оплата будет произведена после поставки. (согласно договора поставка до 20.0.5.2024г.) На приобретение гимнастических ковриков проходит котировка.
</t>
  </si>
  <si>
    <t xml:space="preserve"> В апреле денежные средства запланированы в сумме 1378,05 тыс. руб., израсходовано в размере 1566,40 тыс. руб., Остаток денежных средств 1335,9 сформировался согласно фактически предоставленным документам. (Оплата за услуги оказанные в апреле по медицинскому сопровождению медсестры тренировочного процесса будет произведена в мае, согл. акта окзанных услуг.</t>
  </si>
  <si>
    <t>Остаток денежных средств образовался в связи с больничными листами, изменения графика отпусков, в связи с меньшими затратами на оплату услуг: связи, коммунальных услуг, охранных услуг. Денежные средства будут израсходованы в будущем периоде.</t>
  </si>
  <si>
    <t>4.3.2. Капитальный ремонт здания МАОУ СОШ №7 (03 01 У2)</t>
  </si>
  <si>
    <r>
      <rPr>
        <b/>
        <sz val="12"/>
        <rFont val="Times New Roman"/>
        <family val="1"/>
        <charset val="204"/>
      </rPr>
      <t>МКУ "УКС и ЖКК г.Когалыма":</t>
    </r>
    <r>
      <rPr>
        <sz val="12"/>
        <rFont val="Times New Roman"/>
        <family val="1"/>
        <charset val="204"/>
      </rPr>
      <t xml:space="preserve">
Заключен МК от 08.04.2024 №23/2024 с ООО "ДорГИС"на оказание услуг по проведению мониторинга дорожного движения на автомобильных дорогах местного значения муниципального образования город Когалым на сумму 500,00 тыс.руб.</t>
    </r>
  </si>
  <si>
    <t>2.2.6. Обустройство пешеходных переходов города Когалыма объектами дорожной инфраструктуры</t>
  </si>
  <si>
    <t>МКУ "УКС и ЖКК г.Когалыма", МБУ "КСАТ"</t>
  </si>
  <si>
    <t xml:space="preserve"> </t>
  </si>
  <si>
    <t>ПК. 1.1. Реализация инициативного проекта "развитие и популяризация зимних видов спорта в г. Когалыме"</t>
  </si>
  <si>
    <t>3.1.1 Строительство, реконструкция, капитальный ремонт объектов инженерной инфраструктуры на территории города Когалыма (в том числе ПИР)</t>
  </si>
  <si>
    <t>п.п. 3.1.2 «Магистральные инженерные сети водоснабжения и канализации жилых комплексов «Философский камень» и «ЛУКОЙЛ» в городе Когалыме»</t>
  </si>
  <si>
    <t>бюджет Ханты-Мансийского автономного округа - Югры</t>
  </si>
  <si>
    <t>Отклонение сложилось в результате заключения контрактов на меньшую стоимость в результате закупочных процедур по 44 - ФЗ РФ</t>
  </si>
  <si>
    <t>1.1.1.  Организация и проведение конкурса социально значимых проектов среди социально ориентированных некоммерческих организаций города Когалыма</t>
  </si>
  <si>
    <t>п.п 1.1. "Реализация инициативного проэкта "Литературный сквер"</t>
  </si>
  <si>
    <t>п.п. 1.2  Объект "Архитектурная композиция "Термометр", наружное освещение сквера</t>
  </si>
  <si>
    <t>п.п. 1.2  Объект благоустройства "Этностойбище коренных народов ХМАО -Югры "Вонг-Лунг" (лесной дух) в г.Когалыме"</t>
  </si>
  <si>
    <t>15.00</t>
  </si>
  <si>
    <t>п.п. 1.2  Строительство объекта благоустройства "Экотропа в городе Когалыме"</t>
  </si>
  <si>
    <t>п.п. 1.2  Строительство объекта благоустройства "Сквер по Солнечному проезду в городе Когалыме"</t>
  </si>
  <si>
    <t>3.1.2. Обеспечение деятельности муниципального казенного учреждения «Редакция газеты «Когалымский вестник»</t>
  </si>
  <si>
    <t>окружной бюджет</t>
  </si>
  <si>
    <t>Остаток плана на 01.06.2024г. составляет 55211,18 руб. Услуги связи (фактические расходы на услуги связи (м/г) сложились меньше, чем было запланировано).Приобретение маркированной продукции, канцтоваров (бумага) по факту поставки товара.</t>
  </si>
  <si>
    <t>Заключен муниципальный контракт от 11.03.2024 №0187300013724000011 с ИП Исмаиловым Араз Казанфар оглы на выполнение работ по ремонту участкового пункта полиции, расположенного по адресу: г.Когалым, ул.Дружбы Народов, д.8 на сумму 591 978,93 рублей. 
Работы по контракту выполнены и оплачены в полном объеме.</t>
  </si>
  <si>
    <r>
      <t xml:space="preserve">МКУ "УКС и ЖКК г.Когалыма":
</t>
    </r>
    <r>
      <rPr>
        <sz val="12"/>
        <rFont val="Times New Roman"/>
        <family val="1"/>
        <charset val="204"/>
      </rPr>
      <t xml:space="preserve"> В соответствии с постановлением Администрации города Когалыма от 29.05.2024 №1026 перераспределены ПА на установку светофорных объектов в районе лыжной базы "Снежинка" и в районе парка Победы в сумме 2 333,75 тыс.руб., а также на обустройство объектов дорожной инфраструктуры в сумме 1 113,110 тыс.руб. (отв. исполнитель МБУ "КСАТ").
МК от 28.06.2024 №45/2024 на выполнение работ по разработке проекта на перенос кабелей светофорного объекта, расположенного на пересечении улиц Мира-Молодежная в подземную канализацию в городе Когалыме на сумму 275,0 тыс.руб.</t>
    </r>
  </si>
  <si>
    <r>
      <rPr>
        <b/>
        <sz val="12"/>
        <rFont val="Times New Roman"/>
        <family val="1"/>
        <charset val="204"/>
      </rPr>
      <t>МКУ "УКС и ЖКК г.Когалыма":</t>
    </r>
    <r>
      <rPr>
        <sz val="12"/>
        <rFont val="Times New Roman"/>
        <family val="1"/>
        <charset val="204"/>
      </rPr>
      <t xml:space="preserve">
МК от 15.04.2024 №0187300013724000046 на выполнение работ по сторительству сетей наружного освещения автомобильной дороги по проспекту Нефтяников (от улицы Ноябрьская до путепровода) на сумму 3 732,16 тыс.руб.
В соответствии с решением Думы г.Когалыма от 19.06.2024 №410-ГД экономия плановых ассигнований по итогам электронного аукциона в сумме 3 105,1 тыс.руб. перераспределена на другие мероприятия в рамках муниципальных программ города Когалыма.</t>
    </r>
  </si>
  <si>
    <t xml:space="preserve"> 3.1.3. Перенос кабелей системы автоматической фотовидеофиксации нарушений правил дорожного движения города Когалыма в подземную канализацию на улице Мира</t>
  </si>
  <si>
    <r>
      <rPr>
        <b/>
        <sz val="12"/>
        <rFont val="Times New Roman"/>
        <family val="1"/>
        <charset val="204"/>
      </rPr>
      <t>МКУ "УКС и ЖКК г.Когалыма":</t>
    </r>
    <r>
      <rPr>
        <sz val="12"/>
        <rFont val="Times New Roman"/>
        <family val="1"/>
        <charset val="204"/>
      </rPr>
      <t xml:space="preserve">
На основании решения Думы г.Когалыма от 19.06.2024 №410-ГД выделены плановые ассигнования  в сумме 3 922,9 тыс.руб. на перенос кабелей системы автоматической фотовидеофиксации нарушений ПДД г.Когалыма в подземную канализацию на ул.Мира.</t>
    </r>
  </si>
  <si>
    <t>2. Муниципальный контракт № Т2/23/0013-ДТП от 18.12.2023 на осуществление технологического присоединения к электрическим сетям Этнодеревни в городе Когалыме.
-срок выполнения работ по 25.12.2024;
-цена контракта 8697,74 тыс.руб; по условиям которого произведено авансирование 10%, что составляет 869,774 тыс.руб.
В адрес филиала АО "Россети Тюмень"  направлено письмо от 18.03.2024 №69-Исх-820 о расторжении договора.
 Технологическое присоединение объекта включено в инвестиционную программу АО "ЮТЭК-Региональные сети".</t>
  </si>
  <si>
    <t>п.п 3.1.3 Разработка топливно-энергетического баланса города Когалыма за 2023 год и актуализация прогнозного баланса  до 2030 года</t>
  </si>
  <si>
    <t>Оплата б/л за счет работодателя.</t>
  </si>
  <si>
    <t>Компенсация стоимости путевок на санаторно - курортное лечение.</t>
  </si>
  <si>
    <t>1.3.1.4.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в рамках основного мероприятия "Финансовое обеспечение полномочий исполнительного органа государственной власти Ханты-Мансийского автономного округа –Югры по исполнению публичных обязательств перед физическими лицами" подпрограммы "Ресурсное обеспечение в сфере образования, науки и молодежной политики" государственной программы "Развитие образования"  (сады и уо) (020105)</t>
  </si>
  <si>
    <t>1.4.2. Организации культурно досуговой деятельности и совершенствование условий 
для развития сферы молодёжного отдыха, 
массовых видов спорта и туризма, обеспечивающих разумное и полезное 
проведение детьми свободного времени, их 
духовно-нравственное развитие (66,67,68)</t>
  </si>
  <si>
    <t>3.2.1. Организация мероприятий, проектов по повышению уровня потенциала и вовлечению молодёжи в творческую деятельность (91,92)</t>
  </si>
  <si>
    <t xml:space="preserve">3.2.2. Организация мероприятий, проектов по вовлечению молодежи в добровольческую 
деятельность (03 01 93)
</t>
  </si>
  <si>
    <t xml:space="preserve">3.2.4. Субсидии некоммерческим организациям, не являющимся 
государственными (муниципальными), на выполнение функций ресурсного центра поддержки и развития добровольчества в городе Когалыме" (03 01 95)
</t>
  </si>
  <si>
    <t xml:space="preserve">3.3.2. Обеспечение хозяйственного обслуживания и надлежащего состояния учреждения молодежной политики (03 01 А2)
</t>
  </si>
  <si>
    <t>4.1.3. Финансовое и организационно методическое сопровождение по исполнению МАУ «Информационно ресурсный центр города 
Когалыма» муниципального задания на 
оказание муниципальных услуг (выполнение работ), оснащение материально технической базы 
организации (03 01 И3)</t>
  </si>
  <si>
    <t>1.3.1.2. Реализация полномочий органов местного самоуправления в сфере 
общего образования (51,52</t>
  </si>
  <si>
    <t>17 субъектов предпринимательской деятельности стали получателями финансовой поддержки по данному мероприятию</t>
  </si>
  <si>
    <t>8 субъектов предпринимательской деятельности стали получателями финансовой поддержки по данному мероприятию</t>
  </si>
  <si>
    <t>9 субъектов предпринимательской деятельности стали получателями финансовой поддержки по данному мероприятию</t>
  </si>
  <si>
    <t>16 субъектов предпринимательской деятельности стали получателями финансовой поддержки по данному мероприятию</t>
  </si>
  <si>
    <t xml:space="preserve">Предоставление неисключительных прав на использование программного обеспечения по защите информации
«Компонент Device Control программного комплекса «Кибер Протего» (с дополнительной лицензией Компонента Search Server программного комплекса «Кибер Протего» на 116 рабочих мест
</t>
  </si>
  <si>
    <t>П.3.2.1. Проведение мероприятий по обеспечению деятельности советников директора по воспитанию и взаимодействию с детскими общественными объединениями в образовательных организациях</t>
  </si>
  <si>
    <t xml:space="preserve">ПРИЧИНЫ ОТКЛОНЕНИЙ НЕОБХОДИМО ПРОПИСАТЬ (Неисполнение в связи с изменением порядка финансирования МБТ и перечислением средств  по фактической потребности)       
20,31 тыс. рублей (ФБ)
31,70 тыс. рублей (ОБ)
0,54 тыс. рублей (МБ) </t>
  </si>
  <si>
    <t>Страхование народных дружинников согласно выставленного счета на основании заключенного контракта</t>
  </si>
  <si>
    <t>Подписка на периодические печатные издания 42,70 т.р. (ОБ-36,27т.р.,МБ-6,43т.р.)</t>
  </si>
  <si>
    <t>Перевод документов в эл. форму 70,00 т.р.(ОБ-59,50т.р.,МБ-10,50 т.р.)</t>
  </si>
  <si>
    <t>Выполнение работ по текущему ремонту уличной библиотеки 331,00 т.р. (ОБ-00,00т.р.,МБ-331,00т.р.)</t>
  </si>
  <si>
    <t>Сложилась экономия 15,68 тыс.рублей согласно заключенного контракта</t>
  </si>
  <si>
    <t>Сложилась экономия 15,86 тыс.рублей согласно заключенного контракта</t>
  </si>
  <si>
    <t>План на 01.08.2024</t>
  </si>
  <si>
    <t>Профинансировано на 01.08.2024</t>
  </si>
  <si>
    <t>Кассовый расход на 01.08.2024</t>
  </si>
  <si>
    <r>
      <rPr>
        <b/>
        <sz val="12"/>
        <rFont val="Times New Roman"/>
        <family val="1"/>
        <charset val="204"/>
      </rPr>
      <t>МКУ "УКС и ЖКК г.Когалыма":</t>
    </r>
    <r>
      <rPr>
        <sz val="12"/>
        <rFont val="Times New Roman"/>
        <family val="1"/>
        <charset val="204"/>
      </rPr>
      <t xml:space="preserve">
На основании приказа КФ от 31.01.2024 №13-О, в соответствии с распоряжением Правительства ХМАО-Югры от 26.01.2024 №21-рп "О Соглашении о сотрудничестве между Правительством ХМАО-Югры и ПАО "ЛУКОЙЛ" на 2024-2028 годы", доведены плановые ассигнования в сумме 54 339,0 тыс.руб. на ремонт автомобильных дорог г.Когалыма, в т.ч.:
- на участок улицы Дружбы Народов (от кольцевого пересечения улиц Дружбы Народов-Береговая до моста через реку Ингуягун на км 2+289 автодороги улица Дружбы Народов), 0,15 км, в сумме 4 716,0 тыс.руб.;
- на участок улицы Повховское шоссе (подходы к Путепроводу), 0,75 км, в сумме 29 670,0 тыс.руб.;
- на участок улицы проспект Нефтяников (поворот на ПТП), 0,27 км, в сумме 6 765,0 тыс.руб.;
- на участок улицы Романтиков (участок от улицы Береговая до улицы Нефтяников), 0,40 км, в сумме 13 188,0 тыс.руб.
Заключен МК от 26.02.2024 №13/2024 на оказание услуг по проведению негосударственной экспертизы проверки достоверности сметной стоимости ремонта автомобильных дорог г.Когалыма на сумму 59,00 тыс.руб. Услуги по МК оказаны и оплачены в полном объеме. Заключен МК от 27.05.2024 №35/2024 на оказание услуг по проведению негосударственной экспертизы проверки достоверности сметной стоимости ремонта автомобильных дорог города Когалыма (Шмидта, Бакинская) на сумму 26,0 тыс.руб.
Закючены МК на выполнение работ по ремонту автомобильных дорог города Когалыма :  
- участок ул. Проспект Нефтяников (поворот на ПТП) на сумму 7 324,12 тыс.руб.;
- участок ул. Романтиков, ул.Береговая до Нефтяников на сумму 19 418,912 тыс.руб.;
- участок ул.Повховское шоссе (подходы к Путепроводу) на сумму 39 883,29 тыс.руб.;
- ул. Бакинская на сумму 35 845,129 тыс.руб.;
- ул. Шмидта на сумму 18 345,151 тыс.руб.
В соответствии с решением Думы г.Когалыма от 19.06.2024 №410-ГД плановые ассигнования:
- в сумме 1 856,8 тыс.руб. перераспределены на п.п.2.2.4.  Перенос кабелей светофорного объекта, расположенного на пересечении улиц Мира - Молодежная в подземную канализацию;
- в сумме 72 927,0 тыс.руб. скорректированы с мероприятия п.п.2.1.3 Реконструкция развязки Восточной (проспект Нефтяников, улица Ноябрьская).</t>
    </r>
  </si>
  <si>
    <r>
      <rPr>
        <b/>
        <sz val="12"/>
        <rFont val="Times New Roman"/>
        <family val="1"/>
        <charset val="204"/>
      </rPr>
      <t>МКУ "УКС и ЖКК г.Когалыма":</t>
    </r>
    <r>
      <rPr>
        <sz val="12"/>
        <rFont val="Times New Roman"/>
        <family val="1"/>
        <charset val="204"/>
      </rPr>
      <t xml:space="preserve">
 В соответствии с решением Думы г.Когалыма от 19.06.2024 №410-ГД на данное мероприятие дополнительно перераспределены плановые ассигнования в сумме 767,9 тыс.руб.
Заключены МК на оказание услуг по проведению лабораторных исследований материалов, применяемых при ремонте автомобильных дорог, в том числе проведение инженерно-геодезических измерений:
- от 10.07.2024 №52/2024 на сумму 227,83 тыс.руб. (на участках автодорог: по проспекту Нефтяников (в районе поворота на ПТП), по ул. Романтиков (от ул.Береговая до ул.Нефтяников), по ул. Дружбы Народов (от кольцевого пересечения улиц Дружбы Народов-Береговая до моста через реку Ингуягун на км 2+289 автодороги улица Дружбы Народов);
- от 24.07.2024 №56/2024 на сумму 265,525 тыс.руб. (на участке автодороги Повховское шоссе, подходы к Путепроводу);
- от 24.07.2024 №57/2024 на сумму 170,885 тыс.руб. (на участке автодороги по ул.Шмидта);
- от 24.07.2024 №58/2024 на сумму 323,325 тыс.руб. (на участке автодороги по ул.Бакинская).</t>
    </r>
  </si>
  <si>
    <r>
      <rPr>
        <b/>
        <sz val="12"/>
        <rFont val="Times New Roman"/>
        <family val="1"/>
        <charset val="204"/>
      </rPr>
      <t>МКУ "УКС и ЖКК г.Когалыма":</t>
    </r>
    <r>
      <rPr>
        <sz val="12"/>
        <rFont val="Times New Roman"/>
        <family val="1"/>
        <charset val="204"/>
      </rPr>
      <t xml:space="preserve">
Заключен МК от 04.08.2023 с ООО Строительная Компания «ЮВ и С» на выполнение работ на сумму 366 990,6 тыс.руб. 
Сроки выполнения работ: 1 этап с 04.08.2023 по 16.11.2023; 2 этап с 01.01.2024 по 18.10.2024.
В 2023 году выполнен и оплачен 1 этап на сумму 84 566,83 тыс.руб.
Заключен МК от 02.10.2023 №24-23АН с ООО "Югорский Проектный Институт" на оказание услуг по авторскому надзору по объекту на сумму 737,669 тыс.руб. В 2023 году выполнены и оплачены работы на сумму 169,959 тыс.руб.; в 2024 году на сумму 180,0 тыс.руб. 
На основании приказа КФ от 31.01.2024 №13-О, в соответствии с распоряжением Правительства ХМАО-Югры от 26.01.2024 №21-рп "О Соглашении о сотрудничестве между Правительством ХМАО-Югры и ПАО "ЛУКОЙЛ" на 2024-2028 годы", доведены плановые ассигнования в сумме 156 414,0 тыс.руб.
В соответствии с решением Думы г.Когалыма от 19.06.2024 №410-ГД:
-  скоррректированы плановые ассигнования в сумме 72 927,0 тыс.руб. на мероприятие п.п.2.1.1. Ремонт, в том числе капитальный, автомобильных дорог общего пользования местного значения (в том числе проезды и устройство ливневой канализации);
- выделены плановые ассигнования в сумме 1 227,2 тыс .руб. на оказание услуг по лабораторному сопровождению СМР по объекту Реконструкция развязки Восточной (проспект Нефтяников, улица Ноябрьская).
Заключен МК от 23.07.2024 №0187300013724000170 на оказание услуг по осуществлению лабораторного и инструментального контроля качества работ на объекте: Реконструкция развязки Восточной (проспект Нефтяников, улица Ноябрьская) в городе Когалыме  на сумму 1 227,2 тыс.руб.</t>
    </r>
  </si>
  <si>
    <t xml:space="preserve"> Заключен МК от 08.07.2024 №0187300013724000139 на выполнение работ по установке светофорных объектов в районе пешеходных пееходов по улице Сибирской в городе Когалыме на сумму 2 109,79 тыс.руб.</t>
  </si>
  <si>
    <t>Подпрограмма 3.«Создание условий для обеспечения качественными коммунальными услугами».</t>
  </si>
  <si>
    <t>1.1.   Создание, содержание, ремонт, в том числе капитальный объектов городского хозяйства города Когалыма» (I,4,6,8,12)</t>
  </si>
  <si>
    <t xml:space="preserve">1.5. Организация мероприятий при осуществлении деятельности по обращению с животными без владельцев (7,10) </t>
  </si>
  <si>
    <t>1.8 Обследование и снос зданий, сооружений, расположенных на территории города Когалыма (11)</t>
  </si>
  <si>
    <r>
      <t xml:space="preserve">МБУ "КСАТ":
</t>
    </r>
    <r>
      <rPr>
        <sz val="12"/>
        <rFont val="Times New Roman"/>
        <family val="1"/>
        <charset val="204"/>
      </rPr>
      <t>Неисполнение субсидии по статье арендная плата 332,79 тыс. руб. за пользование имуществом возникло, в связи с тем, что оплата произведена согласно графика платежей.</t>
    </r>
  </si>
  <si>
    <r>
      <rPr>
        <b/>
        <sz val="12"/>
        <rFont val="Times New Roman"/>
        <family val="1"/>
        <charset val="204"/>
      </rPr>
      <t>МБУ"КСАТ":</t>
    </r>
    <r>
      <rPr>
        <sz val="12"/>
        <rFont val="Times New Roman"/>
        <family val="1"/>
        <charset val="204"/>
      </rPr>
      <t xml:space="preserve">
Отклонение от плана составляет 19977,59 тыс. руб. в том числе:
1. 8558,77 тыс. руб - неисполнение субсидии возникло по статье оплата труда гражданского персонала,  при формировании помесячной разбивки ФЗП и материальной помощи, плановые ассигнования разбиваются пропорционально ФЗП+10% мат. помощь   
2. 2233,84 тыс. руб.  -неисполнение субсидии по статье начисления на оплату труда возникло в связи с оплатой страховых взносов в августе 2024 г.
3. 41,08 тыс. руб.  - неисполнение субсидии по статье расходы на оплату услуг связи возникло т.к. счет по услугам связи выставлен на меньшую сумму, чем планировалось, согласно использованных минут связи     
4. 156,17 тыс. руб.-  неисполнение субсидии по статье  коммунальные услуги  в связи с оплатой за фактические объемы коммунальных услуг на основании показаний приборов учета.
5. 554,40 тыс. руб. - неисполнение субсидии по статье оплата услуг по содержанию имущества возникла в связи с: 1. Оплата за  техническое обслуживание контрольных устройств установленных на транспортные средства (Автограф, тахограф, системы мониторинга "ГЛОНАСС") будет, согласно выставленных счетов. 2. Оплата за прохождения технического осмотра, будет произведена по факту оказанных услуг
6. 907,11 тыс. руб. – неисполнение субсидии по статье прочие работы, услуги возникла в связи с: 1.оказанием услуг по обслуживанию программных продуктов, так как оплата будет произведена по факту оказанных услуг, на основании выставленных документов; 2. Оплата за техническое сопровождение, приобретение программного обеспечения и приобретение неисключительных (лицензионных) прав на программное обеспечение и базы данных (ежегодная оплата за приобретение лицензии СБИС, будет  произведена согласно заключенного договора. 3.  Оказание услуг по охране базы, так как оплата произведена по факту оказанных услуг
7. 208,37 тыс.руб.- неисполнение субсидии по статье страхование  оказание услуг  по страхованию ОСАГО, оплата произведена по факту оказанных услуг, на основании выставленных документов
8. 3224,48 тыс.руб.- неисполнение субсидии по статье увеличение стоимости горюче-смазочных материалов оплата будет произведена по факту оказанных услуг согласно выставленных счетов
9. 1772,07 тыс. руб. – неисполнение субсидии по статье увеличение стоимости прочих оборотных запасов (материалов), в связи : 1. Приобретение соли, оплата будет  произведена по факту поставки товара. 2. Оплата счетов за приобретение запасных частей  будет произведена по факту поставки товара. 3 Оплата за приобретение шин, будет по факту поставки товара
10. 1057,41 тыс. руб. - неисполнение по статье расходов прочие расходы  оплата налога на имущество будет произведена в феврале, в связи со сдачей декларации транспортного налога (согласно декларации)
11. 33,31тыс. руб. неисполнение по статье расходов  пособий по уходу за ребенком инвалидом, оплата  произведена по факту предоставленных документов
12.  829,07 тыс. руб.- неисполнение субсидии по статье  прочие несоциальные выплаты персоналу в натуральной форме,  в связи  оплатой по фактически предоставленным документам сотрудниками по использованию льготного отпуска к месту отпуска и обратно, использования оплаты  санаторно-курортных путевок, а так же в связи с оплатой по факту поставки молока, согласно поданных заявок..
13. 38,38тыс. руб. неисполнение субсидии по статье  расходов на приобретение мягкого инвентаря, оплата будет произведена по факту поставки товара
14. 265,63 тыс. руб. неисполнение по статье расходов  пособий за первые три дня временной нетрудоспособности за счет средств работодателя, корректировка платежей  произведена по факту предоставленных документов. 
15. 97,5 тыс.руб неисполнение по статье расходов на приобретение основных средств, оплата будет произведена по факту поставки товара</t>
    </r>
  </si>
  <si>
    <t xml:space="preserve">  привлеченные  средства</t>
  </si>
  <si>
    <t>П.1.1.1.2. Объект благоустройства  "Парк Первопроходцев в городе Когалыме"</t>
  </si>
  <si>
    <t xml:space="preserve">1.1.3.  Предоставление субсидии некоммерческой организации, не являющейся государственным (муниципальным) учреждением, в целях финансового обеспечения затрат в связи с организацией и проведением общественно значимых мероприятий по укреплению межнпационального мира и согласия </t>
  </si>
  <si>
    <t>Отклонеие  сложилось в результате оплаты электрической  энергии согласно показаниям счетчиков по факту.</t>
  </si>
  <si>
    <t>ПК.1.1. Реализация инициативного проекта «Книга в движении"</t>
  </si>
  <si>
    <t>ПК.1.2. Реализация инициативного проекта «Одуванчиковое поле"</t>
  </si>
  <si>
    <t>Низкое исполнение в связи с ликвидацией МАУ ДО "ДДТ" с 01.08.2024</t>
  </si>
  <si>
    <t>Кассовый расход сформировался меньше планового в связи с образованием листов временной нетрудоспособности, отпуска без сохранения оплаты труда, наличием вакансий</t>
  </si>
  <si>
    <t>Услуги типографическик (изготовление книг) 347,10 т.р. (ОБ-242,60т.р.,МБ-104,5т.р.)</t>
  </si>
  <si>
    <t xml:space="preserve">     Выполняются работы по энергосбережению и повышению энергетической эффективности при эксплуатации объектов наружного (уличного) освещения в городе Когалыме в соответствии с МК от 14.07.2020 №0187300013720000073 на сумму 51 159,4 тыс.руб. Оплата производится на основании Акта о достигнутой экономии энергетических ресурсов.
     Завершение работ по контракту - октябрь 2026 года.</t>
  </si>
  <si>
    <t>1.1.4.Предоставление из бюджета города Когалыма субсидий территориальным общественным самоуправлениям города Когалыма на осуществление собственных инициатив по вопросам местного значения</t>
  </si>
  <si>
    <r>
      <rPr>
        <b/>
        <sz val="14"/>
        <color theme="1"/>
        <rFont val="Times New Roman"/>
        <family val="1"/>
        <charset val="204"/>
      </rPr>
      <t>МКУ "УКС и ЖКК г.Когалыма":</t>
    </r>
    <r>
      <rPr>
        <sz val="14"/>
        <color theme="1"/>
        <rFont val="Times New Roman"/>
        <family val="1"/>
        <charset val="204"/>
      </rPr>
      <t xml:space="preserve">
Заключены муниципальные контракты на выполнение работ по сносу ветхих и непригодных для проживания домов в количестве 23 шт.:
- МК  №1/2024 от 10.01.2024 снос дома №18 по ул.Фестивальная, на сумму 598,0 тыс.руб.;
- МК  №2/2024 от 10.01.2024 снос дома №27 по ул.Рижская, на сумму 220,0 тыс.руб.;
- МК  №3/2024 от 17.01.2024 снос домов №5 и №18 по ул.Мостовая, на сумму 500,0 тыс.руб.
- МК  №9/2024 от 06.02.2024 снос дома №1 по ул.Кирова, на сумму 600,0 тыс.руб.
- МК №10/2024 от 06.02.2024 снос дома №10Б по ул.Спортивная, на сумму 600,0 тыс.руб.
- МК  № 0187300013724000008 от 01.03.2024 на снос дома №5 по ул.Фестивальная на сумму 1 664,45 тыс.руб.;
- МК №14/2024 от 04.03.2024 снос домов №4 и №41 по ул.Мостовая на сумму 500,00 тыс.руб.;
- МК №17/2024 от 13.03.2024 снос дома №31 по ул.Мостовая и дома 1Б по ул.Кирова на сумму 500,00 тыс.руб.;
- МК №22/2024  от 01.04.2024 снос дома №77А по ул.Набережная на сумму 600,00 тыс.руб.;
- МК №0187300013724000053 от 15.04.2024 снос дома №19 по ул.Фестивальная на сумму 1 328,12 тыс.руб.;
- МК №0187300013724000054 от 15.04.2024 снос дома №7 по ул.Фестивальная на сумму 1 291,25 тыс.руб.;
- МК №27/2024 от 22.04.2024 по ул.Фестивальная, дом №20 на сумму 600,00 тыс.руб.;
- МК №28/2024 от 22.04.2024 по ул.Фестивальная, дом №20 на сумму 600,00 тыс.руб.;
- МК №29/2024 от 02.05.2024 снос дома №1А по ул.Кирова, дома 10 по ул.Рижская на сумму 500,00 тыс.руб.;
- МК №31/2024 от 03.05.2024 снос дома №16 по ул.Рижская на сумму 250,00 тыс.руб.;
- МК №34/2024 от 21.05.2024 снос дома №23 по ул.Привокзальная на сумму 600,00 тыс.руб.;
- МК №0187300013724000095 от 27.05.2024 снос дома №2 по ул.Фестивальная на сумму 1 258,452 тыс.руб.;
- МК №0187300013724000096 от 27.05.2024 снос дома №21 по ул.Фестивальная на сумму 1 262,232 тыс.руб.;
- МК №339/2024 от 06.06.2024 снос дома №12 по ул.Рижская на сумму 250,0 тыс.руб.;
- МК №0187300013724000115 от 14.06.2024 снос дома №14 по ул.Фестивальная на сумму 976,901 тыс.руб.
На основании решения Думы г.Когалыма от 19.06.2024 №410-ГД выделены дополнительные плановые ассигнования в сумме 8251,3 тыс.руб.
На основании решения Думы г.Когалыма от 25.09.2024 №416-ГД перераспределена экономия плановых ассигнований  с п.1.5."Мероприятие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в сумме 98,17 тыс.руб.</t>
    </r>
  </si>
  <si>
    <r>
      <rPr>
        <b/>
        <sz val="14"/>
        <color theme="1"/>
        <rFont val="Times New Roman"/>
        <family val="1"/>
        <charset val="204"/>
      </rPr>
      <t>МКУ "УКС и ЖКК г.Когалыма":</t>
    </r>
    <r>
      <rPr>
        <sz val="14"/>
        <color theme="1"/>
        <rFont val="Times New Roman"/>
        <family val="1"/>
        <charset val="204"/>
      </rPr>
      <t xml:space="preserve">
В соответствии с постановлением Администраци г.Когалыма от 29.02.2024 №399 перераспределены плановые ассигнования с оплаты работ по сносу ветхих и непригодных для проживания домов  в сумме 2697,04 тыс.руб. (приказ КФ Администрации г.Когалыма от 01.03.2024 №20-О). 
Заключен МК №0187300013724000084 от 20.05.2024 на выполнение работ по обустройству пандусами жилых многоквартирных домов, для обеспечения беспрепятственного доступа маломобильных групп населения в городе Когалыме (ул. Градостороителей 2, ул. Молодежная 24, ул. Олимпийская 15, пр. Солнечный 13) на сумму 2 598,871 тыс.руб. Срок окончания работ по МК - 29.07.2024. Работы выполнены и оплачены в полном объеме.
На основании решения Думы г.Когалыма от 25.09.2024 №416-ГД экономия плановых ассигнований  в сумме 98,17 тыс.руб. перераспределена на п.п. 1.3.  "Освобождение земельных участков, планируемых для жилищного строительства и комплекса мероприятий по формированию земельных участков для индивидуального жилищного строительства".</t>
    </r>
  </si>
  <si>
    <r>
      <rPr>
        <b/>
        <sz val="14"/>
        <color theme="1"/>
        <rFont val="Times New Roman"/>
        <family val="1"/>
        <charset val="204"/>
      </rPr>
      <t>МКУ "УКС и ЖКК г. Когалыма":</t>
    </r>
    <r>
      <rPr>
        <sz val="14"/>
        <color theme="1"/>
        <rFont val="Times New Roman"/>
        <family val="1"/>
        <charset val="204"/>
      </rPr>
      <t xml:space="preserve">
Основной статьей неисполнения является заработная плата с отчислениями от ФОТ в связи с наличием вакансий и выплатой денежного поощрения по результатам работы за фактически отработанное время.</t>
    </r>
  </si>
  <si>
    <r>
      <rPr>
        <b/>
        <sz val="14"/>
        <color theme="1"/>
        <rFont val="Times New Roman"/>
        <family val="1"/>
        <charset val="204"/>
      </rPr>
      <t>УпоЖП:</t>
    </r>
    <r>
      <rPr>
        <sz val="14"/>
        <color theme="1"/>
        <rFont val="Times New Roman"/>
        <family val="1"/>
        <charset val="204"/>
      </rPr>
      <t xml:space="preserve">
Отклонение факта от плана реализации денежных средств от факта сложилось ввиду того, что вновь принятые муниципальные служащие управления по жилищной политике Администрации города Когалыма не имеют  стажа на муниципальной службе, в связи с чем надбавки за выслугу лет, классный чин и за особые условия труда начисляются в минимальном размере.</t>
    </r>
  </si>
  <si>
    <r>
      <rPr>
        <b/>
        <sz val="14"/>
        <color theme="1"/>
        <rFont val="Times New Roman"/>
        <family val="1"/>
        <charset val="204"/>
      </rPr>
      <t>МКУ "УОДОМС":</t>
    </r>
    <r>
      <rPr>
        <sz val="14"/>
        <color theme="1"/>
        <rFont val="Times New Roman"/>
        <family val="1"/>
        <charset val="204"/>
      </rPr>
      <t xml:space="preserve">
Приобретены бумага офисная (16 пачек, формат А4), канцтовары.
</t>
    </r>
    <r>
      <rPr>
        <b/>
        <sz val="14"/>
        <color theme="1"/>
        <rFont val="Times New Roman"/>
        <family val="1"/>
        <charset val="204"/>
      </rPr>
      <t>УпоЖП:</t>
    </r>
    <r>
      <rPr>
        <sz val="14"/>
        <color theme="1"/>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02.09.2024 состоит 4 человека (3 инвалида, 1 ветеран боевых действий). Граждане, изъявившие желание на получение субсидии в 2024 году, отсутствуют.</t>
    </r>
  </si>
  <si>
    <r>
      <rPr>
        <b/>
        <sz val="14"/>
        <color theme="1"/>
        <rFont val="Times New Roman"/>
        <family val="1"/>
        <charset val="204"/>
      </rPr>
      <t>УпоЖП:</t>
    </r>
    <r>
      <rPr>
        <sz val="14"/>
        <color theme="1"/>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02.09.2024 состоит 4 человека (3 инвалида, 1 ветеран боевых действий). Граждане, изъявившие желание на получение субсидии в 2024 году, отсутствуют.В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02.09.2024 состоит 4 человека (3 инвалида, 1 ветеран боевых действий). Граждане, изъявившие желание на получение субсидии в 2024 году, отсутствуют.</t>
    </r>
  </si>
  <si>
    <r>
      <rPr>
        <b/>
        <sz val="14"/>
        <color theme="1"/>
        <rFont val="Times New Roman"/>
        <family val="1"/>
        <charset val="204"/>
      </rPr>
      <t>УпоЖП:</t>
    </r>
    <r>
      <rPr>
        <sz val="14"/>
        <color theme="1"/>
        <rFont val="Times New Roman"/>
        <family val="1"/>
        <charset val="204"/>
      </rPr>
      <t xml:space="preserve">
По состоянию на 02.09.2024 в списке молодых семей, претендующих на получение меры государственной поддержки  по городу Когалыму, состоят 14 семей. В 2024 году в соответствии с условиями муниципальной программы получателями субсидий являются 2 молодые семьи, которым выданы свидетельства и перечислены субсидии.</t>
    </r>
  </si>
  <si>
    <t>1.1.1. Развитие системы выявления, поддержки, сопровождения и стимулирования одаренных 
детей в различных сферах деятельности 03 01 32</t>
  </si>
  <si>
    <t>Муниципальный контракт № 49/2024 от 01.07.2024 на оказание услуг по разработке топливно-энергетического баланса города Когалыма за 2023 год и актуализация прогнозного баланса на период до 2030 года.
-срок выполнения работ 01.09.2024 г.;
-цена контракта 118,0  тыс.руб;
-услуги оказаны и оплачены в полном объеме</t>
  </si>
  <si>
    <t>На отчетную дату ведется исполнение следующих контрактов:
1. Муниципальный контаркт № 5К/2023 от 20.11.2023 на выполнение работ по объекту: "Реконструкция участка ВЛ 35кВ ПП-35кВ "Аэропорт "ПС №35"
-сроки выполнения работ 14.02.2024;
-цена контракта 43 988,590 тыс.руб; в 2023 году перечислен аванс в размере 30% от цены контракта, что составило 13 196,58 тыс.руб;
- срок окончания работ 30.06.2024г. ( Дополнительное соглашение № 3 от 22.05.2024)
- работы выполнены и оплачены в полном объеме.</t>
  </si>
  <si>
    <t>4. Муниципальный контракт №КГ-691.24 от 05.08.2024 на выполнение работ по осуществлению технологического присоединения к электрическим сетям ( Котельная по улице Сибирской)
- срок выполнения работ 05.09.2025 г.;
- цена контракта 554,18 тыс. руб.
- ведется выполнение работ.</t>
  </si>
  <si>
    <t>5. Договор №ТП/ЮЛ/2024-5 от 05.08.2024 г. на выполнение работ по осуществлению технологического присоединения к сети газораспределения объекта "Котельная по улице Сибирской и магистральные тепловые сети в городе Когалыме".
- срок выполнения работ 23.08.2026;
- цена договора 22,79 тыс.руб.;
- ведется выполнение работ.
Неисполнение сетевого графика из-за нарушения сроков выполнения работ и начатой процедуры расторжения договора.</t>
  </si>
  <si>
    <t>п.п. 1.2 Объектов благоустройства "Сквер Дружбы Народов"</t>
  </si>
  <si>
    <t>п.п. 1.2 Объектов благоустройства "Сквер СК "Олимп"</t>
  </si>
  <si>
    <t>п.п. 1.2 Объектов благоустройства "Сквер в микрорайоне 4Б"</t>
  </si>
  <si>
    <t>п.п 1.3. Основные мероприятия  "Оборудование зон отдыха на территории города Когалыма"</t>
  </si>
  <si>
    <t>1.Муниципальный контракт №0187300013724000020 от 25.03.2024 на выполнение работ по строительству объекта благоустройства "Этнодеревня в городе Когалыме" 3 этап:
- цена контракта 21 952,37 тыс.рублей;
- срок выполнения работ: 01.08.2024 г.
- внесены изменения в существенные условия контракта, в части установления аванса в размере 45% от цены контракта, перечислен аванс в сумме 9 878, 57 тыс.руб. (45%),                                                                                                               - работы выполнены и оплачены в полном обьеме.</t>
  </si>
  <si>
    <t>Муниципальный контракт № 0187300013724000090 от 24.05.2024  на выполнение работ на выполнение работ по строительству объекта благоустройства "Литературный сквер в городе Когалыме" 
-цена контракта 19 001,24 тыс.руб.;
-перечислен аванс в сумме 9 120,54 тыс.руб. (48%)
-срок выполнения работ: 16.08.2024 г.;
-работы выполнены и оплачены в полном обьеме..</t>
  </si>
  <si>
    <t>п.п.1.3.1.5. Обеспечение доступности качественного общего образования в соответствии с современными требованиями, оснащение МТБ образовательных организаций (п.п.1.3.1.5.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t>
  </si>
  <si>
    <t xml:space="preserve">     С ООО "Ритуал" заключены муниципальные контракты с периодом оказания услуг с 01.01.2024 по 31.12.2025:
- №0187300013723000388 от 04.12.2023 на оказание услуг по перевозке умерших с места летального исхода на сумму 2 390,386 тыс.руб.;
- №0187300013723000392 от 15.12.2023 на оказание услуг по содержанию городского кладбища на территории города Когалыма на сумму 2 901,36 тыс.руб.
     На 2024 год с ООО "Ритуал" заключено соглашение №1-32-КО от 09.01.2024 о предоставлении из бюджета г.Когалыма субсидии на возмещение части затрат в связи с оказанием ритуальных услуг на сумму 1 517,24 тыс.руб.
     Оплата производится за фактически оказанные услуги на основании актов.
     Заключены  МК: 
- №0187300013724000086 от  20.05.2024 на оказание услуг по инвентаризации мест захоронений (кладбищ), расположенных на территории города Когалыма на сумму 388,444 тыс.руб.;
- №71/2024 от 02.09.2024 на выполнение работ по монтажу плит на территории кладбища города Когалыма на сумму 599,9 тыс.руб. Согласно условиям МК срок оплаты за оказанные услуги - 25.10.2024.
     В соответствии с решением Думы г.Когалыма от 25.09.2024 №416-ГД на обеспечение ритуальных услуг перераспределено 178,5 тыс.руб.</t>
  </si>
  <si>
    <t xml:space="preserve">     Заключены МК:
     -№4/2024 от 25.01.2024 на выполнение работ по устройству будок в вольерах с 1го-4й ряд на территории "Приют для животных в городе Когалыме" по адресу: город Когалым, улица Повховское шоссе, 2 на сумму 416,479 тыс.руб.; 
     - №5/2024 от 25.01.2024 на выполнение работ по устройству будок в вольерах с 5го-6й ряд на территории "Приют для животных в городе Когалыме" по адресу: город Когалым, улица Повховское шоссе, 2 на сумму 208,239 тыс.руб.;
     - №24/2024 от 08.04.2024 на выполнение отделочных, сантехнических и электромонтажных работ в сооружениях, находящихся в зоне содержания животных на объекте "Приют для животных в городе Когалыме", расположенном по адресу: город Когалым, улица Повховское шоссе, 2 на сумму 461,812 тыс.руб.
     Работы по МК выполнены и оплачены в полном объеме.
     На основании решения Думы г.Когалыма от 19.06.2024 №410-ГД выделены плановые ассигнования в сумме 606,1 тыс.руб. на работы по заглублению ограждения территории "Приют для животных в городе Когалыме" в землю.
     Заключен МК №44/2024 от 25.06.2024 на выполнение работ по заглублению ограждения на объекте "Приют для животных в городе Когалыме", расположенном по адресу: город Когалым, улица Повховское шоссе, 2 на сумму 598,136 тыс.руб.
    -№69/2024 от 26.08.2024 Выполнение работ по обшивке нижней части вольеров на территории объекта: "Приют для животных в городе Когалыме" по адресу: город Когалым, улица Повховское шоссе, 2 на сумму 465,56 тыс.руб.
      Работы по МК выполнены и оплачены в полном объеме.</t>
  </si>
  <si>
    <t xml:space="preserve">Муниципальный контракт № 46/2024 от 28.06.2024 на Выполнение работ по разработке проектно-сметной документации на строительство объекта благоустройства "Сквер по проезду Солнечному в городе  Когалыме"
- цена контракта:595,00  тыс.руб.;
- срок выполнения работ: 31.07.2024 г.
- работы выполнены и оплачены в полном обьеме..                                                                Муниципальный контракт № 51/2024 от 01.07.2024 на выполнение инженерных изысканий для объекта благоустройства "Сквер по проезду Солнечный  в городе Когалыме"
- цена контракта:278,97  тыс.руб.;
- срок выполнения работ: 10.07.2024 г.
- работы выполнены и оплачены в полном объеме                                                                                      </t>
  </si>
  <si>
    <t>План на 01.11.2024</t>
  </si>
  <si>
    <t xml:space="preserve">     В соответствии с МК от 15.12.2023 №119/2023 на сумму 576,312 тыс.руб. выполнены и оплачены работы по ремонту сетей наружного освещения пешеходного моста через реку Ингу-Ягун по адресу: г.Когалым, район Административного здания блока "С".
     Заключены МК:
- №0187300013724000068 от 02.05.2024 с ИП Бикбовым А.А. на выполнение работ по покраске конструкций Пешеходного моста через реку Ингу-Ягун по адресу: город Когалым, район Административного здания блока "С" на сумму 2 499,999 руб.;
- №0187300013724000069 от 08.05.2024 с ООО "Ягуар" на выполнение работ по ремонту Пешеходного моста через реку Ингу-Ягун по адресу: город Когалым, район Административного здания блока «С» на сумму 7 808,982 руб.      
       Работы ведутся.</t>
  </si>
  <si>
    <t xml:space="preserve">     Заключены муниципальные контракты:
- №0187300013723000407 от 25.12.2023 на выполнение работ по оперативному, тех.обслуживанию и текущему ремонту эл/оборудования сетей НО и светофорных объектов г.Когалыма с АО "ЮТЭК-Когалым" на сумму 27 125,2 тыс.руб.;
- №ЭС1902000062/24 от 29.12.2023 на поставку эл/энергии для наружного освещения г.Когалыма с АО "Газпром энергосбыт Тюмень" на сумму 20 523,8 тыс.руб. 
- №0187300013724000059 от 19.04.2024 на выполнение работ по ремонту(замене) оборудования сетей наружного освещения на территории города Когалыма (ул. Прибалтийская, д.20/1, ул. Дружбы Народов, д. 43) на сумму 785,02 тыс.руб.
     Ежемесячная оплата электроэнергии и ТО сетей НО производится на основании выставленных счетов и актов оказанных услуг (выполненных работ).    
     Заключен МК №106/2024 от 28.10.2024 на выполнение работ по обустройству наружного освещения во дворе жилого дома 7 по улице Строителей на территории города Когалыма на сумму 195,11 тыс.руб.
     На 2025 год заключен МК №0187300013724000247 от 28.10.2024 на выполнение работ по оперативному, техническому обслуживанию и текущему ремонту электрооборудования сетей наружного освещения и светофорных объектов города Когалыма на сумму 34 625,20 тыс.руб.</t>
  </si>
  <si>
    <t xml:space="preserve">     На оказание услуг по акарицидной, дезинсекционной (ларвицидной) обработке, барьерной дератизации, а также сбору и утилизации трупов животных на территории города Когалыма заключен муниципальный контракт  от 25.03.2024 №0187300013724000019  с ИП Коневым Виктором Аалексеевичем на сумму 992 167,12 руб. Услуги оказаны. Срок оплаты, согласно условиям МК, до 11.10.2024.
      Работы выполнены и оплачены в полном объеме.</t>
  </si>
  <si>
    <t xml:space="preserve">     На оказание услуг по обращению с животными без владельцев на территории г.Когалыма заключены МК с ИП Скляр Л.П.:
     - № 115/2023 от 15.12.2023 (услуги на сумму 582,6 тыс.руб. оказаны в период с 15.12.2023 по 21.01.2024). Услуги по МК выполнены и оплачены в полном объеме.;
     - № 6/2024 от 25.01.2024  на сумму 600,00 тыс.руб.     Услуги по МК выполнены и оплачены в полном объеме.
     - №13/2024/13 от 01.03.2024 на сумму 600,00 тыс.руб. Услуги по МК выполнены и оплачены в полном объеме.
     - №26/2024 от 11.04.2024 на сумму 582,59 тыс.руб.       Услуги по МК выполнены и оплачены в полном объеме.
     - №48/2024 от 01.07.2024 на сумму 600,00 тыс.руб.       Услуги по МК выполнены и оплачены в полном объеме.
     - №55/2024 от 24.07.2024 на сумму 600,00 тыс.руб.
     Заключены МК с Абабий О.Н. на оказание услуг по подготовке животного к проведению ветеринарных мероприятий с послеоперационным уходом на территории города Когалыма:
      - №8/2024 от 01.02.2024  на сумму 99,9 тыс.руб. Услуги по МК выполнены и оплачены в полном объеме.
     - №13/2024/14 от 01.03.2024 на сумму 99,9 тыс.руб. Услуги по МК выполнены и оплачены в полном объеме.   
     Заключены МК на оказание услуг по обращению с животными без владельцев на территории города Когалыма:
     - №64/2024 от 14.08.2024  на сумму 600,00 тыс.руб. Услуги по МК выполнены и оплачены в полном объеме. 
     - №77/2024 от 13.09.2024 на сумму 600,00 тыс.руб. Услуги по МК выполнены и оплачены в полном объеме.   
     - №81/2024 от 21.09.2024  на сумму 600,00 тыс.руб. Услуги по МК выполнены и оплачены в полном объеме.   
     -№0187300013724000233 от 14.10.2024 на сумму 3 375,00 тыс.руб.</t>
  </si>
  <si>
    <t xml:space="preserve">1. В 2024 муниципальной программой «Развитие агропромышленного комплекса в городе Когалыме» предусмотрены мероприятия по предоставлению сельскохозяйственным товаропроизводителям субсидий на содержание маточного поголовья сельскохозяйственных животных за счёт субвенций из бюджета ХМАО – Югры, в рамках реализации переданных муниципальным образованиям государственных полномочий по поддержке сельскохозяйственного производства в соответствии с Законом ХМАО – Югры от 16.12.2010 №228-оз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в сфере поддержки сельскохозяйственного производства и деятельности по заготовке и переработке дикоросов». 
Порядками предоставления субсидий на поддержку сельскохозяйственного производства и деятельности по заготовке и переработке дикоросов, утвержденными постановлением Администрации города Когалыма от 15.03.2021 №500 предусмотрены следующие сроки подачи заявок:
- на субсидию на содержание маточного поголовья сельскохозяйственных животных по 06 мая.
заявка от Главы КФХ Шиманского В.М. на предоставление субсидии на содержание маточного поголовья сельскохозяйственных животных (за исключением личных подсобных хозяйств) принята 06.05.2024 г. через АИС «АПК». Список получателей субсидии на содержание маточного поголовья сельскохозяйственных животных за 2024 год утвержден постановлением Администрации города Когалыма №992 от 24 мая 2024;
2. На основании Постановления Администрации города Когалыма от 24.05.20243 № 992 плановые асигнования в сумме 240,0 тыс.руб. доведены до получателя.
3. 6,5 тыс.руб. доведены до сотрудника, осуществляющего администрирование.
4. В соответствии с приказом КФ Администрации г.Когалыма от 03.10.2024 №80-О внесены изменения в сводную бюджетную роспись и лимиты бюджетных обязательств на 2024-2026 г.г.
</t>
  </si>
  <si>
    <t xml:space="preserve">2 субъекта предпринимательской деятельности стали получателем финансовой поддержки по данному мероприятию.
</t>
  </si>
  <si>
    <t xml:space="preserve">Неисполнение плановых ассигнований по заработной плате и начислениям на выплаты по оплате труда, в связи с наличием вакансий, предоставлением листов нетрудоспособности </t>
  </si>
  <si>
    <t xml:space="preserve">Заявки принимались в период с 05.09.2024 по 04.10.2024 года на сервисе Единый личный кабинет активитста (ЕЛКА). Принято 7 заявок.По результатам публичной защиты (Конкурса). Который состоялся 25.10.2024 года определены 5 победителей, с которыми будут заключены соглашения о предоставлении гранта (в форме субсидии) на реализацию проектов:                                                                            1. Местная общественная организация Совет ветеранов войны и труда, инвалидов и пенсионеров города Когалыма  «Во имя мира на Земле» - 200 000,00 рублей;
2. Региональная общественная организация Центр развития гражданских инициатив и социально-экономической стратегии Ханты-Мансийского автономного округа Югры «ВЕЧЕ»  «Ступени здоровья!Оздоровительный центр Жемчужина» - 173  000,00 рублей;
3. Общественная организация «Когалымская городская федерация инвалидного спорта»  «Новые горизонты, новые возможности» - 200 000,00 рублей;
4. Автономная некоммерческая организации развития культуры, спорта и просвещения «Когалымский клуб интеллектуальных видов спорта «Дебют 82»  «Гроссмейстеры завтрашнего дня» 124 300,00 рублей;
5. Автономная некоммерческая организация Центр развития добровольчества (волонтерства) в городе Когалыме «Навигатор добра»  «#вТемеДобра» 154 500,00 рублей.
</t>
  </si>
  <si>
    <t>Приобретены архивные короба в количестве 138 шт.</t>
  </si>
  <si>
    <t xml:space="preserve">НЕОБХОДИМО ПРОПИСАТЬ ПРИЧИНЫ ОТКЛОНЕНИЙ ПЛАНА ОТ КАССЫ </t>
  </si>
  <si>
    <t xml:space="preserve">1. Муниципальный контракт № 0187200001724001244 от 08.07.2024  на строительство объекта: "Магистральные инженерные сети водоснабжения и канализации жилых комплексов "Философский камень" и "ЛУКОЙЛ" в городе Когалыме"
-сроки выполнения работ 25.11.2024;
-цена контракта 80 607,12 тыс.руб; по условиям которого произведено авансирование 10%, что составляет 8 060,71 тыс.руб.
-ведется выполнение работ.                                              2. Муниципальный контракт № 1/1750 от 02.11.2024 на оказание услуг по офрмлению технических планов по объекту "Магистральные игнженерные сети водоснабжение и канализации жилых комплексов "Философский камень" и "Лукойл" в городе Когалыме"
-сроки оказания услуг: 06.12.2024.
-цена контракта  74,26 тыс.руб.
-ведется оказание услуг.
</t>
  </si>
  <si>
    <t>Кассовый расход на  01.12.2024</t>
  </si>
  <si>
    <t>План на 01.12.2024</t>
  </si>
  <si>
    <t>Профинансировано на 01.12.2024</t>
  </si>
  <si>
    <t xml:space="preserve">Отклонение от плана составляет 18475,91 тыс.руб. в том числе:
1. 9560,65. руб - неисполнение субсидии возникло по статье оплата труда гражданского персонала,  при формировании помесячной разбивки ФЗП и материальной помощи, плановые ассигнования разбиваются пропорционально ФЗП+10% мат. помощь   
2. 2881,18 тыс.руб.  -неисполнение субсидии по статье начисления на оплату труда возникло в связи с оплатой страховых взносов в ноябре 2024г.
3. 26,12 тыс. руб.  - неисполнение субсидии по статье расходы на оплату услуг связи возникло т.к. счет по услугам связи выставлен на меньшую сумму, чем планировалось, согласно использованных минут связи     
4. 917,52 тыс.руб.-  неисполнение субсидии по статье  коммунальные услуги  в связи с оплатой за фактические объемы коммунальных услуг на основании показаний приборов учета.
5. 652,23 тыс. руб. - неисполнение субсидии по статье оплата услуг по содержанию имущества возникла в связи с: 1.   Оплата за  техническое обслуживание контрольных устройств установленных на транспортные средства (Автограф, тахограф, системы мониторинга "ГЛОНАСС") будет произведена, согласно выставленных счетов. 2. Оплата за прохождения технического осмотра, будет произведена по факту оказанных услуг
6. 397,99 тыс. руб. – неисполнение субсидии по статье прочие работы, услуги возникла в связи с: 1.оказанием услуг по обслуживанию программных продуктов, так как оплата произведена по факту оказанных услуг, на основании выставленных документов; 2.  Оказание услуг по охране базы, так как оплата произведена по факту оказанных услуг. 3.  Оплата за техническое сопровождение, приобретение программного обеспечения и приобретение неисключительных (лицензионных) прав на программное обеспечение и базы данных (ежегодная оплата за приобретение лицензии СБИС, произведена согласно заключенного договора (договор заключен на меньшую стоимость); 4 Оплата за оказание услуг по содержанию цветников будет произведена по факту выставленных документов к оплате
7. 2858,60  тыс.руб.- неисполнение субсидии по статье увеличение стоимости горюче-смазочных материалов оплата произведена по факту оказанных услуг согласно выставленных счетов
8. 751,96 тыс. руб. – неисполнение субсидии по статье увеличение стоимости прочих оборотных запасов (материалов), в связи : 1. Оплата счетов за приобретение запасных частей  будет произведена по факту поставки товара. 2 Оплата счетов за приобретение шин будет произведена по факту поставки товара.3 Оплата счетов за приобретение материалов для объектов благоустройства, будет произведена по факту поставки товара
9. 116,57 тыс. руб. - неисполнение по статье расходов прочие расходы  оплата налога на имущество  произведена ,  в связи со сдачей декларации.
10. 48,27 тыс. руб.- неисполнение субсидии по статье  прочие несоциальные выплаты персоналу в натуральной форме,  в связи  оплатой по фактически предоставленным документам сотрудниками по использованию льготного отпуска к месту отпуска и обратно, а так же в связи с оплатой по факту поставки молока, согласно поданных заявок.
11. 17,48 тыс. руб. неисполнение по статье расходов  пособий за первые три дня временной нетрудоспособности за счет средств работодателя, корректировка платежей  произведена по факту предоставленных документов. 
12. 51,67  тыс.руб.- неисполнение субсидии по статье страхование  оказание услуг  по страхованию ОСАГО, оплата произведена по факту оказанных услуг, на основании выставленных документов
13. 4,25 тыс. руб. неисполнение субсидии по статье  расходов на приобретение мягкого инвентаря, оплата будет произведена по факту поставки товара
14. 24,50 тыс. руб.- неисполнение субсидии по статье  прочие несоциальные выплаты персоналу в натуральной форме,  в связи  оплатой по фактически предоставленным документам сотрудниками использования оплаты  санаторно-курортных путевок
15. 166,92 тыс. руб. неисполнение субсидии по статье  расходов на приобретение основных средств, оплата будет произведена по факту поставки товара
</t>
  </si>
  <si>
    <t xml:space="preserve"> ОАиГ:
Заключен муниципальный контракт на поставку полиграфической продукции изготовлению информационных стендов и баннеров в количестве 53 шт. на сумму 126,225 тыс.руб. Работы выполнены и оплачены в полном объеме.
Остаток плановых ассигнований в размере 212,775 тыс.руб. планируется законтрактовать на выполнение полиграфических услуг по изговтовлению новогодних баннеров в количестве 42 шт.                                                                              УКС Заключены МК:
- №0187300013723000393 от 15.12.2023 с ИП Сагидовым М.С.  на сумму 1 159,686 тыс.руб. на оказание услуг по содержанию площадок для выгула животных. Период оказания услуг с 01.01.2024 по 31.12.2025.
- №0187300013723000397 от 15.12.2023 с ИП Сагидовым М.С.  на сумму 540,565 тыс.руб. на оказание услуг по содержанию мест (площадок) накопления твердых комунальных отходов. Период оказания услуг с 01.01.2024 по 31.12.2024;
- №7/2024 от 01.02.2024 с ИП Скляр Л.П. на сумму 302,5 тыс.руб.на оказание услуг по содержанию специальных урн (дог-боксов). Период оказания услуг с 01.01.2024 по 31.12.2024;
- №0187300013724000013 от 11.03.2024 на сумму 1 977,23 тыс.руб. с ИП Козер С.А. на выполнение работ по ремонту тротуара от административного здания ООО "АИК" вдоль улицы Мира в г.Когалыме;
- №0187300013724000023 от 26.03.2024 на сумму 708,63 тыс.руб. на выполнение работ по ремонту тротуаров в городе Когалыме;
- №20/2024 от 27.03.2024 с ООО "Экотехсервис"на сумму 594,00 тыс.руб. на оказание услуг по откачке дождевых вод;
- №21/2024 от 28.03.2024 с ИП Никулиной Н.Э. на сумму 391,17 тыс.руб. на поставку флагов;
- №0187300013724000036 от 05.04.2024 с ИП Козер С.А. на сумму 1 396,89 тыс.руб. на выполнение работ по обустройству тротуара от жилого дома по улице Молодежная, дом 26 до жилого дома по улице Ленинградская, дом 8 в городе Когалыме;
- №0187300013724000034 от 15.04.2024 с ООО "Юграпромэнерго" на сумму 6 152,24 тыс.руб. на выполнение работ по ремонту тротуаров в городе Когалыме (вдоль ул. Ленинградская 1, 9,17,19);
- №0187300013724000067 от 02.05.2024 с ООО "АКВАСТРОЙ-СЕРВИС" на выполнение работ по обустройству ливневой канализации в районе детской поликлиники и инфекционного отделения БУ "Когалымской городской больницы" города Когалыма на сумму 1 377,743 тыс.руб.;
- №30/2024 от 02.05.2024 с ООО "Сантехсервис" на оказание услуг по расконсервации и запуску фонтана (ул. Мира) на сумму 71,078 тыс.руб.;
- №ЮЭ86КО1700000345 от 02.05.2024 с АО "Югра-Экология" на оказание услуг по обращению с твердыми коммунальными отходами (общественные территории при проведении меропрятий) на сумму 78,799 тыс.руб.; 
- №0187300013724000093 от 20.05.2024 с ООО "АКВАСТРОЙ-СЕРВИС" на выполнение работ по обустройству ливневой канализации в районе МАОУ "Средняя школа №5" по улице Прибалтийская в городе Когалыме на сумму 698,495 тыс.руб.;
- №37/2024 от 29.05.2024 на разработку проектно-сметной документации системы видеонаблюдения на объекте "Зона отдыха по улице Сибирская в городе Когалыме" на сумму 478,975 руб.;
-№38/2024 от 29.05.2024 на оказание услуг по обслуживанию и консервации фонтана на сумму 547,849 тыс.руб.;
- №2024.622681 от 30.05.2024 на поставку хозяйственных товаров на сумму 83,96 тыс.руб.;
- №0187300013724000121 от 17.06.2024 на поставку и монтаж оборудования в рамках создания детской игровой площадки для маломобильных групп населения на территории Зоны отдыха по улице Сибирской в городе Когалыме на сумму 904,755 тыс.руб.;
-№50/2024 от 01.07.2024 на оказание услуг по содержанию объекта "Этнодеревня" на сумму 279,78 тыс.руб.;
- №82 от 03.07.2024 на холодное водоснабжение и водоотведение (Фонтан на площади Мира) на сумму 100,00 тыс.руб.;
- №0187300013724000151 от 16.07.2024 на поставку искусственных веток "Сакуры" на сумму 357,3 тыс.руб.;
-№0187300013724000153 от 17.07.2024 на выполнение работ по ремонту тротуара в городе Когалыме от жилого дома №21 по улице Мира, до здания филиала Малого театра, расположенного по улице Молодежная, дом 16 на сумму 2 332,664 тыс.руб.;
- №0187300013724000156 от 19.07.2024 на выполнение кадастровых работ по изготовлению технических планов на инженерные сети наружного освещения в городе Когалыме на сумму 436,449 тыс.руб.;
- №0187300013724000157 от 19.07.2024 на выполнение работ по очистке дождеприемных колодцев и промывке ливневой канализации на территории города Когалыма ((вдоль а/д ул. Мира (от ул. Степа Повха до Прибалтийской) на сумму 4 625,379 тыс.руб.;
- №0187300013724000158 от 22.07.2024 на выполнение работ по ремонту пешеходных дорожек и элементов благоустройства территории сквера IV микрорайона "Югорочка", расположенном в городе Когалыме на сумму 4 947,621 тыс.руб.;
- №0187300013724000159 от 22.07.2024 на выполнение работ по обустройству тротуара по улице Береговая (в границах улиц Широкая и Романтиков) в городе Когалыме на сумму 5 942,44 тыс.руб.;
- №0187300013724000160 от 22.07.2024 на выполнение работ по обустройству тротуара по улице Степана Повха от здания КСК "Ягун" до здания МАОУ СОШ №7 в городе Когалыме на сумму 1 452,56 тыс.руб.;
- №0187300013724000163 от 22.07.2024 на выполнение работ по переносу и расширению контейнерных площадок на территории города Когалыма на сумму 1 971,075 тыс.руб.;
-№53/2024 от 24.07.2024 на выполнение работ по обустройству ливневой канализации во дворе жилого дома 41 по улице Ленинградская на территории города Когалыма на сумму 592,801 тыс.руб.;
- №54/2024 от 24.07.2024 на выполнение работ по обустройству контейнерных площадок на территории города Когалыма на сумму 350,0 тыс.руб.;
- №59/2024 от 26.07.2024 на оказание услуг по покосу травы на территории города Когалыма на сумму 600,00 тыс.руб.;
- №60/2024 от 26.07.2024 на оказание услуг по ликвидации несанкционированных свалок ( Этнодеревня) на сумму 333,575 тыс.руб.;
- №61/2024 от 26.07.2024 на оказание услуг по откачке дождевых вод на сумму 599,5 тыс.руб.;
- №63/2024 от 07.08.2024 на выполнение работ по художественному оформлению Строения, расположенного по адресу: ХМАО-Югра, город Когалым, проезд Сопочинского, 11/1 на сумму 350,00 тыс.руб.;
- №2024.910322 от 12.08.2024 на поставку флагов на сумму 66,24 тыс.руб.;
- №65/2024 от 14.08.2024 на выполнение работ по художественному оформлению трансформаторной подстанции, расположенной по адресу: улица Дружбы Народов, 32/1 на сумму 480,96 тыс.руб.;
- №65/2024/1 от 14.08.2024 на выполнение работ по художественному оформлению Строения, расположенного по адресу: ХМАО-Югра, город Когалым, проспект Шмидта, 7А на сумму 120,00 тыс.руб.;
- №66/2024 от 14.08.2024 на выполнение работ по переносу контейнерных площадок на территории города Когалыма на сумму 242,00 тыс. руб.;
- №67/2024 от 22.08.2024 на выполнение работ по обустройству тротуара от жилого дома №30 по улице Молодежная, вдоль здания детского сада "Академия детсва" на сумму 315,15 тыс.руб.;
- №24СКК244 от 02.09.2024 на поставку полиграфической продукции (информационные стенды) на сумму 20,575 тыс.руб.;
- №72/2024 от 02.09.2024 на выполнение работ по обустройству площадок для установки малых архитектурных форм вдоль участка тротуара от жилого дома №1 до жилого дома №17 по улице Ленинградская в городе Когалыме на сумму 184,45 тыс.руб.;
- №73/2024 от 02.09.2024 на выполнение работ по обустройству тротуара по ул. Нефтяников дом 69 до ул. Широкая дом 31 в левобережной части города Когалыма на сумму 307,06 тыс.руб.;
- №1/1604 от 09.09.2024 на оказание услуг по оформлению технического плана по объекту: Проезд улица Бакинская - зона отдыха по улице Сибирская на сумму 76,18 тыс.руб.;
- №78/2024 от 16.09.2024 на оказание услуг по охране объекта "Этнодеревня" на территории города Когалыма на сумму 206,08 тыс.руб.;
- №83/2024 от 25.09.2024 на выполнение работ по демонтажу железобетонных плит ограждения территории, расположенной по адресу ул. Ноябрьская, 2 на сумму 590,0 тыс.руб.;
- №84/2024 от 25.09.2024 на выполнение работ по обустройству тротуарной дорожки в районе остановки "Прибалтийская" со стороны дома № 5 по улице Прибалтийская в городе Когалыме на сумму 235,79 тыс.руб.;
- №24СКК256 от 26.09.2024 на поставку полиграфической продукции на сумму 288,7 тыс.руб.;
- №1/1613 от 27.09.2024 на оказание услуг по оформлению технических планов сооружений на сети наружного освещения на сумму 237,5 тыс.руб.;
- №0187300013724000219 от 30.09.2024 на оказание услуг по содержанию мест (площадок) накопления твердых коммунальных отходов на сумму 1 850,149 тыс.руб.;
- №92/2024 от 02.10.2024 на выполнение работ по очистке дождеприемных колодцев и промывке ливневой канализации на территории города Когалыма на сумму 371,342 тыс.руб.;
- №93/2024 от 02.10.2024 на выполнение работ по художественному оформлению Строения,  расположенного по адресу: ХМАО-Югра, город Когалым, улица Молодежная, 1-А на сумму 485,00 тыс.руб.;
- №94/2024 от 04.10.2024 на выполнение работ по ремонту ограждения и шарнирных креплений пирсов на набережной реки Ингу-Ягун на территории города Когалыма на сумму 587,00 тыс.руб.;
- №97/2024 от 17.10.2024 на поставку саженцев деревьев на сумму 46,862 тыс.руб.;
- №98/2024 от 16.10.2024 на выполнение работ по обустройству контейнерных площадок на территории города Когалыма на 249,34 тыс.руб.;
- №24СКК281 от 24.10.2024 на поставку полиграфической продукции на сумму 45,825 тыс.руб.;
- №2024.1210260 от 30.10.2024 на поставку хозяйственных товаров (хомуты, шнур плетеный) на сумму 92,82 тыс.руб.;
- №0187300013724000258 от 08.11.2024 на поставку, монтаж и содержание зимних горок на сумму 2 458,346 тыс.руб.;
- №0187300013724000259 от 08.11.2024 на оказание услуг по монтажу и содержанию зимних горок на сумму 3 770,00 тыс.руб.;
- №1/1756 от 18.11.2024 на оказание услуг по подготовке схем расположения земельных участков на кадастровом плане территории под объектами благоустройства (тротуарами) в городе Когалыме на сумму 84,00 тыс.руб.;
- №2024.1341572 от 26.11.2024 на поставку флагов на сумму 259,35 тыс.руб. 
     Неполное освоение плановых ассигнований обусловлено: 
- невостребованными плановыми ассигнованиями на покос травы;
- отсутствием необходимости в обслуживании фонтана по причине его неисправности;
- оплатой по откачке дождевых вод по факту оказанных услуг;
- расторжением в одностороннем порядке МК на поставку и монтаж оборудования в рамках создания детской игровой площадки для маломобильных групп населения на территории Зоны отдыха по улице Сибирской в городе Когалыме (по причине непредоставления паспортов на детское игровое оборудование) </t>
  </si>
  <si>
    <t xml:space="preserve">     На основании постановления Администрации г.Когалыма от 13.02.2024 №295 выделены плановые ассигнования в сумме 6871,9 тыс.руб., в том числе:
- на архитектурную подсветку путепровода автодороги Повховское шоссе г.Когалыма в сумме 4 109,1 тыс.руб.; 
- на архитектурную подсветку пешеходного моста "Циркуль" в сумме 2 762,8 тыс.руб.
     Заключен МК от 22.04.2024 №0187300013724000064 на выполнение работ по монтажу архитектурной подсветки пешеходного моста через реку Ингу-Ягун по адресу: город Когалым, район Административного здания блока «С» на сумму 699,051 тыс.руб. МК расторгнут в одностороннем порядке (Подрядчик не приступил к работам).
     В соответствии с приказом КФ от 11.06.2024 №55-О экономия ПА в сумме 2 063,7 тыс.руб. перераспределена на промывку ливневой канализации вдоль автодороги по ул.Мира (от ул.Степана Повха до ул.Прибалтийская).
     Заключен МК от 17.06.2024 №0187300013724000113 на выполнение работ по монтажу архитектурной подсветки объекта "Путепровод на км 0+468 автодороги Повховское шоссе в городе Когалыме" на сумму 2 461,244 тыс.руб. Работы выполнены и оплачены в полном объеме.
    </t>
  </si>
  <si>
    <t xml:space="preserve">          В соответствии с приказом КФ от 11.06.2024 №55-О в рамках муниципальной программы перераспределена экономия ПА в сумме 600,0 тыс.руб. на демонтаж и утилизацию непригодного для эксплуатации здания "Котельная №2", расположенного по адресу: г.Когалым, ул.Нефтяников, 15 (письмо от 13.05.2024 №69-Исх-1492) (земельный участок предназначен для жилищного строительства). 
     Заключен МК от 13.06.2024 №40/2024 на выполнение работ по сносу объекта капитального строительства "Котельная № 2(СУ-951)", расположенного по адресу: Тюменская область, Ханты-Мансийский автономный округ-Югра, город Когалым, улица Нефтяников, д. № 15 на сумму 600,0 тыс.руб. Работы по контракту выполнены и оплачены.
    Согласно постановлению Администрации г.Когалыма от 22.07.2024 №1354 на проведение обследования и оценки тех.состояния дома №11 по ул.Заречная г.Когалыма перераспределено 70,00 тыс.руб.
     МК на проведение обследования и оценки тех. состояния дома №11 по ул.Заречная не заключался в связи с принятым управлением по жилищной политики  Администрации города Когалыма решением обязать нанимателя восстановить жилое помещение за счет собственных средств.</t>
  </si>
  <si>
    <t>Заключены соглашения о предоставлени грантов победителям Конкурса социально значимых проектов среди СО НКО . Перечисление средств будет осуществляться до 5 декабря текущего года.</t>
  </si>
  <si>
    <t>В соответствии с решением Думы города Когалыма от 23.09.2014 №456-ГД «Об утверждении Положения о наградах и почетных званиях города Когалыма», постановлением
Администрации города Когалыма от 29.08.2011 №2136 «Об утверждении порядка оказания поддержки лицам, удостоенным звания «Почетный гражданин города Когалыма» 
установлены требования по предоставлению меры поддержки почетным гражданам города Когалыма.  В  2024 году  единовременной выплате подлежат 7 почетных граждан (Мартынова О.В., Ветштейн В.В., Короткова Р.М.,Гурин А.А.,Лосева И.В., Гаврилова Т.Г.,Ерпылева Е.В.) . В соответствии с распоряжением Администрации города Когалыма от 17.07.2024 №113-р "О предоставлении мер поддержки гражданин города Когалыма" в 2024 году осуществлены выплаты  на ежегодное материальное вознаграждение ко Дню города Когалыма  гражданам, удостоенным звания "Почётный гражданин города Когалыма" и зарегистрированным по месту жительства в городе Когалыме в размере -115 500,00 рублей каждому. Плановые значения предусмотрены на 8 почетных граждан с учетом возможных  изменений показателя по году  в сторону повышения значений (отклонение 115,5 тыс.руб) и на погребение -100 тыс.руб.</t>
  </si>
  <si>
    <t xml:space="preserve">Обьявление о проведении конкурса размещено на сайте органов местного самоуправления города Когалыма .Прием заявок и докуметов на городской конкурс «Общественное признание - 2024» осуществляется организационным комитет по организации и проведению конкурса в период с 14.10.2024 по  01.11.2024. Соискателями Премии могут стать представители организаций всех форм собственности, НКО, индивидуальные предприниматели, социально активные граждане, проживающие и (или) осуществляющие свою деятельность в городе Когалыме по номинациям для физических и юридических лиц.                                                                                                                                                                                                                                                                                                                             Согласно итогов Конкурса лауреатами премии «Общественное признание-2024» среди физических лиц признать:
1. Остапенко Наталья Вячеславовна – в номинации «Лучший местный житель»;
2. Бражникова Вита Викторовна – в номинации «Сердце отдаю людям»;
3. Балуева Ирина Ивановна – в номинации «Поступок года»;
4. Беседин Сергей Николаевич – в номинации «Молодежный взгляд, новое поколение».
Согласно итогов Конкурса лауреатами премии «Общественное признание-2024» среди юридических лиц признаны:
1. ИП «Остапенко Наталья Вячеславовна» - в номинации «Будущее города мы создаем сами»;
2. Когалымская городская общественная организация татаро-башкирское национально-культурное общество «НУР» - в номинации «Хранитель традиции, умное поколение»;
3. Общественная организация «Когалымская городская Федерация инвалидного спорта» - в номинации «Спорт – путь к здоровью»;
4. АНО «Ресурсный Центр поддержки НКО города Когалыма» - в номинации «Открытое сердце».
</t>
  </si>
  <si>
    <t>Муниципальный контракт № 0187300013724000097 от 27.05.2024 г. на выполнение работ по ремонту объектов благоустройства дворовой территории по адресу: город Когалым, улица Степана Повха, дом 16
-цена контракта 8 749,79 тыс.руб.
-срок выполнения работ: 15.10.2024 г.                                                                     - работы выполнены и оплачены в полном объеме.</t>
  </si>
  <si>
    <t xml:space="preserve">1.Муниципальный контракт № 0187300013724000088 от 24.05.2024 на выполнение проектно-изыскательских работ для строительства объекта благоустройства "Экотропа в городе Когалыме".
- цена контракта: 799,07 тыс.руб.;
- срок выполнения работ: 01.08.2024 г.
- работы выполнены с нарушением сроков, обязательсва в части оплаты исполнены                                                                                         </t>
  </si>
  <si>
    <t>Муниципальный контракт № 91/2024 от 01.10.2024 на поставку столов-гриль.        -цена контракта: 180,0 тыс.руб.                                                                                                         -срок поставки: 11.10.2024                                                                                                                     -поставка произведена и оплачена в полном обьеме..</t>
  </si>
  <si>
    <t xml:space="preserve">7 субъектов предпринимательской деятельности стали получателями финансовой поддержки по данному мероприятию.
</t>
  </si>
  <si>
    <t>Всего финансовая поддержка предоставлена 4 субъектам предпринимательской деятельности, из них обществом с ограниченной ответственностью «500 очков» были нарушены условия предоставления субсидий и в ноябре 2024 года осуществлен возврат предоставленной в 2024 году финансовой поддержки в целях возмещения части затрат, связанных с арендой (субарендой) нежилых помещений в размере 63 820 (шестьдесят три тысячи восемьсот двадцать) 00 рублей, в том числе средства бюджета Ханты-Мансийского автономного округа-Югры 60 627 (шестьдесят тысяч шестьсот двадцать семь) рублей 00 копеек, средства бюджета города Когалыма 3 193 (три тысячи сто девяносто три) рубля 00 копеек.</t>
  </si>
  <si>
    <t xml:space="preserve">26.06.2024 комиссией по рассмотрению заявок участников отбора на получение грантов в форме субсидий субъектам МСП принято решение о предоставлении 2-х грантов в размере 500 тыс. рублей каждый для реализации следующих проектов:
- ИП Богдановой О.В. «Туристический центр «Йети»;
- ИП Дёмина О. Н. «Логопедический центр «Кубик» 
</t>
  </si>
  <si>
    <t xml:space="preserve">26.06.2024 комиссией по рассмотрению заявок участников отбора на получение грантов в форме субсидий субъектам МСП принято решение о предоставлении 2-х грантов в размере 300 тыс. рублей каждый для реализации следующих проектов:
- ИП Фаритов Р.Ф. «Проведение интеллектуально-развлекательных игр»;
- ИП Зырянов М. И.
«Прокат детских электромобилей»
</t>
  </si>
  <si>
    <t xml:space="preserve">26.06.2024 комиссией по рассмотрению заявок участников отбора на получение грантов в форме субсидий субъектам МСП принято решение о предоставлении гранта в размере 600 тыс. рублей для реализации следующего  проекта:
- ИП Голуб К.А. «Собственное производство одежды. Создание и реализация бренда в г. Когалыме"
</t>
  </si>
  <si>
    <t xml:space="preserve">План на 01.12.2024 </t>
  </si>
  <si>
    <t xml:space="preserve">Профинансировано на 01.12.2024 </t>
  </si>
  <si>
    <t xml:space="preserve">Кассовый расход на 01.12.2024  </t>
  </si>
  <si>
    <t xml:space="preserve">В соответствии в решением Думы г.Когалыма от 17.01.2024 №362-ГД выделены плановые ассигнования в сумме 10,8 тыс.руб. на услуги связи для фотоловушек, в целях выявления с помощью фотофиксации лиц, допустивших несанкционированный сброс отходов в непредназначенных для этого местах, в том числе с автомобильного транспорта.
Заключен муниципальный контракт №32/2024 от 03.05.2024 с ПАО "Ростелеком" на услуги связи для фотоловушек на сумму 1,89 тыс.руб. Оплата за оказанные услуги производится на основании акта оказанных услуг и счета.
     В соответствии с решением Думы г.Когалыма от 25.09.2024 №416-ГД:  
- выделены ПА на ликвидацию свалок вдоль автомобильной дороги проспект Нефтяников в районе автобусной остановки (отработанные автомобильные шины) и в районе ул. Береговая (строительный мусор) в сумме 75,1 тыс.руб.;
- перераспределены ПА  на ликвидацию несанкционированных свалок в районе Этнодеревни в сумме 350,0 тыс.руб.
    Работы по МК от 26.07.2024 №60/2024 на оказание услуг по ликвидации несанкционированных свалок (Этнодеревня) на сумму 333,58 тыс.руб. выполнены и оплачены в полном объеме.
     Заключен МК от 11.10.2024 №95 на оказание услуг по ликвидации несанкционированных свалок на сумму 91,52 тыс.руб. </t>
  </si>
  <si>
    <t>1. На основании Постановления Администрации города Когалыма от 23.05.2024 № 986 плановые асигнования в сумме 360,0 тыс.руб. доведены до получателя.
2. На основании Постановления Администрации города Когалыма от 16.07.2024 № 1324 плановые асигнования в сумме 270,0 тыс.руб. доведены до получателя.
3. На основании Постановления Администрации города Когалыма от14.10.2024 № 1890 плановые асигнования в сумме 270,0 тыс.руб. доведены до получателя.
4. На основании Постановления Администрации города Когалыма от 16.12.2024 № 2446 плановые асигнования в сумме 180,0 тыс.руб. доведены до получателя.</t>
  </si>
  <si>
    <t>Март: Неисполнение плановых ассигнований в сумме 203,2. Мероприятие будет проводится в мае 2024 г. Закупка продукции оплачена сейчас, оставшиеся ассигнования будут потрачены в мае, после завершения мероприятия Апрель: остаток ассигнований в сумме 176,0 тыс.руб. Мероприятие будет проводится в мае 2024 года. Май: Исполнение плановых ассигнований в полном объеме. Октябрь: неисполнение плановых ассигнований в сумме 140,5. Мероприятие будет производиться в декабре 2024 г. Закупка продукции оплачен6а сейчас, оставшиеся ассигнования будут потрачены в декабре, после завершения мероприятия. Ноябрь:  Экономия плановых ассигнований в сумме 0,5, оплата произведена по фактическим выставленным счетам.</t>
  </si>
  <si>
    <t xml:space="preserve">Август:  Неисполнение плановых ассигнований в сумме 6,7 тыс.руб. Договор заключен, оплата будет после поставки товара.  Декабрь:  Исполнение планновых ассигнований в полном объеме.           </t>
  </si>
  <si>
    <t>Экономия денежных средств по пункту 3.1.2.в размере 679,87 тыс.руб. образовалась в связи с тем, что оплата расходов по договорам ГПХ на выплату гонорара авторам произведена на основании фактически выполненного объема работ. Экономия сложилась в силу недостаточного количества социально-значимых тем и мероприятий, прошедших в данном периоде и требующих обязательного освещения в прессе и привлечения автора со стороны.Остаток денежных средств образовался по следующим причинам:                                                                                                                                                                     1) работы сотрудников в режиме неполного рабочего времени (режим неполного рабочего времени, внешнее совместительство);                                                                                                                                                                                                                                                                                                                                                                                    2) выплаты ежеквартальной премии</t>
  </si>
  <si>
    <t>План на 01.12.2025</t>
  </si>
  <si>
    <t>Профинансировано на 01.12.2025</t>
  </si>
  <si>
    <t>Кассовый расход на 01.12.2025</t>
  </si>
  <si>
    <t xml:space="preserve">     УКС: На оказание услуг по очистке и вывозу снегу с территории города Когалыма в 2024-2025 годах заключены МК:
- №0187300013723000349 от 17.10.2023 с ООО "РУСАВТО" на сумму 17 272,25 тыс.руб. Работы выполнены на сумму 8 277,66 тыс.руб. МК расторгнут по соглашению Сторон;
- №0187300013723000351 от 23.10.2023 с ООО "ТФК КИТ" на сумму 14 154,87 тыс.руб.;
- №0187300013723000352 от 23.10.2023 с ООО "ТФК КИТ"на сумму 18 932,41 тыс.руб.;
- №0187300013723000353 от 23.10.2023  с ООО "РУСАВТО" на сумму 14 968,32 тыс.руб. Работы выполнены на сумму 7027,97 тыс.руб. МК расторгнут по соглашению Сторон;
- №0187300013724000251 от 05.11.2024 с ИП Блаженским М.В. на сумму 49 010,00 тыс.руб . Период действия контракта с 05.11.2024 по 23.06.2025.
     МБУ "КСАТ":  Неисполнение по статье расходов  на оказание услуг по вывозу снега с территории города Когалыма, 2,31тыс.рублей в связи с оплатой счетов по факту оказанных услуг
   </t>
  </si>
  <si>
    <t>20 901, 34</t>
  </si>
  <si>
    <t>Муниципальный контракт № 0187300013724000198 от 30.09.2024 на выполнение работ по строительству обьекта благоустройства " Парк Первопроходцев в городе Когалыме" (1 этап);                                                                                           -цена контракта 377990,18 тыс.руб.(из них2024 год - 372999,26 тыс. руб., 2025 год - 4990,92 тыс. руб.) Выплачен авансовый платеж 30% в размере 111 899,78 тыс. руб.                                                                                              -сроки выполнения работ: 1 - этап 30.09.2024; 2 - этап 15.05.2025-25.08.2025 2.Муниципальный контракт № 117/2024 от 11.12.2024 на оказание услуг по разработке идейной-художественной концепции и эскизного проекта многофигурной композиции на объекте благоустройства "Парк первопроходцев в городе Когалыме"                                                                   -цена контракта: 350,0 тыс.руб.                                                                           -сроки оказания услуг: 20.12.2024г.                                                                   -услуги оказаны и оплачены в полном объеме.</t>
  </si>
  <si>
    <t xml:space="preserve">1.Муниципальный контракт № 101/2024 от 16.10.2024 на выполнение работ по разработке проектно-сметной документации на строительство объекта благоустройства "Сквер Дружбы Народов"в городе Когалыме (2 этап).                  -цена контракта: 599,78 тыс. руб.,                                                                                                         -срок выполнения работ: 09.12.2024                                                                   -работы выполнены и оплачены в полном объеме.                                                                      2. Муниципальный контракт № 102/2024 от 16.10.2024 Выполнение работ по    разработке проектно-сметной документации на строительство обьекта         "Сквер Дружбы Народов" в городе Когалыме (3 этап)                                                  -цена контракта 599,78 тыс. руб.                                                                                                                               срок выполнения работ 09.12.2024                                                                       -работы выполнены и оплачены в полном объеме.                     3.Муниципальный контракт № 111/2024 от 02.12.2024 на Выполнение инженерных изысканий для объекта благоустройства "Сквер Дружбы Народов" в городе Когалыме (2,3 этап)                                                               -цена контракта: 400,0 тыс.руб.                                                                           -срок выполнения работ:16.12.2024                                                                    -работы выполнены и оплачены в полном объеме.                      </t>
  </si>
  <si>
    <t>Заключно соглашение о предоставление из  бюджета города Когалыма Югорскому фонду капитального ремонта многоквартирных домов субсидии на долевое финансирование обеспечение  проведения капитального ремонта общего имущества в многоквартирных домах, расположенных на территории города Когалыма № 31/МС от 06.05.2024 года;
-сумма соглашения: 2 958 026,73 рублей.
-сроки предоставления : с 06.05.2024 по 31.12.2024 г.
- соглашение исполнено, произведена оплата за фактически выполненные работы.</t>
  </si>
  <si>
    <t>Профинансировано на 01.01.2025</t>
  </si>
  <si>
    <t>Кассовый расход на 01.01.2025</t>
  </si>
  <si>
    <t>3. Контракт № 1229-23 от 29.12.2023 (функции заказчика переданы 02.02.2024г.) на выполнение проектно изыскательских работ для строительства объекта: "Котельная по улице Сибирская и магистральные сети теплоснабжения в городе Когалыме"
-срок выполнения работ 30.12.2024 г.;
-цена контракта 22 602,62 тыс.руб;
-ведется выполнение работ, произведена оплата за фактически выполненные работы. Обязательства по контракту переходят на 2025 год..</t>
  </si>
  <si>
    <t>1.Муниципальный контракт № 104/2024 от 16.10.2024 на выполнение работ по разработке проектно-сметной документации на строительство объекта                благоустройства "Сквер вблизи СК " Олимп в городе Когалыме.                               - цена контракта: 598,7 тыс. руб.,                                                                                -срок выполнения работ: 09.12.2024                                                                   -работы выполнены и оплачены в полном объеме.                                                                        2. Муниципальный контракт № 1/1749 от 02.11.2024 Выполнение инженерных изысканий  для  обьекта благоустройства "Сквер вблизи СК" Олимп в городе Когалыме                                                                                                                   -цена контракта 200,0 тыс. руб.                                                                                                                               -срок выполнения работ 18.12.2024                                                                    -работы выполнены и оплачены в полном объеме.</t>
  </si>
  <si>
    <t>1.Муниципальный контракт № 103/2024 от 16.10.2024 на выполнение работ по разработке проектно-сметной документации на строительство объекта благоустройства "Сквер предпринимателей в микрорайоне 4Б городе Когалыме"                                                                                                             -цена контракта: 594,98 тыс. руб.                                                                            -срок выполнения работ: 09.12.2024                                                                   -работы выполнены и оплачены в полном объеме.                                                                                         2. Муниципальный контракт № 1/1748 от 16.10.2024 на выполнение инженерных изысканий для обьекта благоустройства  "Сквер предпринимателей в микрорайоне  4Б городе Когалыме"                                                                            -цена контракта 200,0 тыс. руб.                                                                                                                               срок выполнения работ18.12.2024                                                                       -работы выполнены и оплачены в полном объеме.</t>
  </si>
  <si>
    <t xml:space="preserve">1. Муниципальный контракт № 117/2023 от 15.12.2023 на поставку и монтаж светильников объекта благоустройства "Литературный сквер в городе Когалыме"
-цена контракта 580,00 тыс.руб; (произведена частичная оплата за фактически поставленные и установленные светильники в размере 348,0 тыс.руб. в 2023 году)
-срок поставки и монтажа:22.12.2023;
-работы выполнены и оплачены в полном объеме.
2. Договор № Т2/24/0007-ДТП от 16.05.2024 на Осуществление технологического присоединения к электрическим сетям (Архитектурная композиция "Термометр").
- цена контракта 43,55 тыс.руб.;  перечислен аванс в сумме 34,84 тыс.руб. (80%), 
- срок выполнения работ: 01.12.2024 г.
-техническое присоединение осуществленно, обязательства в части оплаты исполнены.Муниципальный контракт
3.Контракт № 5 от 25.07.2024 (переданы функции заказчика 29.07.2024) на выполнение работ по устройству основания, инженерных сетей для объекта "Архитектурная композиция "Термометр"в городе Когалыме" и благоустройству прилегающей территории в рамках реализациимероприятия "Благоустройство городских территорий"
- цена контракта 15 133,18  тыс.руб.; 
- срок выполнения работ: 30.08.2024 г. (заключению дополнительного соглашения о продления сроков до 15.09.2024)                                                                            -  в связи с корректировкой обьемов и стоимости работ, цена контракта уменьшена. 4. Муниципальный контракт №1/1868 от 13.12.2024г. на оказание услуг по оформлению технического планасооружений сетей электроснабжения по объекту "Архитектурная композиция"Термометр" в городе Когалыме"                                                                                                -цена контракта: 21,08 тыс.руб                                                                            -сроки оказания услуг: 20.12.2024г                                                                     -услуги оказаны и оплачены полностью.                                                                                  
</t>
  </si>
  <si>
    <t xml:space="preserve">На базе дома Дружбы Ано РЦ "Поддержкп НКО " проведены занятия по русскому языку для дтей из семей мигрантов (билингвов) . Всего запланировано 47 мероприятий. Фактические показатели за 5 месяцев 2024 года  достигнуты. Охват по плану -30 детей. Показатели  достигнуты.  Предоставление субсидии осуществляется в соответствии с  Порядком предоставления из бюджета города Когалыма субсидии некоммерческим организациям, не являющимся государственными (муниципальными) учреждениями в целях финансового обеспечения затрат в связи с организацией и проведением общественно значимых мероприятий по укреплению межнационального мира и согласия, утв. постановлением Администрации города Когалыма от 01.07.2024 №1234 </t>
  </si>
  <si>
    <t>1. Муниципальный контракт № 12/2024 от 12.02.2024 на выполнение инженерных изысканий для объекта благоустройства "Этностойбище коренных народов ХМАО-Югры "Вонт-Лунг" (лесной дух) в г. Когалыме"
-цена контракта 594,1 тыс.руб.;
-срок выполнения работ: 29.02.2024 г.
-работы выполнены и оплачены в полном объеме.
2. Муниципальный контракт №15/2024 от 07.03.2024 на выполнение работ по разработке проектно-сметной документации на строительство объекта благоустройства "Этностойбище коренных народов ХМАО-Югры "Вонт-Корт" (лесное стойбище) в г. Когалыме:
- цена контракта 597,01 тыс.руб.;
- срок выполнения работ: 31.05.2024 г.                                                                     -Работы выполнены и оплачены в полном обьеме
3.  Муниципальный контракт №36/2024 от 27.05.2024 на оказание услуг по проведению негосударственной экспертизы сметной документации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15,0 тыс.руб.;
- срок выполнения работ: 25.06.2024г.;
-услуги оказаны и оплачены в полном объеме.
4. Муниципальный контракт № 0187300013724000129 от 24.06.2024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-цена контракта 13 699,46 тыс.руб.;
-услуги оказаны и оплачены в полном объеме..
5. Муниципальный контракт № 0187300013724000169 от 23.07.2024 на  выполнение работ по строительству объекта благоустройства "Этностойбище коренных народов ХМАО-Югры "Вонт-Корт (лесное стойбище) в городе Когалыме".
- цена контракта 5 367,06 тыс.руб.;
- срок выполнения работ: 01.11.2024г.                                                                        6. Муниципальный контракт № 88/2024 от 01.10.2024 на разработку проектно-сметной документацииь электроснабжения обьекта благоустройства  «Этностойбище коренных народов ХМАО-Югры «Вонт-Корт» (лесное стойбище) в г. Когалыме»
-цена контракта 562,22 тыс.руб.;                                                                             -срок выполнения работ: 30.11.2024
-работы выполнены  и оплачены в полном объеме..
7. Муниципальный контракт № 0187300013724000273 от22.11.2024 на  выполнение работ по строительству сетей электроснабжения обьекта  благоустройства "Этностойбище коренных народов ХМАО-Югры "Вонт-Корт (лесное стойбище) в городе Когалыме".
- цена контракта 2 353,,0 тыс.руб.;
- срок выполнения работ: 10.12.2024г.                                                               -МК расторгнут в одностороннем порядке.от 11.12.2024 на выполнение работ по строительству объекта "Этностойбище коренных народов ХМАО-Югры "Вонт-Корт" (лесное стойбище) в г.Когалыме                                         -цена контракта: 527,44 тыс. руб.                                                                       -сроки выполнения работ: 20.12.2024 г                                                              -работы выполнены и оплачены в полном объеме.                            Неисполнение сетевого графика в связи с расторжением муниципального контракта в одностороннем порядке.</t>
  </si>
  <si>
    <t>Остаток плановых ассигнований сcоставил: 84,85 тыс. руб. в том числе:
1) по местному бюджету - 46,83 тыс. руб. 
- 46,77 тыс. руб. Оплата труда гражданского персонала, начисления на выплаты по оплате труда  (работники приняты не в запланированные даты, отработали не полный месяц);        
- 0,06  тыс. руб. - возмещение работникам, связанных с прохождением первичного медосмотра. Остаток средств в связи с тпрохожденеим первичного медосмотра ранее.
2) по бюджету ХМАО-Югры - 38,02 тыс. руб. Оплата труда гражданского персонала, начисления на выплаты по оплате труда  (работники приняты не в запланированные даты, отработали не полный месяц).</t>
  </si>
  <si>
    <t xml:space="preserve">Остаток плановых ассигнований по местному бюджету cоставил: 57,98 тыс. рублей (з/плата и налоги - за фактически отработанное время). 
 </t>
  </si>
  <si>
    <t>Остаток плановых ассигнований по бюджету автономного округа в сумме 112,98 тыс. рублей возник в связи с тем, что кассовые расходы на связь, комунальные услуги и услуги по техническому обслуживанию оргтехники производились по фактически выставленым поставщиками счетам. Специалистами отдела по труду и занятости: рассмотрено 532 устных и 4 письменных обращений, поступивших от организаций и работников касающихся охраны труда, оплаты труда, занятости, нарушений ТК РФ; подготовлены отчёты и направлены в установленные сроки в Департамент по труду и занятости населения ХМАО-Югры.</t>
  </si>
  <si>
    <t xml:space="preserve"> расхождение по п.3.1 -944,91тыс.руб</t>
  </si>
  <si>
    <t>Расхождение плановых средств по п.3.1.1. от фактических расходов составляет 265,04 тыс.руб. сложилось ввиду оплаты, согласно счетов по  фактически оказаному объему услуг.</t>
  </si>
  <si>
    <t xml:space="preserve">Расхождение фактических расходов  от плановых по  п.4.1.1. составляет 267,06 тыс.руб.  сложилось по причине неисполнения по заработной платы и начислениям по оплате труда (предоставление листов временной нетрудоспособности, в связи с тем, что выплаты денежного поощрения по результам работы за год была выплачены за фактически отработанное время, оплата досрочно страховых взносов зарплаты за декабрь 2023 года  и в связи с наличием  в текущем периоде вакантных ставок листов временной нетрудоспособности). </t>
  </si>
  <si>
    <t>Разница фактических расходов по п.4.1.2. от плановых составляет 114,45 тыс.руб.Расхождение фактических расходов  от плановых сложилось по причине неисполнения по заработной плате и начислениям по оплате труда, в связи с тем что выплаты денежного поощрения по результам работы за год были выплачены за фактически отработанное время.  Кроме того,  по причине досрочной уплаты запланированных на 2024 год страховых взносов в декабре 2023 года и по причине налачия листов нетрудоспособности.</t>
  </si>
  <si>
    <t>Расхождение фактических расходов по п.4.1.3. от плановых на текущий период  составляет 309,43 тыс.руб. - сложилось по причине неисполнения по заработной платы и начисленниям по оплате труда, в связи с тем, что выплаты денежного поощрения по результам работы  выплачены за фактически отработанное время. Кроме того,  по причине досрочной уплаты запланированных на 2024 год страховых взносов в декабре 2023 года.</t>
  </si>
  <si>
    <t xml:space="preserve">       В целях финансового обеспечения затрат на выполнение функций ресурсного центра поддержки НКО в 2024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График работы и вся информация размещена на информационном стенде в здании РЦ и на сайте учреждения. 
            В ходе деятельности  ресурсного центра осуществляются: консультации для НКО по вопросам реализации проектов и участия в мероприятиях (всего по различным направлениям консультаций) запланировано -50 консультаций . Фактически показатели выполнены.                                                                                                                                                                                                                                                                              Методическое сопровождение участия социально ориентированных некоммерческих организаций, их руководителей, организаторов в конкурсах.Поданы заявки на конкурс президентских грантов КГОО ТБНКО «НУР» и АНО «Ермак». и КГОО ТБНКО «НУР». АНО «Ресурсный центр поддержки НКО» одержал победу в конкурсе для ресурсный центров Югры .          Общая сумма проекта более 7 млн рублей. Ведется активное консультирование на конкурс Гранта Губернатора Югры.
             АНО Ресурсный центр поддержки НКО осуществляется медиа-продвижение социально ориентированных некоммерческих организаций, деятельности их руководителей и/или членов (участников), гражданских инициатив, социальных практик; создание инфоповодов; информирование социально ориентированных некоммерческих организаций (публикаций, сюжетов, интервью и др. Все ссылки на посты в социальных сетях ресурсного центра (https://vk.link/rcnkokgl /https://vk.com/public203821726) и на официальном сайте: https://рцнкокогалыма.рф/  
            Всего в отчетном периоде была размещено публикаций на различных площадках: январь-25, февраль -37 , март-30, апрель- 40, май - 49, июнь -22 , июль -28 , август - 31, сентябрь - 28, октябрь-  28., ноябрь - 36, декабрь - 13 . ВСЕГО - 367 публикаций. 
            За отчетный период  проведены консультации для НКО по вопросам реализации проектов и участия в мероприятиях (март:  15 по телефону, 14 – электронная почта  и мессенджеры). 
            Проведены мероприятия в рамках проекта "Школа актива НКО " (7 семинаров) :                                                                                                                                                                                                                                                                           - 30.01.2024 с привлечением специалистов  Фонда «Центр гражданских и социальных инициатив», 
-07.03.2024 в формате офлайн по ФПГ, с привлечением эксперта А.А.Спасибина и -04.04.2024  по заявочной кампании конкурса Гранта Губернатора Югры,                                                                                                                     -13.05.2024 специалисты РЦ провели Школу актива НКО по заявочным кампаниям на конкурсы Гранта Губернатора Югры и ПАО «Лукойл»;                                                                                                                                                 -05.07.2024 специалисты РЦ провели вебинар в рамках Школы актива НКО на тему «Работа с самозанятыми в НКО в 2024 году: требования законодательства, типовые нарушения и риски» с приглашенным спикером Мироновой М.Н. (юрист, директор ресурсного центра "Ориентир");                                                                                                                                                                                                                             - 30.08.2024  по специальному конкурсу Гранта Губернатора Югры и ПФКИ;                                                                                                                                                                                                                                                           -Школа актива НКО состоялась 29.09.2024 с привлечением спикера Кузнецов С.А. ( заместитель директора Университета ТОС) .                                                                                                                                                                                                                  
        Меропритятия в сфере НКО:                                                                                                                                                                                                                                                                                                                                                                                                       - 18.01.2024 специалисты РЦ приняли участие в вебинаре «Правовой команды» на тему «Изменение состава учредителей НКО: новое в процедуре регистрации в 2024 году» 
- 27.01.2024 специалисты РЦ, совместно с ТГКОО «НУР» организовали и приняли участие в лектории «Информация в век информации: национальный аспект», который провел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-22.02.2024 Специалисты РЦ организовали и провели открытие Этно-мастерской для молодежи «ЮХ» в Доме Дружбы
-27.02.2024 на базе ресурсного центра прошел День открытых дверей в рамках всемирного дня НКО.                                                                                                                                                                                                                                         - 02.03.2024 на базе ресурсного центра прошел мастер-класс в рамках проекта Гранта Губернатора Югры «Этно-мастерская для молодежи «Юх».                                                                                             - - ---- 06.03.2024 Специалисты РЦ ознакомились с памяткой Правовой команды на тему « Что нужно знать о последствиях признания контрагентов НКО иноагентами» .
- 15.03.2024 Специалисты РЦ приняли участие в консультации Правовой команды на тему: «Ввод и вывод учредителей НКО» : Ссылка на публикацию: https://vk.com/wall-203821726_1338                                                                                    -в  рамках реализации социально значимого проекта «Правовой аудит в НКО Когалыма» 28.03.2024 Специалисты РЦ провели итоговое мероприятие «Единый день самопроверки НКО».Мероприятие прошло при участии  привлеченных спикеров А.А. Спасибина и AF23М.Н.Миронова.                                                                                                                     
          Поведен обучающий семинар на стартовавшие грантовые конкурсы 2024 президентский фонд культурных инициатив и Фонд Президентских грантов. Поданы заявки на ПФКИ КГОО ТБНКО «НУР» и АНО «Ермак». Результаты ожидаются. НА ФПГ были поданы заявки от АНО «РЦ НКО Когалыма», МОО «Совет Ветеранов» и КГОО ТБНКО «НУР». АНО «Ресурсный центр поддержки НКО» одержала победу в конкурсе для ресурсный центров Югры . Общая сумма проекта более 7 млн рублей;
-06.04.2024 Специалисты РЦ провели занятие в Этно-мастерской «ЮХ» . 
-08.04.2024 Специалисты РЦ организовали встречу НКО города с Генеральным директором Фонда гражданских и социальных инициатив Югры Д.М. Сафиолиным; 
-09.04.2024 Специалисты РЦ прослушали вебинар Центра гражданских и социальных инициатив Югры «Отчетность  НКО в контролирующие органы»; 
- 23-25.04.2024 состоялось участие  во «Всероссийском форуме национального единства» в составе делегации г.Когалыма;                                                                                                                                                                                                               04.05.2024 специалисты РЦ провели занятие в этно-мастерской «ЮХ», были изготовлены  памятные сувениры к Дню Победы. Ребята приняли участие не только в мастер-классе, но и поучаствовали в патриотической беседе; 
05-08.05.2024 менеджер РЦ приняла участие во Всероссийском форуме «Пик Возможностей» в Нижнем Новгороде в составе делегации ХМАО-Югры;
 -16.05.2024 специалисты РЦ ознакомились с материалом от Правовой команды «Чек-лист: 66 контрольных вопросов соблюдения НКО требований законодательства в сфере персональных данных»  
-02.06.2024 специалисты РЦ приняли участие в Международном дне соседний, организованным ТОС Мечта. Провели выездной мастер-класс этно-мастерской «ЮХ»;                                                                      -22-28.06.2024 специалист РЦ Беседин С.Н. приял участие в Форуме уральской молодежи «Утро»;
- 07.07.2024 специалисты РЦ приняли участие в мероприятии «Иван Купала» с мастер-классом по изготовлению славянских оберегов, в рамках проекта «Этно-мастерская «ЮХ»;
- 13.07.2024 специалисты РЦ прошли стажировку в Университете ТОС в г. Балашиха;   
- 17.07.2024 специалист РЦ приняли участие в вебинаре «Центра гражданских и социальных инициатив Югры» на тему заполнения и подачи заявки на грантовый конкурс в сфере культуры;  
- 18.07.2024 специалисты РЦ прошли обучение  по инициативному бюджетированию и получили сертификаты от АУ «ЭКЦ «Открытый регион»; 
- 24.07.2024 специалисты РЦ приняли участие в вебинаре "Успешный менеджер местного сообщества: встречаемся и обмениваемся опытом"от Курс ДПО ПК "Менеджер местного сообщества".                          - 14.08.2024 Специалисты РЦ приняли участие в вебинаре «Правовой команды» на тему «Грант ты мне или не грант? Все о грантах юридическим лицам»;                                                                                                     - 22.08.2024 специалисты РЦ приняли участие в вебинаре «Фонда гражданских и социальных инициатив Югры» для авторов проектов по направлениям «Охрана здоровья, пропаганда здорового образа жизни, физической культуры и спорта» и «Поддержка молодежных проектов»  Спикером выступил главный эксперт Президентского фонда культурных инициатив Антон Вдовиченко;
- 23.08.2024 специалисты РЦ приняли участие в круглом столе , организованного АНО «АК-НИЕТ» в рамках проекта Гранта Губернатора Югры «Летний этнофестиваль «Игра Кочевников»;                                - 27.08.2024 специалисты РЦ приняли участие в вебинаре «Фонда гражданских и социальных инициатив Югры» по направлениям: «Социальное обслуживание, социальная поддержка и защита отдельных категорий граждан» и «Семья, материнство, отцовство и детство»;
- 30.08.2024 специалисты приняли участие в вебинаре «Фонда гражданских и социальных инициатив Югры»  по направлению "Поддержка институтов гражданского общества" .
- 31.08.2024 специалисты РЦ приняли участие в Летнем этнофестивале «Игры Кочевников», организованным АНО «АК-Никет» в рамках проекта-победителя конкурса Гранта Губернатора Югры. 0
- 19.09.2024 специалисты РЦ приняли участие в информационной встрече с юристами «Правовой команды». 
- 16.09.2024 специалист РЦ принял участие в открытии этно-центра «Мирас» на базе Дома Дружбы. 
- 14-15.09.2024 специалисты прияли участие в ежегодной встрече РЦ Югры в г. Ханты-Мансийске. 
- 19.09.2024 специалисты РЦ приняли участие в вебинаре Фонда на тему «Смена руководителя в НКО»; 
- 28.09.2024 руководители РЦ и Когалымский вестник приняли участие в городском форуме «ТОС – место притяжения» в г. Сургуте.                                                                                                                                                         
Проведение факультативных занятий по русскому языку для детей из семей мигрантов (детей-билингвов). Всего за отчетный период проведено 16 обучающих занятий по РКИ (русский как иностранный) для групп детей-школьников. Индивидуальные занятия проходят по скользящему графику.                                                                                                                                                                                                                                                    В октябре проведено 7 индивидуальных и 4 групповых занятия по РКИ (русский как иностранный) для взрослых. Занятия проходят на базе АНО «РЦ НКО Когалыма».
- 10.10.2024 специалисты РЦ ознакомились с материалами Правовой команда на тему «Налоговые льготы по НДС»;
-25.10.2024 специалисты РЦ ознакомились с материалами Правового ресурсного центра "Третий сектор" на тему «Выйти из состава учредителей НКО»;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За отчетный период проведено 9 индивидуальных и 4 групповых занятия по РКИ (русский как иностранный) для взрослых. Занятия проходят на базе АНО «РЦ НКО Когалыма». Индивидуальные занятия проходят по скользящему графику. Дом Дружбы по адресу пр. Нефтяников 2а открыт и полностью функционирует. Национально-культурным обществам предоставлены кабинеты, которые оснащены мебелью. Оборудована коворгинг-зона, для проведения мероприятий.
-04.11.2024 Специалисты РЦ провели мастер-класс этно-мастерской ЮХ посвященный дню народного единства в библиотеке-филиале №2                                                                                                                       - 10.11.2024 На базе РЦ национально-культурные организации г. Когалыма провели праздник ко дню народного единства                                                                                                                                                            В ноябре проведены 8 индивидуальных и 4 групповых занятия по РКИ (русский как иностранный) для взрослых. Занятия проходят на базе АНО «РЦ НКО Когалыма». Индивидуальные занятия проходят по скользящему графику.                                                                                                                                                                                                                                                                                                                                        11-12.12.2024 Специалисты РЦ в составе делегации г. Когалыма приняли участие в Международный форуме гражданских инициатив регионов 60 параллели. 
12-13.12.2024 Специалисты РЦ в составе делегации приняли участие в IX Северной школе инициативного бюджетирования. 
21.12.2024 На базе РЦ прошел Гражданский форум для активных граждан и СО НКО г. Когалыма при участии депутата Лосевой И. В. Так же прошло закрытие проекта «Этно-мастерская для молодежи «ЮХ» .
За отчетный период проведено 4 индивидуальных и 2 групповых занятия по РКИ (русский как иностранный) для взрослых. 
</t>
  </si>
  <si>
    <t>Исполнитель : Главный специалист:  Ильина А.Ф. 93-678</t>
  </si>
  <si>
    <r>
      <t xml:space="preserve">Муниципальный контракт № 0187300013724000033 от 05.04.2024 на выполнение проектно-изыскательских работ для реконструкции объекта "Лыжероллерная трасса" в городе Когалыме:
-цена контракта: 2 710,51 тыс.руб.;
-срок окончания работ: 31.10.2024 г.
-ведется выполнение работ.
</t>
    </r>
    <r>
      <rPr>
        <b/>
        <sz val="12"/>
        <rFont val="Times New Roman"/>
        <family val="1"/>
        <charset val="204"/>
      </rPr>
      <t>Неисполнение сетевого графика в связи с нарушение сроков работ подрядными организациями.</t>
    </r>
    <r>
      <rPr>
        <sz val="12"/>
        <rFont val="Times New Roman"/>
        <family val="1"/>
        <charset val="204"/>
      </rPr>
      <t xml:space="preserve">
</t>
    </r>
  </si>
  <si>
    <t>Неисполнение сетевого графика в связи с нарушение сроков работ подрядными организациями.</t>
  </si>
  <si>
    <r>
      <t xml:space="preserve"> В январе денежные средства запланированы в сумме 1840,1 тыс.руб., израсходованно в размере 1177,1 тыс.руб., Остаток денежных средств 662,9  сформировался согласно фактически предоставленным документам      В феврале денежные средства запланированы в сумме 1685,25 тыс.руб., израсходованно в размере 1103,78 тыс.руб., Остаток денежных средств 1244,4  сформировался согласно фактически предоставленным документам         </t>
    </r>
    <r>
      <rPr>
        <b/>
        <sz val="11"/>
        <rFont val="Times New Roman"/>
        <family val="1"/>
        <charset val="204"/>
      </rPr>
      <t xml:space="preserve">  В марте денежные средства запланированы в сумме 1717,44 тыс. руб., израсходовано в размере 1527,65 тыс. руб., Остаток денежных средств 1434,2 сформировался согласно фактически предоставленным документам.  (Договора заключены в феврале. Денежные средства не освоены в связи с задержкой товара поставщиком( спорт инвентаря,гимнастические маты, экипировка и т.д.)  Оконч. опл. за приобретение основных средств МБ(полусфера, турник и др.)согл.сч.270 от 26.02.2024г.,д.24ДС-35 от 28.02.2024г.            ИП Белых Владимир Сергеевич          
   -Част.оплата за приобретение основных средств МБ(гонг, лонжа)согл.сч.196 от 14.02.2024г.,д.24ДС-25 от 14.02.2024г.           ИП Белых Владимир Сергеевич 
        - Окон.оплата за приобретение основных средств МБ(груша, мешок)согл.сч.11 от 22.03.2024г.,д.24ДС-25 от 08.02.2024г.        Индивидуальный предприниматель Чурбанов Александр Иванович  
  - Окон.оплата за приобретение основных средств МБ(мешок бокс. и др.)согл.сч.14 от 22.03.2024г.,д.24ДС-47 от 21.03.2024г.         Индивидуальный предприниматель Чурбанов Александр Иванович    
</t>
    </r>
  </si>
  <si>
    <t xml:space="preserve">1.2.3. Поддержка немуниципальных организаций (коммерческих, некоммерческих), осуществляющих деятельность в сфере образования
</t>
  </si>
  <si>
    <t>Приобретение печатных изданий для комплектования библиотечного фонда 2 421 шт. 982,56т.р. (МБ- 748,76т.р.,ОБ-128,59т.р.ФБ-105,21т.р.)</t>
  </si>
  <si>
    <t>Услуги связи интернет) 123,70 т.р.(ОБ-105,1т.р.,МБ-18,6 т.р.)</t>
  </si>
  <si>
    <t>Обновление лицензионного ПО автоматизированных библиотечно-информационных систем (программа ИРБИС) 84,00 т.р.(ОБ-71,40т.р.,МБ-12,6 т.р.)</t>
  </si>
  <si>
    <t>Оказание инфоррмационных услуг (Консультант Плюс) 139,8 т.р. (ОБ-118,83т.р.,МБ-20,97т.р.)</t>
  </si>
  <si>
    <t>Приобретение товара ( скандинавские палки,беспроводные наушники) 120,00т.р. (МБ- 15,20т.р.,ОБ-104,80т.р.)</t>
  </si>
  <si>
    <t>Обучение сотрудников 30,00 т.р.(ОБ-00,00т.р.,МБ-30,00 т.р.)</t>
  </si>
  <si>
    <t>Отклонение 143,367 тыс. руб. -  экономия , в том числе: 141,030 тыс. руб. - по оплате новогодней композиции, 2,338 тыс. руб. - по оплате за приобретение костюмов сценических.                                               Приобретено всего 400ед., в том числе: консоли светодиодные - 194 ед., портативная акустика - 6 ед., светодиодные новогодние композиции - 5 ед., ростовые куклы - 6 шт., 189 шт. - костюмы сценические</t>
  </si>
  <si>
    <t xml:space="preserve">Проведено мероприятие на "Югорском очаге", Приобретены костюмы "Северяночка" - 5 шт. - 90000 руб., а также батарейки, бумага, призы                                           </t>
  </si>
  <si>
    <t>Проведено в соответствии с МЗ - 88 мероприятий, 181560 зрителей</t>
  </si>
  <si>
    <t xml:space="preserve">В связи с наличием вакансий, предоставлением листов нетрудоспособности, выплатой денежного поощрения по результатам работы за год за фактически отработанное время, предоставлением отпусков без сохранения заработной платы.
В связи с сложившимися фактическими расходами на командировку (суточные).
</t>
  </si>
  <si>
    <t>Денежные средства не освоены в связи с отменой мероприятия, согласно письма от Управления Федеральной службы по надзору в сфере защиты прав потребителей и благополучия человека по ХМАО-Югре  от 26.03.2024 №438 "О заболеваемости коревой инфекции в г. Когалыме и дополнительных противоэпидемических мероприятий". В декабре месяце были возвращены в бюджет города Когалыма</t>
  </si>
  <si>
    <t>Отклонение - 4 431,757 тыс. руб., в том числе: 1561,868 тыс. руб. - заработная плата, 16,679 тыс. руб. - оплата листка нетрудоспособности за счет средств работодателя, 0,701тыс. руб. - первичный медосмотр, 722,675 тыс. руб. - начисление на выплаты по оплате труда, 121,538 тыс. руб. - услуги связи, 7,825 тыс. руб. - экономия по транспортным услугам, 32,746 тыс. руб. - экономия по водопотреблению, 179,874 тыс. руб. - услуги по обращению с ТКО, 346,082 тыс. руб. - экономия по техническому обслуживанию зданий, 205,102 тыс. руб. - экономия по противопожарному обслуживанию,44,288 тыс. руб. - анализ сточных вод не производился,  38,075 тыс. руб. - медосмотр,  22,616тыс. руб. - услуги охраны, 0,002тыс. руб. - теплопотребление, 537,576 тыс. руб. - энергопотребление, 458,110тыс руб. - содержание объекта благоустройства Набережная реки Ингу-Ягун., 136,000 тыс.руб.-компенсация стоимости путёвок на санаторно-курортное лечение.</t>
  </si>
  <si>
    <t>Приобретены музейные предметы для пополнения фонда фонда 8 шт. (Картины художника Гайнановой Л.Н.)</t>
  </si>
  <si>
    <t>Произведена оплата услуг музейной системы КАМИС.</t>
  </si>
  <si>
    <t>Приобретены товары для проведения 3 выставок (пленка воздушно- пупырчатая, пленка для ламинирования, крючки и шнур для крепления картин,канцтовары,листовки,афиши,пригласительные,таблички,сопроводительные тексты,ткань и маскировочная сетка, деревянные заготовки для мастер-классов).Оплачены транспортные расходы по перевозке предметов для выставок.</t>
  </si>
  <si>
    <t>Приобретены манекены в кол-ве 10 шт. на сумму 195,0 т.руб.,  предметы для пополнения фонда в кол-ве  44 ед.  На сумму 105,0 т.руб.(Сервизы Гжель)горизонтальные витрины в кол-ве 2 шт. на сумму 137,9 т.руб., лампа увеличительная 1 щт. На сумму 5,9 т.руб.</t>
  </si>
  <si>
    <t>Приобретение деревянных заготовок для мастер-классов, приобретены национальные атрибуты народов севера в кол-ве 16 предметов,  услуги по изготовлению дегустационных блюд, услуги по описанию предметов нац.культуры, типографские и полиграфические услуги</t>
  </si>
  <si>
    <t>Приобретение сувенирной продукции с логотипом, стендов, фирменных стоек, национальных атрибутов народов севера для этностойбища,  услуги фотографа, услуги дизайнера, типографские и полиграфические услуги, услуги по организации мероприятий по изучению культуры ханты, организация мероприятия "День Когалыма в Москве", участие в 4 туристических выставках</t>
  </si>
  <si>
    <t>Экономия - 347,433 тыс.руб. в том числе:  отмена конкурса-фестиваля студии "Образ", экономия по оплате транспортных услуг на мер. "Новый год", "Проводы зимы", "День Победы", "День города" в связи с изменением формата мероприятий,  экономия по проведению мастер-класса в рамках мер. "Творческая лаборатория" (договор заключен на меньшую сумму).</t>
  </si>
  <si>
    <t xml:space="preserve">Остаток средств в сумме 1 372,486  т.руб., в т.ч.  остаток по  выплате заработной платы и соц.выплат   - 0  т.р. , начисл. на зар.плату - 138,813 т.руб., оплаты за коммунальные услуги по фактическим расходам и показаниям счетчиков- 293,412 т.р.,оплаты за содержание здания по факту предоставленных документов на оплату от поставщика - 53,426 т.руб., оплата услуг связи - 10,479 т.руб., оплата б/л за счет ср-в работод - 15,409 т.руб.оплаты налога на имущество - 851,356 т.руб.оплата командировочных расходов - 9,591 т.руб.
</t>
  </si>
  <si>
    <r>
      <t xml:space="preserve">Кассовый расход сформировался меньше планового в связи с: образованием листов временной нетрудоспособности, вакантных ставок (плотник, уборщик служебных помещений, уборщик территорий).
</t>
    </r>
    <r>
      <rPr>
        <b/>
        <sz val="14"/>
        <rFont val="Times New Roman"/>
        <family val="1"/>
        <charset val="204"/>
      </rPr>
      <t/>
    </r>
  </si>
  <si>
    <t>Отклонение возникло:
-по оплате труда и начисления - 205,88т.р (наличие больничных листов);
- услуги связи -15,45т.р. (в учреждении действует режим экономиии на телефонную связь)                                                                                                                                                                                                                                                                                                                                                                                                                                                                                                                                                                                                                                                                                                                                                                                                                                                                           
-по коммунальным услугам -255,91.р.(фактические показания счетчиков);
-по работам и услугам по содержанию имущества-14,01т.р. (остаток средств по дог.содержание,тек. ремонт жил. фонда);
-увеличение стоимости основных средств -125,37т.р. (экономия по запросу котировок, остаток будет использован на приобретение компьютеров в 2025 году).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</si>
</sst>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 #,##0.00_-;_-* &quot;-&quot;??_-;_-@_-"/>
    <numFmt numFmtId="164" formatCode="_-* #,##0.00\ _₽_-;\-* #,##0.00\ _₽_-;_-* &quot;-&quot;??\ _₽_-;_-@_-"/>
    <numFmt numFmtId="165" formatCode="#,##0.0_ ;[Red]\-#,##0.0\ "/>
    <numFmt numFmtId="166" formatCode="#,##0_ ;[Red]\-#,##0\ "/>
    <numFmt numFmtId="167" formatCode="#,##0.000\ _₽"/>
    <numFmt numFmtId="168" formatCode="#,##0.00\ _₽"/>
    <numFmt numFmtId="169" formatCode="#,##0.00_ ;[Red]\-#,##0.00\ "/>
    <numFmt numFmtId="170" formatCode="_(* #,##0.00_);_(* \(#,##0.00\);_(* &quot;-&quot;??_);_(@_)"/>
    <numFmt numFmtId="171" formatCode="#,##0.0"/>
    <numFmt numFmtId="172" formatCode="#,##0.00_р_."/>
    <numFmt numFmtId="173" formatCode="0.0%"/>
    <numFmt numFmtId="174" formatCode="#,##0.00_ ;\-#,##0.00\ "/>
    <numFmt numFmtId="175" formatCode="0.000"/>
    <numFmt numFmtId="176" formatCode="0.0"/>
    <numFmt numFmtId="177" formatCode="_(* #,##0.000_);_(* \(#,##0.000\);_(* &quot;-&quot;??_);_(@_)"/>
    <numFmt numFmtId="178" formatCode="#,##0.000_ ;[Red]\-#,##0.000\ "/>
    <numFmt numFmtId="179" formatCode="#,##0.000_р_."/>
  </numFmts>
  <fonts count="8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4"/>
      <name val="Times New Roman"/>
      <family val="1"/>
      <charset val="204"/>
    </font>
    <font>
      <sz val="14"/>
      <name val="Times New Roman"/>
      <family val="1"/>
      <charset val="204"/>
    </font>
    <font>
      <sz val="14"/>
      <color rgb="FFFF0000"/>
      <name val="Times New Roman"/>
      <family val="1"/>
      <charset val="204"/>
    </font>
    <font>
      <sz val="10"/>
      <name val="Arial"/>
      <family val="2"/>
      <charset val="204"/>
    </font>
    <font>
      <sz val="14"/>
      <color theme="1"/>
      <name val="Times New Roman"/>
      <family val="1"/>
      <charset val="204"/>
    </font>
    <font>
      <sz val="12"/>
      <name val="Times New Roman"/>
      <family val="1"/>
      <charset val="204"/>
    </font>
    <font>
      <sz val="11"/>
      <color rgb="FFFF0000"/>
      <name val="Calibri"/>
      <family val="2"/>
      <scheme val="minor"/>
    </font>
    <font>
      <sz val="11"/>
      <name val="Calibri"/>
      <family val="2"/>
      <scheme val="minor"/>
    </font>
    <font>
      <b/>
      <sz val="14"/>
      <color rgb="FFFF0000"/>
      <name val="Times New Roman"/>
      <family val="1"/>
      <charset val="204"/>
    </font>
    <font>
      <i/>
      <sz val="14"/>
      <name val="Times New Roman"/>
      <family val="1"/>
      <charset val="204"/>
    </font>
    <font>
      <b/>
      <sz val="11"/>
      <color theme="1"/>
      <name val="Calibri"/>
      <family val="2"/>
      <charset val="204"/>
      <scheme val="minor"/>
    </font>
    <font>
      <b/>
      <sz val="14"/>
      <color theme="1"/>
      <name val="Times New Roman"/>
      <family val="1"/>
      <charset val="204"/>
    </font>
    <font>
      <sz val="18"/>
      <name val="Times New Roman"/>
      <family val="1"/>
      <charset val="204"/>
    </font>
    <font>
      <b/>
      <sz val="16"/>
      <name val="Times New Roman"/>
      <family val="1"/>
      <charset val="204"/>
    </font>
    <font>
      <sz val="16"/>
      <name val="Times New Roman"/>
      <family val="1"/>
      <charset val="204"/>
    </font>
    <font>
      <b/>
      <sz val="9"/>
      <name val="Times New Roman"/>
      <family val="1"/>
      <charset val="204"/>
    </font>
    <font>
      <b/>
      <sz val="13"/>
      <name val="Times New Roman"/>
      <family val="1"/>
      <charset val="204"/>
    </font>
    <font>
      <b/>
      <sz val="11"/>
      <name val="Calibri"/>
      <family val="2"/>
      <scheme val="minor"/>
    </font>
    <font>
      <sz val="13"/>
      <name val="Times New Roman"/>
      <family val="1"/>
      <charset val="204"/>
    </font>
    <font>
      <sz val="9"/>
      <name val="Times New Roman"/>
      <family val="1"/>
      <charset val="204"/>
    </font>
    <font>
      <b/>
      <sz val="12"/>
      <name val="Times New Roman"/>
      <family val="1"/>
      <charset val="204"/>
    </font>
    <font>
      <b/>
      <sz val="8"/>
      <name val="Times New Roman"/>
      <family val="1"/>
      <charset val="204"/>
    </font>
    <font>
      <sz val="12"/>
      <color rgb="FFFF0000"/>
      <name val="Times New Roman"/>
      <family val="1"/>
      <charset val="204"/>
    </font>
    <font>
      <sz val="16"/>
      <color rgb="FFFF0000"/>
      <name val="Times New Roman"/>
      <family val="1"/>
      <charset val="204"/>
    </font>
    <font>
      <b/>
      <sz val="16"/>
      <color rgb="FFFF0000"/>
      <name val="Times New Roman"/>
      <family val="1"/>
      <charset val="204"/>
    </font>
    <font>
      <b/>
      <sz val="20"/>
      <name val="Times New Roman"/>
      <family val="1"/>
      <charset val="204"/>
    </font>
    <font>
      <b/>
      <sz val="18"/>
      <name val="Times New Roman"/>
      <family val="1"/>
      <charset val="204"/>
    </font>
    <font>
      <sz val="11"/>
      <name val="Times New Roman"/>
      <family val="1"/>
      <charset val="204"/>
    </font>
    <font>
      <sz val="10"/>
      <name val="Times New Roman"/>
      <family val="1"/>
      <charset val="204"/>
    </font>
    <font>
      <b/>
      <sz val="12"/>
      <color indexed="8"/>
      <name val="Times New Roman"/>
      <family val="1"/>
      <charset val="204"/>
    </font>
    <font>
      <sz val="12"/>
      <color indexed="8"/>
      <name val="Times New Roman"/>
      <family val="1"/>
      <charset val="204"/>
    </font>
    <font>
      <sz val="12"/>
      <color theme="1"/>
      <name val="Times New Roman"/>
      <family val="1"/>
      <charset val="204"/>
    </font>
    <font>
      <b/>
      <sz val="12"/>
      <color rgb="FFFF0000"/>
      <name val="Times New Roman"/>
      <family val="1"/>
      <charset val="204"/>
    </font>
    <font>
      <sz val="12"/>
      <color rgb="FFFF0000"/>
      <name val="Calibri"/>
      <family val="2"/>
      <charset val="204"/>
      <scheme val="minor"/>
    </font>
    <font>
      <b/>
      <sz val="12"/>
      <color rgb="FFFF0000"/>
      <name val="Calibri"/>
      <family val="2"/>
      <charset val="204"/>
      <scheme val="minor"/>
    </font>
    <font>
      <sz val="12"/>
      <color theme="1"/>
      <name val="Calibri"/>
      <family val="2"/>
      <charset val="204"/>
      <scheme val="minor"/>
    </font>
    <font>
      <sz val="12"/>
      <name val="Calibri"/>
      <family val="2"/>
      <charset val="204"/>
      <scheme val="minor"/>
    </font>
    <font>
      <i/>
      <sz val="12"/>
      <name val="Times New Roman"/>
      <family val="1"/>
      <charset val="204"/>
    </font>
    <font>
      <sz val="11"/>
      <name val="Calibri"/>
      <family val="2"/>
      <charset val="204"/>
      <scheme val="minor"/>
    </font>
    <font>
      <u/>
      <sz val="11"/>
      <color theme="10"/>
      <name val="Calibri"/>
      <family val="2"/>
      <scheme val="minor"/>
    </font>
    <font>
      <u/>
      <sz val="14"/>
      <name val="Times New Roman"/>
      <family val="1"/>
      <charset val="204"/>
    </font>
    <font>
      <sz val="8"/>
      <name val="Times New Roman"/>
      <family val="1"/>
      <charset val="204"/>
    </font>
    <font>
      <sz val="13"/>
      <color theme="1"/>
      <name val="Times New Roman"/>
      <family val="1"/>
      <charset val="204"/>
    </font>
    <font>
      <sz val="16"/>
      <color rgb="FFFF0000"/>
      <name val="Calibri"/>
      <family val="2"/>
      <scheme val="minor"/>
    </font>
    <font>
      <b/>
      <sz val="16"/>
      <color rgb="FFFF0000"/>
      <name val="Calibri"/>
      <family val="2"/>
      <charset val="204"/>
      <scheme val="minor"/>
    </font>
    <font>
      <sz val="11"/>
      <color theme="1"/>
      <name val="Times New Roman"/>
      <family val="1"/>
      <charset val="204"/>
    </font>
    <font>
      <sz val="14"/>
      <color theme="1"/>
      <name val="Times New Roman"/>
      <family val="1"/>
      <charset val="204"/>
    </font>
    <font>
      <b/>
      <sz val="14"/>
      <color rgb="FF7030A0"/>
      <name val="Times New Roman"/>
      <family val="1"/>
      <charset val="204"/>
    </font>
    <font>
      <sz val="14"/>
      <color theme="1"/>
      <name val="Calibri"/>
      <family val="2"/>
      <scheme val="minor"/>
    </font>
    <font>
      <sz val="14"/>
      <color rgb="FFC00000"/>
      <name val="Times New Roman"/>
      <family val="1"/>
      <charset val="204"/>
    </font>
    <font>
      <b/>
      <sz val="14"/>
      <color rgb="FFC00000"/>
      <name val="Times New Roman"/>
      <family val="1"/>
      <charset val="204"/>
    </font>
    <font>
      <b/>
      <sz val="12"/>
      <color rgb="FFC00000"/>
      <name val="Times New Roman"/>
      <family val="1"/>
      <charset val="204"/>
    </font>
    <font>
      <b/>
      <sz val="14"/>
      <color rgb="FFFF0000"/>
      <name val="Calibri"/>
      <family val="2"/>
      <charset val="204"/>
      <scheme val="minor"/>
    </font>
    <font>
      <sz val="18"/>
      <color theme="1"/>
      <name val="Calibri"/>
      <family val="2"/>
      <scheme val="minor"/>
    </font>
    <font>
      <sz val="16"/>
      <color theme="1"/>
      <name val="Calibri"/>
      <family val="2"/>
      <charset val="204"/>
      <scheme val="minor"/>
    </font>
    <font>
      <sz val="14"/>
      <name val="Calibri"/>
      <family val="2"/>
      <charset val="204"/>
      <scheme val="minor"/>
    </font>
    <font>
      <sz val="12"/>
      <color theme="1"/>
      <name val="Calibri"/>
      <family val="2"/>
      <scheme val="minor"/>
    </font>
    <font>
      <sz val="18"/>
      <color theme="1"/>
      <name val="Times New Roman"/>
      <family val="1"/>
      <charset val="204"/>
    </font>
    <font>
      <b/>
      <sz val="15"/>
      <color rgb="FF7030A0"/>
      <name val="Times New Roman"/>
      <family val="1"/>
      <charset val="204"/>
    </font>
    <font>
      <b/>
      <sz val="15"/>
      <color rgb="FF7030A0"/>
      <name val="Calibri"/>
      <family val="2"/>
      <scheme val="minor"/>
    </font>
    <font>
      <sz val="14"/>
      <name val="Times New Roman"/>
      <family val="1"/>
      <charset val="204"/>
    </font>
    <font>
      <sz val="11"/>
      <color theme="1"/>
      <name val="Times New Roman"/>
      <family val="1"/>
      <charset val="204"/>
    </font>
    <font>
      <i/>
      <sz val="14"/>
      <color theme="1"/>
      <name val="Times New Roman"/>
      <family val="1"/>
      <charset val="204"/>
    </font>
    <font>
      <sz val="14"/>
      <color theme="1"/>
      <name val="Times New Roman"/>
      <family val="1"/>
      <charset val="204"/>
    </font>
    <font>
      <sz val="14"/>
      <name val="Times New Roman"/>
      <family val="1"/>
      <charset val="204"/>
    </font>
    <font>
      <sz val="20"/>
      <name val="Calibri"/>
      <family val="2"/>
      <scheme val="minor"/>
    </font>
    <font>
      <sz val="14"/>
      <name val="Times New Roman"/>
      <family val="1"/>
      <charset val="204"/>
    </font>
    <font>
      <sz val="10"/>
      <name val="Arial"/>
      <family val="2"/>
      <charset val="204"/>
    </font>
    <font>
      <sz val="12"/>
      <name val="Times New Roman"/>
      <family val="1"/>
      <charset val="204"/>
    </font>
    <font>
      <sz val="14"/>
      <color theme="1"/>
      <name val="Times New Roman"/>
      <family val="1"/>
      <charset val="204"/>
    </font>
    <font>
      <sz val="9"/>
      <color indexed="81"/>
      <name val="Tahoma"/>
      <family val="2"/>
      <charset val="204"/>
    </font>
    <font>
      <b/>
      <sz val="9"/>
      <color indexed="81"/>
      <name val="Tahoma"/>
      <family val="2"/>
      <charset val="204"/>
    </font>
    <font>
      <sz val="10"/>
      <color theme="1"/>
      <name val="Times New Roman"/>
      <family val="1"/>
      <charset val="204"/>
    </font>
    <font>
      <sz val="14"/>
      <name val="Times New Roman"/>
      <family val="1"/>
      <charset val="204"/>
    </font>
    <font>
      <b/>
      <sz val="11"/>
      <name val="Times New Roman"/>
      <family val="1"/>
      <charset val="204"/>
    </font>
    <font>
      <sz val="11"/>
      <color rgb="FFFF0000"/>
      <name val="Times New Roman"/>
      <family val="1"/>
      <charset val="204"/>
    </font>
    <font>
      <sz val="12"/>
      <name val="Times New Roman"/>
      <family val="1"/>
      <charset val="204"/>
    </font>
    <font>
      <sz val="14"/>
      <name val="Times New Roman"/>
      <family val="1"/>
      <charset val="204"/>
    </font>
    <font>
      <sz val="14"/>
      <color rgb="FF0070C0"/>
      <name val="Times New Roman"/>
      <family val="1"/>
      <charset val="204"/>
    </font>
  </fonts>
  <fills count="29">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rgb="FFFFFF00"/>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ABF3CC"/>
        <bgColor indexed="64"/>
      </patternFill>
    </fill>
    <fill>
      <patternFill patternType="solid">
        <fgColor rgb="FF66FFCC"/>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92D050"/>
        <bgColor indexed="64"/>
      </patternFill>
    </fill>
    <fill>
      <patternFill patternType="solid">
        <fgColor rgb="FFFF0000"/>
        <bgColor indexed="64"/>
      </patternFill>
    </fill>
    <fill>
      <patternFill patternType="solid">
        <fgColor rgb="FF6CF4C0"/>
        <bgColor indexed="64"/>
      </patternFill>
    </fill>
    <fill>
      <patternFill patternType="solid">
        <fgColor rgb="FFFFC000"/>
        <bgColor indexed="64"/>
      </patternFill>
    </fill>
    <fill>
      <patternFill patternType="solid">
        <fgColor rgb="FFFBFBFB"/>
        <bgColor indexed="64"/>
      </patternFill>
    </fill>
    <fill>
      <patternFill patternType="solid">
        <fgColor theme="6" tint="0.39997558519241921"/>
        <bgColor indexed="64"/>
      </patternFill>
    </fill>
    <fill>
      <patternFill patternType="solid">
        <fgColor rgb="FFFFFFFF"/>
        <bgColor rgb="FF000000"/>
      </patternFill>
    </fill>
    <fill>
      <patternFill patternType="solid">
        <fgColor rgb="FFBFBFBF"/>
        <bgColor rgb="FF000000"/>
      </patternFill>
    </fill>
    <fill>
      <patternFill patternType="solid">
        <fgColor rgb="FFABF3CC"/>
        <bgColor rgb="FF000000"/>
      </patternFill>
    </fill>
    <fill>
      <patternFill patternType="solid">
        <fgColor theme="3" tint="0.79998168889431442"/>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8">
    <xf numFmtId="0" fontId="0" fillId="0" borderId="0"/>
    <xf numFmtId="164"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0" fontId="12" fillId="0" borderId="0"/>
    <xf numFmtId="164" fontId="12" fillId="0" borderId="0" applyFont="0" applyFill="0" applyBorder="0" applyAlignment="0" applyProtection="0"/>
    <xf numFmtId="0" fontId="7" fillId="0" borderId="0"/>
    <xf numFmtId="0" fontId="12" fillId="0" borderId="0"/>
    <xf numFmtId="164" fontId="8" fillId="0" borderId="0" applyFont="0" applyFill="0" applyBorder="0" applyAlignment="0" applyProtection="0"/>
    <xf numFmtId="0" fontId="7" fillId="0" borderId="0"/>
    <xf numFmtId="0" fontId="12" fillId="0" borderId="0"/>
    <xf numFmtId="0" fontId="12" fillId="0" borderId="0"/>
    <xf numFmtId="0" fontId="12" fillId="0" borderId="0"/>
    <xf numFmtId="0" fontId="7" fillId="0" borderId="0"/>
    <xf numFmtId="0" fontId="12" fillId="0" borderId="0"/>
    <xf numFmtId="0" fontId="7" fillId="0" borderId="0"/>
    <xf numFmtId="0" fontId="7" fillId="0" borderId="0"/>
    <xf numFmtId="0" fontId="7" fillId="0" borderId="0"/>
    <xf numFmtId="9" fontId="12" fillId="0" borderId="0" applyFont="0" applyFill="0" applyBorder="0" applyAlignment="0" applyProtection="0"/>
    <xf numFmtId="164" fontId="12" fillId="0" borderId="0" applyFont="0" applyFill="0" applyBorder="0" applyAlignment="0" applyProtection="0"/>
    <xf numFmtId="0" fontId="6" fillId="0" borderId="0"/>
    <xf numFmtId="170" fontId="12" fillId="0" borderId="0" applyFont="0" applyFill="0" applyBorder="0" applyAlignment="0" applyProtection="0"/>
    <xf numFmtId="0" fontId="6" fillId="0" borderId="0"/>
    <xf numFmtId="0" fontId="6" fillId="0" borderId="0"/>
    <xf numFmtId="0" fontId="48" fillId="0" borderId="0" applyNumberFormat="0" applyFill="0" applyBorder="0" applyAlignment="0" applyProtection="0"/>
    <xf numFmtId="0" fontId="12" fillId="0" borderId="0"/>
    <xf numFmtId="0" fontId="5" fillId="0" borderId="0"/>
    <xf numFmtId="164" fontId="5" fillId="0" borderId="0" applyFont="0" applyFill="0" applyBorder="0" applyAlignment="0" applyProtection="0"/>
    <xf numFmtId="43" fontId="8" fillId="0" borderId="0" applyFont="0" applyFill="0" applyBorder="0" applyAlignment="0" applyProtection="0"/>
    <xf numFmtId="43" fontId="1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76" fillId="0" borderId="0"/>
    <xf numFmtId="43"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2"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43" fontId="8" fillId="0" borderId="0" applyFont="0" applyFill="0" applyBorder="0" applyAlignment="0" applyProtection="0"/>
    <xf numFmtId="43" fontId="1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cellStyleXfs>
  <cellXfs count="1326">
    <xf numFmtId="0" fontId="0" fillId="0" borderId="0" xfId="0"/>
    <xf numFmtId="165" fontId="10" fillId="0" borderId="1" xfId="0" applyNumberFormat="1" applyFont="1" applyBorder="1" applyAlignment="1">
      <alignment horizontal="right" vertical="center" wrapText="1"/>
    </xf>
    <xf numFmtId="166" fontId="10" fillId="0" borderId="9" xfId="0" applyNumberFormat="1" applyFont="1" applyBorder="1" applyAlignment="1">
      <alignment horizontal="center" vertical="top" wrapText="1"/>
    </xf>
    <xf numFmtId="0" fontId="9" fillId="0" borderId="9" xfId="0" applyFont="1" applyBorder="1" applyAlignment="1">
      <alignment horizontal="center" vertical="center" wrapText="1"/>
    </xf>
    <xf numFmtId="14" fontId="9" fillId="0" borderId="9"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166" fontId="10" fillId="0" borderId="9" xfId="0" applyNumberFormat="1" applyFont="1" applyBorder="1" applyAlignment="1">
      <alignment horizontal="center" vertical="center" wrapText="1"/>
    </xf>
    <xf numFmtId="0" fontId="10" fillId="0" borderId="9" xfId="0" applyFont="1" applyBorder="1" applyAlignment="1">
      <alignment horizontal="left" wrapText="1"/>
    </xf>
    <xf numFmtId="0" fontId="10" fillId="0" borderId="9" xfId="0" applyFont="1" applyBorder="1" applyAlignment="1">
      <alignment horizontal="left" vertical="center" wrapText="1"/>
    </xf>
    <xf numFmtId="0" fontId="10" fillId="0" borderId="0" xfId="0" applyFont="1" applyAlignment="1">
      <alignment wrapText="1"/>
    </xf>
    <xf numFmtId="0" fontId="16" fillId="0" borderId="0" xfId="0" applyFont="1"/>
    <xf numFmtId="0" fontId="9" fillId="0" borderId="9" xfId="0" applyFont="1" applyBorder="1" applyAlignment="1">
      <alignment horizontal="left" wrapText="1"/>
    </xf>
    <xf numFmtId="0" fontId="9" fillId="0" borderId="9" xfId="4" applyFont="1" applyBorder="1" applyAlignment="1">
      <alignment horizontal="justify" wrapText="1"/>
    </xf>
    <xf numFmtId="0" fontId="10" fillId="0" borderId="9" xfId="4" applyFont="1" applyBorder="1" applyAlignment="1">
      <alignment horizontal="justify" wrapText="1"/>
    </xf>
    <xf numFmtId="0" fontId="10" fillId="0" borderId="9" xfId="4" applyFont="1" applyBorder="1" applyAlignment="1">
      <alignment horizontal="left" wrapText="1"/>
    </xf>
    <xf numFmtId="0" fontId="10" fillId="0" borderId="9" xfId="4" applyFont="1" applyBorder="1" applyAlignment="1">
      <alignment horizontal="left" vertical="top" wrapText="1"/>
    </xf>
    <xf numFmtId="0" fontId="10" fillId="0" borderId="0" xfId="0" applyFont="1" applyAlignment="1">
      <alignment horizontal="left" wrapText="1"/>
    </xf>
    <xf numFmtId="4" fontId="10" fillId="0" borderId="9" xfId="4" applyNumberFormat="1" applyFont="1" applyBorder="1" applyAlignment="1">
      <alignment horizontal="left" wrapText="1"/>
    </xf>
    <xf numFmtId="0" fontId="9" fillId="0" borderId="9" xfId="4" applyFont="1" applyBorder="1" applyAlignment="1">
      <alignment horizontal="justify" vertical="top" wrapText="1"/>
    </xf>
    <xf numFmtId="0" fontId="9" fillId="0" borderId="9" xfId="4" applyFont="1" applyBorder="1" applyAlignment="1">
      <alignment horizontal="left" vertical="top" wrapText="1"/>
    </xf>
    <xf numFmtId="0" fontId="14" fillId="0" borderId="0" xfId="0" applyFont="1" applyAlignment="1">
      <alignment horizontal="center" vertical="top" wrapText="1"/>
    </xf>
    <xf numFmtId="166" fontId="10" fillId="0" borderId="9" xfId="0" applyNumberFormat="1" applyFont="1" applyBorder="1" applyAlignment="1">
      <alignment vertical="center" wrapText="1"/>
    </xf>
    <xf numFmtId="0" fontId="14" fillId="0" borderId="0" xfId="0" applyFont="1" applyAlignment="1">
      <alignment vertical="top" wrapText="1"/>
    </xf>
    <xf numFmtId="0" fontId="10" fillId="0" borderId="0" xfId="0" applyFont="1" applyAlignment="1">
      <alignment horizontal="center" wrapText="1"/>
    </xf>
    <xf numFmtId="0" fontId="9" fillId="0" borderId="8" xfId="0" applyFont="1" applyBorder="1" applyAlignment="1">
      <alignment horizontal="left" vertical="center" wrapText="1"/>
    </xf>
    <xf numFmtId="0" fontId="10" fillId="0" borderId="0" xfId="0" applyFont="1" applyAlignment="1">
      <alignment horizontal="left" vertical="top" wrapText="1"/>
    </xf>
    <xf numFmtId="0" fontId="10" fillId="0" borderId="1" xfId="0" applyFont="1" applyBorder="1" applyAlignment="1">
      <alignment horizontal="center" wrapText="1"/>
    </xf>
    <xf numFmtId="0" fontId="0" fillId="0" borderId="9" xfId="0" applyBorder="1"/>
    <xf numFmtId="0" fontId="10" fillId="2" borderId="9" xfId="0" applyFont="1" applyFill="1" applyBorder="1" applyAlignment="1">
      <alignment horizontal="left" wrapText="1"/>
    </xf>
    <xf numFmtId="0" fontId="13" fillId="0" borderId="9" xfId="0" applyFont="1" applyBorder="1"/>
    <xf numFmtId="164" fontId="10" fillId="0" borderId="9" xfId="1" applyFont="1" applyFill="1" applyBorder="1" applyAlignment="1">
      <alignment vertical="center" wrapText="1"/>
    </xf>
    <xf numFmtId="164" fontId="13" fillId="0" borderId="9" xfId="1" applyFont="1" applyBorder="1"/>
    <xf numFmtId="164" fontId="13" fillId="0" borderId="9" xfId="1" applyFont="1" applyFill="1" applyBorder="1"/>
    <xf numFmtId="0" fontId="13" fillId="0" borderId="0" xfId="0" applyFont="1"/>
    <xf numFmtId="166" fontId="10" fillId="2" borderId="10" xfId="0" applyNumberFormat="1" applyFont="1" applyFill="1" applyBorder="1" applyAlignment="1">
      <alignment vertical="center" wrapText="1"/>
    </xf>
    <xf numFmtId="164" fontId="11" fillId="0" borderId="9" xfId="1" applyFont="1" applyFill="1" applyBorder="1"/>
    <xf numFmtId="166" fontId="10" fillId="0" borderId="10" xfId="0" applyNumberFormat="1" applyFont="1" applyBorder="1" applyAlignment="1">
      <alignment horizontal="left" vertical="center" wrapText="1"/>
    </xf>
    <xf numFmtId="0" fontId="9" fillId="0" borderId="9" xfId="0" applyFont="1" applyBorder="1" applyAlignment="1">
      <alignment horizontal="left" vertical="center" wrapText="1"/>
    </xf>
    <xf numFmtId="0" fontId="9" fillId="0" borderId="11" xfId="4" applyFont="1" applyBorder="1" applyAlignment="1">
      <alignment horizontal="left"/>
    </xf>
    <xf numFmtId="164" fontId="13" fillId="0" borderId="11" xfId="1" applyFont="1" applyFill="1" applyBorder="1" applyAlignment="1">
      <alignment horizontal="left"/>
    </xf>
    <xf numFmtId="164" fontId="13" fillId="0" borderId="12" xfId="1" applyFont="1" applyFill="1" applyBorder="1" applyAlignment="1">
      <alignment horizontal="left"/>
    </xf>
    <xf numFmtId="164" fontId="13" fillId="0" borderId="9" xfId="0" applyNumberFormat="1" applyFont="1" applyBorder="1"/>
    <xf numFmtId="0" fontId="9" fillId="3" borderId="10" xfId="4" applyFont="1" applyFill="1" applyBorder="1" applyAlignment="1">
      <alignment horizontal="left"/>
    </xf>
    <xf numFmtId="0" fontId="9" fillId="3" borderId="9" xfId="4" applyFont="1" applyFill="1" applyBorder="1" applyAlignment="1">
      <alignment vertical="center"/>
    </xf>
    <xf numFmtId="0" fontId="10" fillId="0" borderId="0" xfId="0" applyFont="1" applyAlignment="1">
      <alignment horizontal="left" vertical="center" wrapText="1"/>
    </xf>
    <xf numFmtId="164" fontId="13" fillId="0" borderId="9" xfId="1" applyFont="1" applyFill="1" applyBorder="1" applyAlignment="1"/>
    <xf numFmtId="0" fontId="0" fillId="4" borderId="0" xfId="0" applyFill="1"/>
    <xf numFmtId="164" fontId="10" fillId="0" borderId="9" xfId="1" applyFont="1" applyFill="1" applyBorder="1"/>
    <xf numFmtId="0" fontId="10" fillId="2" borderId="9" xfId="4" applyFont="1" applyFill="1" applyBorder="1" applyAlignment="1">
      <alignment horizontal="justify" wrapText="1"/>
    </xf>
    <xf numFmtId="166" fontId="10" fillId="2" borderId="9" xfId="0" applyNumberFormat="1" applyFont="1" applyFill="1" applyBorder="1" applyAlignment="1">
      <alignment horizontal="center" vertical="center" wrapText="1"/>
    </xf>
    <xf numFmtId="0" fontId="10" fillId="2" borderId="9" xfId="4" applyFont="1" applyFill="1" applyBorder="1" applyAlignment="1">
      <alignment horizontal="left" vertical="top" wrapText="1"/>
    </xf>
    <xf numFmtId="0" fontId="10" fillId="2" borderId="9" xfId="4" applyFont="1" applyFill="1" applyBorder="1" applyAlignment="1">
      <alignment wrapText="1"/>
    </xf>
    <xf numFmtId="0" fontId="10" fillId="0" borderId="9" xfId="4" applyFont="1" applyBorder="1" applyAlignment="1">
      <alignment horizontal="left" vertical="center" wrapText="1"/>
    </xf>
    <xf numFmtId="0" fontId="9" fillId="3" borderId="9" xfId="4" applyFont="1" applyFill="1" applyBorder="1" applyAlignment="1">
      <alignment horizontal="left" wrapText="1"/>
    </xf>
    <xf numFmtId="0" fontId="10" fillId="2" borderId="9" xfId="4" applyFont="1" applyFill="1" applyBorder="1" applyAlignment="1">
      <alignment horizontal="left" vertical="center" wrapText="1"/>
    </xf>
    <xf numFmtId="0" fontId="9" fillId="5" borderId="9" xfId="4" applyFont="1" applyFill="1" applyBorder="1" applyAlignment="1">
      <alignment horizontal="left" vertical="top" wrapText="1"/>
    </xf>
    <xf numFmtId="0" fontId="9" fillId="2" borderId="9" xfId="4" applyFont="1" applyFill="1" applyBorder="1" applyAlignment="1">
      <alignment horizontal="left" vertical="top" wrapText="1"/>
    </xf>
    <xf numFmtId="164" fontId="10" fillId="0" borderId="9" xfId="0" applyNumberFormat="1" applyFont="1" applyBorder="1"/>
    <xf numFmtId="0" fontId="17" fillId="0" borderId="8" xfId="0" applyFont="1" applyBorder="1" applyAlignment="1">
      <alignment horizontal="left" vertical="center" wrapText="1"/>
    </xf>
    <xf numFmtId="0" fontId="11" fillId="2" borderId="9" xfId="4" applyFont="1" applyFill="1" applyBorder="1" applyAlignment="1">
      <alignment horizontal="left" vertical="center" wrapText="1"/>
    </xf>
    <xf numFmtId="0" fontId="11" fillId="0" borderId="0" xfId="0" applyFont="1"/>
    <xf numFmtId="0" fontId="15" fillId="0" borderId="0" xfId="0" applyFont="1"/>
    <xf numFmtId="166" fontId="11" fillId="2" borderId="9" xfId="0" applyNumberFormat="1" applyFont="1" applyFill="1" applyBorder="1" applyAlignment="1">
      <alignment horizontal="left" vertical="center" wrapText="1"/>
    </xf>
    <xf numFmtId="166" fontId="10" fillId="0" borderId="9" xfId="0" applyNumberFormat="1" applyFont="1" applyBorder="1" applyAlignment="1">
      <alignment horizontal="left" vertical="center" wrapText="1"/>
    </xf>
    <xf numFmtId="166" fontId="10" fillId="2" borderId="9" xfId="0" applyNumberFormat="1" applyFont="1" applyFill="1" applyBorder="1" applyAlignment="1">
      <alignment horizontal="left" vertical="center" wrapText="1"/>
    </xf>
    <xf numFmtId="0" fontId="9" fillId="2" borderId="9" xfId="0" applyFont="1" applyFill="1" applyBorder="1" applyAlignment="1">
      <alignment horizontal="left" wrapText="1"/>
    </xf>
    <xf numFmtId="0" fontId="10" fillId="6" borderId="9" xfId="4" applyFont="1" applyFill="1" applyBorder="1" applyAlignment="1">
      <alignment horizontal="left" vertical="top" wrapText="1"/>
    </xf>
    <xf numFmtId="0" fontId="10" fillId="6" borderId="9" xfId="4" applyFont="1" applyFill="1" applyBorder="1" applyAlignment="1">
      <alignment wrapText="1"/>
    </xf>
    <xf numFmtId="4" fontId="10" fillId="2" borderId="9" xfId="4" applyNumberFormat="1" applyFont="1" applyFill="1" applyBorder="1" applyAlignment="1">
      <alignment horizontal="left" wrapText="1"/>
    </xf>
    <xf numFmtId="164" fontId="0" fillId="0" borderId="0" xfId="0" applyNumberFormat="1"/>
    <xf numFmtId="0" fontId="10" fillId="0" borderId="9" xfId="4" applyFont="1" applyBorder="1" applyAlignment="1">
      <alignment wrapText="1"/>
    </xf>
    <xf numFmtId="4" fontId="18" fillId="0" borderId="9" xfId="4" applyNumberFormat="1" applyFont="1" applyBorder="1" applyAlignment="1">
      <alignment horizontal="left" wrapText="1"/>
    </xf>
    <xf numFmtId="0" fontId="18" fillId="0" borderId="0" xfId="0" applyFont="1" applyAlignment="1">
      <alignment wrapText="1"/>
    </xf>
    <xf numFmtId="0" fontId="18" fillId="0" borderId="9" xfId="0" applyFont="1" applyBorder="1" applyAlignment="1">
      <alignment wrapText="1"/>
    </xf>
    <xf numFmtId="164" fontId="15" fillId="0" borderId="0" xfId="0" applyNumberFormat="1" applyFont="1"/>
    <xf numFmtId="4" fontId="10" fillId="0" borderId="9" xfId="4" applyNumberFormat="1" applyFont="1" applyBorder="1" applyAlignment="1">
      <alignment horizontal="left" vertical="top" wrapText="1"/>
    </xf>
    <xf numFmtId="4" fontId="10" fillId="2" borderId="9" xfId="4" applyNumberFormat="1" applyFont="1" applyFill="1" applyBorder="1" applyAlignment="1">
      <alignment horizontal="left" vertical="top" wrapText="1"/>
    </xf>
    <xf numFmtId="0" fontId="9" fillId="0" borderId="8" xfId="0" applyFont="1" applyBorder="1" applyAlignment="1">
      <alignment horizontal="left" vertical="top" wrapText="1"/>
    </xf>
    <xf numFmtId="166" fontId="10" fillId="2" borderId="9" xfId="0" applyNumberFormat="1" applyFont="1" applyFill="1" applyBorder="1" applyAlignment="1">
      <alignment horizontal="left" vertical="top" wrapText="1"/>
    </xf>
    <xf numFmtId="166" fontId="10" fillId="0" borderId="9" xfId="0" applyNumberFormat="1" applyFont="1" applyBorder="1" applyAlignment="1">
      <alignment horizontal="left" vertical="top" wrapText="1"/>
    </xf>
    <xf numFmtId="0" fontId="10" fillId="0" borderId="9" xfId="4" applyFont="1" applyBorder="1" applyAlignment="1">
      <alignment horizontal="justify" vertical="top" wrapText="1"/>
    </xf>
    <xf numFmtId="0" fontId="10" fillId="2" borderId="9" xfId="4" applyFont="1" applyFill="1" applyBorder="1" applyAlignment="1">
      <alignment horizontal="justify" vertical="top" wrapText="1"/>
    </xf>
    <xf numFmtId="4" fontId="18" fillId="0" borderId="9" xfId="4" applyNumberFormat="1" applyFont="1" applyBorder="1" applyAlignment="1">
      <alignment horizontal="left" vertical="top" wrapText="1"/>
    </xf>
    <xf numFmtId="0" fontId="10" fillId="2" borderId="9" xfId="4" applyFont="1" applyFill="1" applyBorder="1" applyAlignment="1">
      <alignment vertical="top" wrapText="1"/>
    </xf>
    <xf numFmtId="0" fontId="10" fillId="0" borderId="9" xfId="4" applyFont="1" applyBorder="1" applyAlignment="1">
      <alignment vertical="top" wrapText="1"/>
    </xf>
    <xf numFmtId="0" fontId="10" fillId="2" borderId="9" xfId="0" applyFont="1" applyFill="1" applyBorder="1" applyAlignment="1">
      <alignment horizontal="left" vertical="top" wrapText="1"/>
    </xf>
    <xf numFmtId="0" fontId="10" fillId="0" borderId="9" xfId="0" applyFont="1" applyBorder="1" applyAlignment="1">
      <alignment horizontal="left" vertical="top" wrapText="1"/>
    </xf>
    <xf numFmtId="0" fontId="15" fillId="0" borderId="0" xfId="0" applyFont="1" applyAlignment="1">
      <alignment vertical="top"/>
    </xf>
    <xf numFmtId="0" fontId="10" fillId="0" borderId="9" xfId="0" applyFont="1" applyBorder="1"/>
    <xf numFmtId="0" fontId="9" fillId="3" borderId="9" xfId="4" applyFont="1" applyFill="1" applyBorder="1" applyAlignment="1">
      <alignment horizontal="left" vertical="top" wrapText="1"/>
    </xf>
    <xf numFmtId="0" fontId="18" fillId="0" borderId="0" xfId="0" applyFont="1" applyAlignment="1">
      <alignment vertical="top" wrapText="1"/>
    </xf>
    <xf numFmtId="0" fontId="18" fillId="0" borderId="9" xfId="0" applyFont="1" applyBorder="1" applyAlignment="1">
      <alignment vertical="top" wrapText="1"/>
    </xf>
    <xf numFmtId="165" fontId="9" fillId="0" borderId="9" xfId="0" applyNumberFormat="1" applyFont="1" applyBorder="1" applyAlignment="1">
      <alignment horizontal="center" vertical="center" wrapText="1"/>
    </xf>
    <xf numFmtId="165" fontId="10" fillId="0" borderId="9" xfId="0" applyNumberFormat="1" applyFont="1" applyBorder="1" applyAlignment="1">
      <alignment horizontal="center" vertical="center" wrapText="1"/>
    </xf>
    <xf numFmtId="0" fontId="20" fillId="0" borderId="0" xfId="0" applyFont="1"/>
    <xf numFmtId="0" fontId="9" fillId="8" borderId="9" xfId="0" applyFont="1" applyFill="1" applyBorder="1" applyAlignment="1">
      <alignment horizontal="left" vertical="top" wrapText="1"/>
    </xf>
    <xf numFmtId="2" fontId="10" fillId="8" borderId="9" xfId="0" applyNumberFormat="1" applyFont="1" applyFill="1" applyBorder="1" applyAlignment="1">
      <alignment horizontal="right" wrapText="1"/>
    </xf>
    <xf numFmtId="2" fontId="11" fillId="8" borderId="9" xfId="0" applyNumberFormat="1" applyFont="1" applyFill="1" applyBorder="1" applyAlignment="1">
      <alignment horizontal="right" wrapText="1"/>
    </xf>
    <xf numFmtId="0" fontId="13" fillId="8" borderId="9" xfId="0" applyFont="1" applyFill="1" applyBorder="1"/>
    <xf numFmtId="2" fontId="13" fillId="0" borderId="0" xfId="0" applyNumberFormat="1" applyFont="1"/>
    <xf numFmtId="167" fontId="9" fillId="8" borderId="9" xfId="0" applyNumberFormat="1" applyFont="1" applyFill="1" applyBorder="1" applyAlignment="1">
      <alignment horizontal="left" wrapText="1"/>
    </xf>
    <xf numFmtId="168" fontId="9" fillId="8" borderId="9" xfId="0" applyNumberFormat="1" applyFont="1" applyFill="1" applyBorder="1" applyAlignment="1">
      <alignment horizontal="right" wrapText="1"/>
    </xf>
    <xf numFmtId="168" fontId="9" fillId="8" borderId="9" xfId="0" applyNumberFormat="1" applyFont="1" applyFill="1" applyBorder="1" applyAlignment="1">
      <alignment vertical="center" wrapText="1"/>
    </xf>
    <xf numFmtId="167" fontId="10" fillId="8" borderId="9" xfId="0" applyNumberFormat="1" applyFont="1" applyFill="1" applyBorder="1" applyAlignment="1">
      <alignment horizontal="left" wrapText="1"/>
    </xf>
    <xf numFmtId="168" fontId="10" fillId="8" borderId="9" xfId="0" applyNumberFormat="1" applyFont="1" applyFill="1" applyBorder="1" applyAlignment="1">
      <alignment horizontal="right" wrapText="1"/>
    </xf>
    <xf numFmtId="167" fontId="10" fillId="9" borderId="9" xfId="0" applyNumberFormat="1" applyFont="1" applyFill="1" applyBorder="1" applyAlignment="1">
      <alignment horizontal="left" vertical="top" wrapText="1"/>
    </xf>
    <xf numFmtId="168" fontId="10" fillId="9" borderId="9" xfId="0" applyNumberFormat="1" applyFont="1" applyFill="1" applyBorder="1" applyAlignment="1">
      <alignment horizontal="right" wrapText="1"/>
    </xf>
    <xf numFmtId="168" fontId="11" fillId="9" borderId="9" xfId="0" applyNumberFormat="1" applyFont="1" applyFill="1" applyBorder="1" applyAlignment="1">
      <alignment horizontal="right" wrapText="1"/>
    </xf>
    <xf numFmtId="4" fontId="13" fillId="0" borderId="9" xfId="0" applyNumberFormat="1" applyFont="1" applyBorder="1"/>
    <xf numFmtId="167" fontId="9" fillId="0" borderId="9" xfId="0" applyNumberFormat="1" applyFont="1" applyBorder="1" applyAlignment="1">
      <alignment horizontal="left" wrapText="1"/>
    </xf>
    <xf numFmtId="168" fontId="9" fillId="0" borderId="9" xfId="0" applyNumberFormat="1" applyFont="1" applyBorder="1" applyAlignment="1">
      <alignment horizontal="right" wrapText="1"/>
    </xf>
    <xf numFmtId="168" fontId="9" fillId="0" borderId="9" xfId="0" applyNumberFormat="1" applyFont="1" applyBorder="1" applyAlignment="1">
      <alignment wrapText="1"/>
    </xf>
    <xf numFmtId="167" fontId="10" fillId="0" borderId="9" xfId="0" applyNumberFormat="1" applyFont="1" applyBorder="1" applyAlignment="1">
      <alignment horizontal="left" wrapText="1"/>
    </xf>
    <xf numFmtId="168" fontId="10" fillId="0" borderId="9" xfId="0" applyNumberFormat="1" applyFont="1" applyBorder="1" applyAlignment="1">
      <alignment horizontal="right" wrapText="1"/>
    </xf>
    <xf numFmtId="169" fontId="10" fillId="0" borderId="9" xfId="0" applyNumberFormat="1" applyFont="1" applyBorder="1" applyAlignment="1">
      <alignment horizontal="right"/>
    </xf>
    <xf numFmtId="169" fontId="10" fillId="0" borderId="9" xfId="0" applyNumberFormat="1" applyFont="1" applyBorder="1"/>
    <xf numFmtId="168" fontId="10" fillId="10" borderId="9" xfId="0" applyNumberFormat="1" applyFont="1" applyFill="1" applyBorder="1" applyAlignment="1">
      <alignment horizontal="right" wrapText="1"/>
    </xf>
    <xf numFmtId="167" fontId="10" fillId="0" borderId="9" xfId="0" applyNumberFormat="1" applyFont="1" applyBorder="1" applyAlignment="1">
      <alignment horizontal="left" vertical="center" wrapText="1"/>
    </xf>
    <xf numFmtId="168" fontId="17" fillId="0" borderId="9" xfId="0" applyNumberFormat="1" applyFont="1" applyBorder="1" applyAlignment="1">
      <alignment horizontal="right" wrapText="1"/>
    </xf>
    <xf numFmtId="167" fontId="10" fillId="0" borderId="9" xfId="0" applyNumberFormat="1" applyFont="1" applyBorder="1" applyAlignment="1">
      <alignment horizontal="left" vertical="top" wrapText="1"/>
    </xf>
    <xf numFmtId="168" fontId="11" fillId="0" borderId="9" xfId="0" applyNumberFormat="1" applyFont="1" applyBorder="1" applyAlignment="1">
      <alignment horizontal="right" wrapText="1"/>
    </xf>
    <xf numFmtId="167" fontId="9" fillId="8" borderId="9" xfId="0" applyNumberFormat="1" applyFont="1" applyFill="1" applyBorder="1" applyAlignment="1">
      <alignment horizontal="left" vertical="top" wrapText="1"/>
    </xf>
    <xf numFmtId="168" fontId="17" fillId="8" borderId="9" xfId="0" applyNumberFormat="1" applyFont="1" applyFill="1" applyBorder="1" applyAlignment="1">
      <alignment horizontal="right" wrapText="1"/>
    </xf>
    <xf numFmtId="167" fontId="9" fillId="9" borderId="9" xfId="0" applyNumberFormat="1" applyFont="1" applyFill="1" applyBorder="1" applyAlignment="1">
      <alignment horizontal="left" wrapText="1"/>
    </xf>
    <xf numFmtId="167" fontId="10" fillId="9" borderId="9" xfId="0" applyNumberFormat="1" applyFont="1" applyFill="1" applyBorder="1" applyAlignment="1">
      <alignment horizontal="left" wrapText="1"/>
    </xf>
    <xf numFmtId="168" fontId="9" fillId="8" borderId="9" xfId="0" applyNumberFormat="1" applyFont="1" applyFill="1" applyBorder="1" applyAlignment="1">
      <alignment horizontal="left" wrapText="1"/>
    </xf>
    <xf numFmtId="168" fontId="10" fillId="8" borderId="9" xfId="0" applyNumberFormat="1" applyFont="1" applyFill="1" applyBorder="1" applyAlignment="1">
      <alignment horizontal="left" wrapText="1"/>
    </xf>
    <xf numFmtId="168" fontId="9" fillId="9" borderId="9" xfId="0" applyNumberFormat="1" applyFont="1" applyFill="1" applyBorder="1" applyAlignment="1">
      <alignment horizontal="right" wrapText="1"/>
    </xf>
    <xf numFmtId="168" fontId="17" fillId="9" borderId="9" xfId="0" applyNumberFormat="1" applyFont="1" applyFill="1" applyBorder="1" applyAlignment="1">
      <alignment horizontal="right" wrapText="1"/>
    </xf>
    <xf numFmtId="167" fontId="10" fillId="8" borderId="9" xfId="0" applyNumberFormat="1" applyFont="1" applyFill="1" applyBorder="1" applyAlignment="1">
      <alignment horizontal="right" wrapText="1"/>
    </xf>
    <xf numFmtId="167" fontId="11" fillId="8" borderId="9" xfId="0" applyNumberFormat="1" applyFont="1" applyFill="1" applyBorder="1" applyAlignment="1">
      <alignment horizontal="right" wrapText="1"/>
    </xf>
    <xf numFmtId="168" fontId="10" fillId="0" borderId="9" xfId="0" applyNumberFormat="1" applyFont="1" applyBorder="1" applyAlignment="1">
      <alignment horizontal="right" vertical="center" wrapText="1"/>
    </xf>
    <xf numFmtId="168" fontId="11" fillId="0" borderId="9" xfId="0" applyNumberFormat="1" applyFont="1" applyBorder="1" applyAlignment="1">
      <alignment horizontal="right" vertical="center" wrapText="1"/>
    </xf>
    <xf numFmtId="168" fontId="11" fillId="8" borderId="9" xfId="0" applyNumberFormat="1" applyFont="1" applyFill="1" applyBorder="1" applyAlignment="1">
      <alignment horizontal="right" wrapText="1"/>
    </xf>
    <xf numFmtId="4" fontId="10" fillId="0" borderId="9" xfId="0" applyNumberFormat="1" applyFont="1" applyBorder="1"/>
    <xf numFmtId="167" fontId="9" fillId="8" borderId="9" xfId="0" applyNumberFormat="1" applyFont="1" applyFill="1" applyBorder="1" applyAlignment="1">
      <alignment horizontal="left" vertical="center" wrapText="1"/>
    </xf>
    <xf numFmtId="167" fontId="9" fillId="8" borderId="9" xfId="0" applyNumberFormat="1" applyFont="1" applyFill="1" applyBorder="1" applyAlignment="1">
      <alignment horizontal="right" wrapText="1"/>
    </xf>
    <xf numFmtId="167" fontId="17" fillId="8" borderId="9" xfId="0" applyNumberFormat="1" applyFont="1" applyFill="1" applyBorder="1" applyAlignment="1">
      <alignment horizontal="right" wrapText="1"/>
    </xf>
    <xf numFmtId="4" fontId="9" fillId="8" borderId="9" xfId="0" applyNumberFormat="1" applyFont="1" applyFill="1" applyBorder="1"/>
    <xf numFmtId="168" fontId="10" fillId="8" borderId="9" xfId="0" applyNumberFormat="1" applyFont="1" applyFill="1" applyBorder="1" applyAlignment="1">
      <alignment vertical="center" wrapText="1"/>
    </xf>
    <xf numFmtId="168" fontId="11" fillId="8" borderId="9" xfId="0" applyNumberFormat="1" applyFont="1" applyFill="1" applyBorder="1" applyAlignment="1">
      <alignment vertical="center" wrapText="1"/>
    </xf>
    <xf numFmtId="0" fontId="9" fillId="8" borderId="9" xfId="0" applyFont="1" applyFill="1" applyBorder="1" applyAlignment="1">
      <alignment horizontal="left" wrapText="1"/>
    </xf>
    <xf numFmtId="0" fontId="10" fillId="8" borderId="9" xfId="0" applyFont="1" applyFill="1" applyBorder="1" applyAlignment="1">
      <alignment horizontal="left" wrapText="1"/>
    </xf>
    <xf numFmtId="0" fontId="10" fillId="9" borderId="9" xfId="0" applyFont="1" applyFill="1" applyBorder="1" applyAlignment="1">
      <alignment horizontal="left" wrapText="1"/>
    </xf>
    <xf numFmtId="167" fontId="9" fillId="11" borderId="9" xfId="0" applyNumberFormat="1" applyFont="1" applyFill="1" applyBorder="1" applyAlignment="1">
      <alignment horizontal="left" wrapText="1"/>
    </xf>
    <xf numFmtId="168" fontId="9" fillId="11" borderId="9" xfId="0" applyNumberFormat="1" applyFont="1" applyFill="1" applyBorder="1" applyAlignment="1">
      <alignment horizontal="right" wrapText="1"/>
    </xf>
    <xf numFmtId="167" fontId="10" fillId="12" borderId="9" xfId="0" applyNumberFormat="1" applyFont="1" applyFill="1" applyBorder="1" applyAlignment="1">
      <alignment horizontal="left" wrapText="1"/>
    </xf>
    <xf numFmtId="168" fontId="10" fillId="12" borderId="9" xfId="0" applyNumberFormat="1" applyFont="1" applyFill="1" applyBorder="1" applyAlignment="1">
      <alignment horizontal="right" wrapText="1"/>
    </xf>
    <xf numFmtId="167" fontId="10" fillId="12" borderId="9" xfId="0" applyNumberFormat="1" applyFont="1" applyFill="1" applyBorder="1" applyAlignment="1">
      <alignment horizontal="left" vertical="center" wrapText="1"/>
    </xf>
    <xf numFmtId="167" fontId="9" fillId="10" borderId="9" xfId="0" applyNumberFormat="1" applyFont="1" applyFill="1" applyBorder="1" applyAlignment="1">
      <alignment horizontal="left" vertical="top" wrapText="1"/>
    </xf>
    <xf numFmtId="168" fontId="9" fillId="10" borderId="9" xfId="0" applyNumberFormat="1" applyFont="1" applyFill="1" applyBorder="1" applyAlignment="1">
      <alignment horizontal="right" wrapText="1"/>
    </xf>
    <xf numFmtId="4" fontId="13" fillId="0" borderId="0" xfId="0" applyNumberFormat="1" applyFont="1"/>
    <xf numFmtId="0" fontId="13" fillId="0" borderId="0" xfId="0" applyFont="1" applyAlignment="1">
      <alignment horizontal="right"/>
    </xf>
    <xf numFmtId="0" fontId="21" fillId="0" borderId="0" xfId="4" applyFont="1" applyAlignment="1">
      <alignment horizontal="center" vertical="center" wrapText="1"/>
    </xf>
    <xf numFmtId="0" fontId="14" fillId="0" borderId="0" xfId="4" applyFont="1" applyAlignment="1">
      <alignment vertical="center" wrapText="1"/>
    </xf>
    <xf numFmtId="0" fontId="10" fillId="0" borderId="0" xfId="0" applyFont="1"/>
    <xf numFmtId="165" fontId="22" fillId="0" borderId="0" xfId="4" applyNumberFormat="1" applyFont="1" applyAlignment="1">
      <alignment horizontal="center" vertical="center" wrapText="1"/>
    </xf>
    <xf numFmtId="0" fontId="14" fillId="0" borderId="0" xfId="4" applyFont="1" applyAlignment="1">
      <alignment horizontal="center" vertical="center" wrapText="1"/>
    </xf>
    <xf numFmtId="0" fontId="10" fillId="0" borderId="0" xfId="0" applyFont="1" applyAlignment="1">
      <alignment horizontal="center" vertical="center"/>
    </xf>
    <xf numFmtId="0" fontId="16" fillId="0" borderId="0" xfId="0" applyFont="1" applyAlignment="1">
      <alignment horizontal="center" vertical="center"/>
    </xf>
    <xf numFmtId="165" fontId="22" fillId="9" borderId="0" xfId="4" applyNumberFormat="1" applyFont="1" applyFill="1" applyAlignment="1">
      <alignment horizontal="center" vertical="center" wrapText="1"/>
    </xf>
    <xf numFmtId="165" fontId="23" fillId="0" borderId="0" xfId="4" applyNumberFormat="1" applyFont="1" applyAlignment="1">
      <alignment horizontal="center" vertical="center" wrapText="1"/>
    </xf>
    <xf numFmtId="0" fontId="23" fillId="0" borderId="0" xfId="4" applyFont="1" applyAlignment="1">
      <alignment horizontal="right" vertical="center" wrapText="1"/>
    </xf>
    <xf numFmtId="166" fontId="10" fillId="0" borderId="10" xfId="0" applyNumberFormat="1" applyFont="1" applyBorder="1" applyAlignment="1">
      <alignment horizontal="center" vertical="center" wrapText="1"/>
    </xf>
    <xf numFmtId="0" fontId="9" fillId="0" borderId="0" xfId="0" applyFont="1"/>
    <xf numFmtId="0" fontId="9" fillId="8" borderId="9" xfId="4" applyFont="1" applyFill="1" applyBorder="1" applyAlignment="1">
      <alignment horizontal="left" vertical="center" wrapText="1"/>
    </xf>
    <xf numFmtId="4" fontId="9" fillId="8" borderId="9" xfId="4" applyNumberFormat="1" applyFont="1" applyFill="1" applyBorder="1" applyAlignment="1">
      <alignment horizontal="center" vertical="center" wrapText="1"/>
    </xf>
    <xf numFmtId="4" fontId="9" fillId="8" borderId="10" xfId="4" applyNumberFormat="1" applyFont="1" applyFill="1" applyBorder="1" applyAlignment="1">
      <alignment horizontal="center" vertical="center" wrapText="1"/>
    </xf>
    <xf numFmtId="4" fontId="9" fillId="8" borderId="10" xfId="4" applyNumberFormat="1" applyFont="1" applyFill="1" applyBorder="1" applyAlignment="1" applyProtection="1">
      <alignment horizontal="center" vertical="center" wrapText="1"/>
      <protection hidden="1"/>
    </xf>
    <xf numFmtId="4" fontId="9" fillId="8" borderId="9" xfId="4" applyNumberFormat="1" applyFont="1" applyFill="1" applyBorder="1" applyAlignment="1" applyProtection="1">
      <alignment horizontal="center" vertical="center" wrapText="1"/>
      <protection hidden="1"/>
    </xf>
    <xf numFmtId="0" fontId="24" fillId="8" borderId="9" xfId="4" applyFont="1" applyFill="1" applyBorder="1" applyAlignment="1">
      <alignment vertical="center" wrapText="1"/>
    </xf>
    <xf numFmtId="4" fontId="10" fillId="0" borderId="0" xfId="0" applyNumberFormat="1" applyFont="1"/>
    <xf numFmtId="0" fontId="25" fillId="8" borderId="9" xfId="4" applyFont="1" applyFill="1" applyBorder="1" applyAlignment="1">
      <alignment horizontal="left" vertical="center" wrapText="1"/>
    </xf>
    <xf numFmtId="0" fontId="26" fillId="0" borderId="0" xfId="0" applyFont="1"/>
    <xf numFmtId="0" fontId="27" fillId="8" borderId="9" xfId="4" applyFont="1" applyFill="1" applyBorder="1" applyAlignment="1">
      <alignment horizontal="left" vertical="center" wrapText="1"/>
    </xf>
    <xf numFmtId="4" fontId="10" fillId="8" borderId="9" xfId="4" applyNumberFormat="1" applyFont="1" applyFill="1" applyBorder="1" applyAlignment="1">
      <alignment horizontal="center" vertical="center" wrapText="1"/>
    </xf>
    <xf numFmtId="4" fontId="10" fillId="8" borderId="10" xfId="4" applyNumberFormat="1" applyFont="1" applyFill="1" applyBorder="1" applyAlignment="1">
      <alignment horizontal="center" vertical="center" wrapText="1"/>
    </xf>
    <xf numFmtId="4" fontId="10" fillId="8" borderId="10" xfId="4" applyNumberFormat="1" applyFont="1" applyFill="1" applyBorder="1" applyAlignment="1" applyProtection="1">
      <alignment horizontal="center" vertical="center" wrapText="1"/>
      <protection hidden="1"/>
    </xf>
    <xf numFmtId="0" fontId="28" fillId="8" borderId="9" xfId="4" applyFont="1" applyFill="1" applyBorder="1" applyAlignment="1">
      <alignment vertical="center" wrapText="1"/>
    </xf>
    <xf numFmtId="4" fontId="10" fillId="8" borderId="9" xfId="4" applyNumberFormat="1" applyFont="1" applyFill="1" applyBorder="1" applyAlignment="1" applyProtection="1">
      <alignment horizontal="center" vertical="center" wrapText="1"/>
      <protection hidden="1"/>
    </xf>
    <xf numFmtId="0" fontId="9" fillId="8" borderId="9" xfId="4" applyFont="1" applyFill="1" applyBorder="1" applyAlignment="1">
      <alignment horizontal="justify" vertical="center" wrapText="1"/>
    </xf>
    <xf numFmtId="4" fontId="10" fillId="8" borderId="12" xfId="4" applyNumberFormat="1" applyFont="1" applyFill="1" applyBorder="1" applyAlignment="1">
      <alignment horizontal="center" vertical="center" wrapText="1"/>
    </xf>
    <xf numFmtId="0" fontId="29" fillId="8" borderId="9" xfId="4" applyFont="1" applyFill="1" applyBorder="1" applyAlignment="1">
      <alignment vertical="center" wrapText="1"/>
    </xf>
    <xf numFmtId="0" fontId="9" fillId="8" borderId="9" xfId="4" applyFont="1" applyFill="1" applyBorder="1" applyAlignment="1">
      <alignment horizontal="justify" wrapText="1"/>
    </xf>
    <xf numFmtId="0" fontId="24" fillId="8" borderId="9" xfId="4" applyFont="1" applyFill="1" applyBorder="1" applyAlignment="1">
      <alignment horizontal="center" vertical="center" wrapText="1"/>
    </xf>
    <xf numFmtId="0" fontId="28" fillId="8" borderId="9" xfId="4" applyFont="1" applyFill="1" applyBorder="1" applyAlignment="1">
      <alignment horizontal="center" vertical="center" wrapText="1"/>
    </xf>
    <xf numFmtId="0" fontId="10" fillId="9" borderId="9" xfId="4" applyFont="1" applyFill="1" applyBorder="1" applyAlignment="1">
      <alignment horizontal="left" wrapText="1"/>
    </xf>
    <xf numFmtId="4" fontId="10" fillId="9" borderId="9" xfId="4" applyNumberFormat="1" applyFont="1" applyFill="1" applyBorder="1" applyAlignment="1">
      <alignment horizontal="center" vertical="center" wrapText="1"/>
    </xf>
    <xf numFmtId="4" fontId="10" fillId="9" borderId="10" xfId="4" applyNumberFormat="1" applyFont="1" applyFill="1" applyBorder="1" applyAlignment="1" applyProtection="1">
      <alignment horizontal="center" vertical="center" wrapText="1"/>
      <protection hidden="1"/>
    </xf>
    <xf numFmtId="4" fontId="10" fillId="0" borderId="9" xfId="4" applyNumberFormat="1" applyFont="1" applyBorder="1" applyAlignment="1">
      <alignment horizontal="center" vertical="center" wrapText="1"/>
    </xf>
    <xf numFmtId="4" fontId="10" fillId="9" borderId="9" xfId="4" applyNumberFormat="1" applyFont="1" applyFill="1" applyBorder="1" applyAlignment="1" applyProtection="1">
      <alignment horizontal="center" vertical="center" wrapText="1"/>
      <protection hidden="1"/>
    </xf>
    <xf numFmtId="0" fontId="24" fillId="0" borderId="9" xfId="4" applyFont="1" applyBorder="1" applyAlignment="1">
      <alignment vertical="center" wrapText="1"/>
    </xf>
    <xf numFmtId="0" fontId="9" fillId="9" borderId="9" xfId="4" applyFont="1" applyFill="1" applyBorder="1" applyAlignment="1">
      <alignment horizontal="justify" wrapText="1"/>
    </xf>
    <xf numFmtId="4" fontId="9" fillId="9" borderId="9" xfId="4" applyNumberFormat="1" applyFont="1" applyFill="1" applyBorder="1" applyAlignment="1">
      <alignment horizontal="center" vertical="center" wrapText="1"/>
    </xf>
    <xf numFmtId="4" fontId="9" fillId="0" borderId="9" xfId="4" applyNumberFormat="1" applyFont="1" applyBorder="1" applyAlignment="1">
      <alignment horizontal="center" vertical="center" wrapText="1"/>
    </xf>
    <xf numFmtId="0" fontId="27" fillId="9" borderId="9" xfId="4" applyFont="1" applyFill="1" applyBorder="1" applyAlignment="1">
      <alignment horizontal="left" vertical="center" wrapText="1"/>
    </xf>
    <xf numFmtId="0" fontId="10" fillId="9" borderId="9" xfId="4" applyFont="1" applyFill="1" applyBorder="1" applyAlignment="1">
      <alignment horizontal="left" vertical="top" wrapText="1"/>
    </xf>
    <xf numFmtId="0" fontId="30" fillId="9" borderId="9" xfId="4" applyFont="1" applyFill="1" applyBorder="1" applyAlignment="1">
      <alignment vertical="center" wrapText="1"/>
    </xf>
    <xf numFmtId="0" fontId="9" fillId="8" borderId="9" xfId="4" applyFont="1" applyFill="1" applyBorder="1" applyAlignment="1">
      <alignment horizontal="left" vertical="top" wrapText="1"/>
    </xf>
    <xf numFmtId="0" fontId="24" fillId="8" borderId="9" xfId="4" applyFont="1" applyFill="1" applyBorder="1" applyAlignment="1">
      <alignment vertical="top" wrapText="1" shrinkToFit="1"/>
    </xf>
    <xf numFmtId="0" fontId="28" fillId="8" borderId="9" xfId="4" applyFont="1" applyFill="1" applyBorder="1" applyAlignment="1">
      <alignment vertical="top" wrapText="1" shrinkToFit="1"/>
    </xf>
    <xf numFmtId="49" fontId="9" fillId="8" borderId="9" xfId="4" applyNumberFormat="1" applyFont="1" applyFill="1" applyBorder="1" applyAlignment="1">
      <alignment horizontal="justify" wrapText="1"/>
    </xf>
    <xf numFmtId="4" fontId="9" fillId="11" borderId="9" xfId="4" applyNumberFormat="1" applyFont="1" applyFill="1" applyBorder="1" applyAlignment="1">
      <alignment horizontal="center" vertical="center" wrapText="1"/>
    </xf>
    <xf numFmtId="4" fontId="24" fillId="11" borderId="9" xfId="4" applyNumberFormat="1" applyFont="1" applyFill="1" applyBorder="1" applyAlignment="1">
      <alignment horizontal="center" vertical="center" wrapText="1"/>
    </xf>
    <xf numFmtId="4" fontId="9" fillId="12" borderId="9" xfId="4" applyNumberFormat="1" applyFont="1" applyFill="1" applyBorder="1" applyAlignment="1">
      <alignment horizontal="center" vertical="center" wrapText="1"/>
    </xf>
    <xf numFmtId="4" fontId="24" fillId="12" borderId="9" xfId="4" applyNumberFormat="1" applyFont="1" applyFill="1" applyBorder="1" applyAlignment="1">
      <alignment horizontal="center" vertical="center" wrapText="1"/>
    </xf>
    <xf numFmtId="0" fontId="24" fillId="12" borderId="9" xfId="4" applyFont="1" applyFill="1" applyBorder="1" applyAlignment="1">
      <alignment horizontal="center" vertical="center" wrapText="1"/>
    </xf>
    <xf numFmtId="167" fontId="9" fillId="9" borderId="9" xfId="0" applyNumberFormat="1" applyFont="1" applyFill="1" applyBorder="1" applyAlignment="1">
      <alignment horizontal="left" vertical="top" wrapText="1"/>
    </xf>
    <xf numFmtId="4" fontId="20" fillId="0" borderId="9" xfId="0" applyNumberFormat="1" applyFont="1" applyBorder="1"/>
    <xf numFmtId="0" fontId="20" fillId="0" borderId="9" xfId="0" applyFont="1" applyBorder="1"/>
    <xf numFmtId="2" fontId="20" fillId="0" borderId="0" xfId="0" applyNumberFormat="1" applyFont="1"/>
    <xf numFmtId="169" fontId="9" fillId="0" borderId="9" xfId="0" applyNumberFormat="1" applyFont="1" applyBorder="1" applyAlignment="1">
      <alignment horizontal="right"/>
    </xf>
    <xf numFmtId="169" fontId="9" fillId="0" borderId="9" xfId="0" applyNumberFormat="1" applyFont="1" applyBorder="1"/>
    <xf numFmtId="0" fontId="9" fillId="0" borderId="9" xfId="4" applyFont="1" applyBorder="1" applyAlignment="1">
      <alignment horizontal="left" vertical="center" wrapText="1"/>
    </xf>
    <xf numFmtId="4" fontId="9" fillId="0" borderId="10" xfId="4" applyNumberFormat="1" applyFont="1" applyBorder="1" applyAlignment="1">
      <alignment horizontal="center" vertical="center" wrapText="1"/>
    </xf>
    <xf numFmtId="4" fontId="9" fillId="0" borderId="10" xfId="4" applyNumberFormat="1" applyFont="1" applyBorder="1" applyAlignment="1" applyProtection="1">
      <alignment horizontal="center" vertical="center" wrapText="1"/>
      <protection hidden="1"/>
    </xf>
    <xf numFmtId="4" fontId="9" fillId="0" borderId="9" xfId="4" applyNumberFormat="1" applyFont="1" applyBorder="1" applyAlignment="1" applyProtection="1">
      <alignment horizontal="center" vertical="center" wrapText="1"/>
      <protection hidden="1"/>
    </xf>
    <xf numFmtId="0" fontId="25" fillId="0" borderId="9" xfId="4" applyFont="1" applyBorder="1" applyAlignment="1">
      <alignment horizontal="left" vertical="center" wrapText="1"/>
    </xf>
    <xf numFmtId="0" fontId="27" fillId="0" borderId="9" xfId="4" applyFont="1" applyBorder="1" applyAlignment="1">
      <alignment horizontal="left" vertical="center" wrapText="1"/>
    </xf>
    <xf numFmtId="4" fontId="10" fillId="0" borderId="10" xfId="4" applyNumberFormat="1" applyFont="1" applyBorder="1" applyAlignment="1">
      <alignment horizontal="center" vertical="center" wrapText="1"/>
    </xf>
    <xf numFmtId="4" fontId="10" fillId="0" borderId="10" xfId="4" applyNumberFormat="1" applyFont="1" applyBorder="1" applyAlignment="1" applyProtection="1">
      <alignment horizontal="center" vertical="center" wrapText="1"/>
      <protection hidden="1"/>
    </xf>
    <xf numFmtId="0" fontId="28" fillId="0" borderId="9" xfId="4" applyFont="1" applyBorder="1" applyAlignment="1">
      <alignment vertical="center" wrapText="1"/>
    </xf>
    <xf numFmtId="0" fontId="6" fillId="0" borderId="0" xfId="20"/>
    <xf numFmtId="0" fontId="9" fillId="0" borderId="9" xfId="20" applyFont="1" applyBorder="1" applyAlignment="1">
      <alignment horizontal="center" vertical="center" wrapText="1"/>
    </xf>
    <xf numFmtId="171" fontId="11" fillId="14" borderId="1" xfId="21" applyNumberFormat="1" applyFont="1" applyFill="1" applyBorder="1" applyAlignment="1" applyProtection="1">
      <alignment horizontal="center" vertical="center" wrapText="1"/>
    </xf>
    <xf numFmtId="168" fontId="11" fillId="14" borderId="1" xfId="21" applyNumberFormat="1" applyFont="1" applyFill="1" applyBorder="1" applyAlignment="1" applyProtection="1">
      <alignment horizontal="center" vertical="center" wrapText="1"/>
    </xf>
    <xf numFmtId="171" fontId="10" fillId="14" borderId="1" xfId="21" applyNumberFormat="1" applyFont="1" applyFill="1" applyBorder="1" applyAlignment="1" applyProtection="1">
      <alignment horizontal="center" vertical="center" wrapText="1"/>
    </xf>
    <xf numFmtId="168" fontId="10" fillId="14" borderId="1" xfId="21" applyNumberFormat="1" applyFont="1" applyFill="1" applyBorder="1" applyAlignment="1" applyProtection="1">
      <alignment horizontal="center" vertical="center" wrapText="1"/>
    </xf>
    <xf numFmtId="171" fontId="10" fillId="0" borderId="9" xfId="21" applyNumberFormat="1" applyFont="1" applyFill="1" applyBorder="1" applyAlignment="1" applyProtection="1">
      <alignment horizontal="center" vertical="center" wrapText="1"/>
    </xf>
    <xf numFmtId="168" fontId="10" fillId="0" borderId="9" xfId="21" applyNumberFormat="1" applyFont="1" applyFill="1" applyBorder="1" applyAlignment="1" applyProtection="1">
      <alignment horizontal="center" vertical="center" wrapText="1"/>
    </xf>
    <xf numFmtId="168" fontId="10" fillId="0" borderId="11" xfId="21" applyNumberFormat="1" applyFont="1" applyFill="1" applyBorder="1" applyAlignment="1" applyProtection="1">
      <alignment horizontal="center" vertical="center" wrapText="1"/>
    </xf>
    <xf numFmtId="0" fontId="25" fillId="0" borderId="0" xfId="20" applyFont="1" applyAlignment="1">
      <alignment horizontal="center" vertical="top"/>
    </xf>
    <xf numFmtId="0" fontId="35" fillId="0" borderId="0" xfId="20" applyFont="1" applyAlignment="1">
      <alignment horizontal="center" vertical="top" wrapText="1"/>
    </xf>
    <xf numFmtId="0" fontId="35" fillId="0" borderId="0" xfId="20" applyFont="1" applyAlignment="1">
      <alignment horizontal="center" vertical="top"/>
    </xf>
    <xf numFmtId="49" fontId="10" fillId="0" borderId="9" xfId="20" applyNumberFormat="1" applyFont="1" applyBorder="1" applyAlignment="1">
      <alignment horizontal="center" vertical="center" wrapText="1"/>
    </xf>
    <xf numFmtId="0" fontId="25" fillId="0" borderId="9" xfId="20" applyFont="1" applyBorder="1" applyAlignment="1">
      <alignment horizontal="left" vertical="top" wrapText="1"/>
    </xf>
    <xf numFmtId="172" fontId="25" fillId="0" borderId="9" xfId="20" applyNumberFormat="1" applyFont="1" applyBorder="1" applyAlignment="1">
      <alignment horizontal="center" vertical="center" wrapText="1"/>
    </xf>
    <xf numFmtId="0" fontId="27" fillId="0" borderId="9" xfId="20" applyFont="1" applyBorder="1" applyAlignment="1">
      <alignment horizontal="left" vertical="top" wrapText="1"/>
    </xf>
    <xf numFmtId="172" fontId="27" fillId="0" borderId="9" xfId="20" applyNumberFormat="1" applyFont="1" applyBorder="1" applyAlignment="1">
      <alignment horizontal="center" vertical="center" wrapText="1"/>
    </xf>
    <xf numFmtId="4" fontId="27" fillId="0" borderId="9" xfId="20" applyNumberFormat="1" applyFont="1" applyBorder="1" applyAlignment="1">
      <alignment horizontal="center" vertical="center" wrapText="1"/>
    </xf>
    <xf numFmtId="0" fontId="27" fillId="0" borderId="9" xfId="20" applyFont="1" applyBorder="1" applyAlignment="1">
      <alignment horizontal="right" vertical="top" wrapText="1"/>
    </xf>
    <xf numFmtId="172" fontId="36" fillId="0" borderId="9" xfId="20" applyNumberFormat="1" applyFont="1" applyBorder="1" applyAlignment="1">
      <alignment horizontal="center" vertical="center" wrapText="1"/>
    </xf>
    <xf numFmtId="4" fontId="36" fillId="0" borderId="9" xfId="20" applyNumberFormat="1" applyFont="1" applyBorder="1" applyAlignment="1">
      <alignment horizontal="center" vertical="center" wrapText="1"/>
    </xf>
    <xf numFmtId="0" fontId="27" fillId="0" borderId="9" xfId="20" applyFont="1" applyBorder="1" applyAlignment="1">
      <alignment horizontal="justify" vertical="top" wrapText="1"/>
    </xf>
    <xf numFmtId="0" fontId="27" fillId="0" borderId="9" xfId="20" applyFont="1" applyBorder="1" applyAlignment="1">
      <alignment vertical="top" wrapText="1"/>
    </xf>
    <xf numFmtId="0" fontId="25" fillId="0" borderId="10" xfId="20" applyFont="1" applyBorder="1" applyAlignment="1">
      <alignment vertical="top" wrapText="1"/>
    </xf>
    <xf numFmtId="4" fontId="25" fillId="0" borderId="9" xfId="20" applyNumberFormat="1" applyFont="1" applyBorder="1" applyAlignment="1">
      <alignment horizontal="center" vertical="center" wrapText="1"/>
    </xf>
    <xf numFmtId="0" fontId="36" fillId="0" borderId="8" xfId="20" applyFont="1" applyBorder="1" applyAlignment="1">
      <alignment horizontal="center" vertical="center" wrapText="1"/>
    </xf>
    <xf numFmtId="0" fontId="25" fillId="0" borderId="9" xfId="20" applyFont="1" applyBorder="1" applyAlignment="1">
      <alignment horizontal="justify" vertical="top" wrapText="1"/>
    </xf>
    <xf numFmtId="0" fontId="27" fillId="13" borderId="9" xfId="20" applyFont="1" applyFill="1" applyBorder="1" applyAlignment="1">
      <alignment horizontal="justify" vertical="top" wrapText="1"/>
    </xf>
    <xf numFmtId="0" fontId="25" fillId="9" borderId="9" xfId="20" applyFont="1" applyFill="1" applyBorder="1" applyAlignment="1">
      <alignment vertical="top" wrapText="1"/>
    </xf>
    <xf numFmtId="0" fontId="27" fillId="9" borderId="9" xfId="20" applyFont="1" applyFill="1" applyBorder="1" applyAlignment="1">
      <alignment vertical="top" wrapText="1"/>
    </xf>
    <xf numFmtId="0" fontId="27" fillId="9" borderId="9" xfId="20" applyFont="1" applyFill="1" applyBorder="1" applyAlignment="1">
      <alignment horizontal="right" vertical="top" wrapText="1"/>
    </xf>
    <xf numFmtId="0" fontId="27" fillId="9" borderId="9" xfId="20" applyFont="1" applyFill="1" applyBorder="1" applyAlignment="1">
      <alignment horizontal="justify" vertical="top" wrapText="1"/>
    </xf>
    <xf numFmtId="0" fontId="25" fillId="0" borderId="9" xfId="20" applyFont="1" applyBorder="1" applyAlignment="1">
      <alignment vertical="top" wrapText="1"/>
    </xf>
    <xf numFmtId="172" fontId="37" fillId="0" borderId="9" xfId="20" applyNumberFormat="1" applyFont="1" applyBorder="1" applyAlignment="1">
      <alignment horizontal="center" vertical="center" wrapText="1"/>
    </xf>
    <xf numFmtId="0" fontId="25" fillId="13" borderId="9" xfId="20" applyFont="1" applyFill="1" applyBorder="1" applyAlignment="1">
      <alignment vertical="top" wrapText="1"/>
    </xf>
    <xf numFmtId="172" fontId="9" fillId="0" borderId="9" xfId="20" applyNumberFormat="1" applyFont="1" applyBorder="1" applyAlignment="1">
      <alignment horizontal="center" vertical="center" wrapText="1"/>
    </xf>
    <xf numFmtId="0" fontId="9" fillId="0" borderId="10" xfId="20" applyFont="1" applyBorder="1" applyAlignment="1">
      <alignment horizontal="center" vertical="center" wrapText="1"/>
    </xf>
    <xf numFmtId="172" fontId="10" fillId="0" borderId="9" xfId="20" applyNumberFormat="1" applyFont="1" applyBorder="1" applyAlignment="1">
      <alignment horizontal="center" vertical="center" wrapText="1"/>
    </xf>
    <xf numFmtId="172" fontId="10" fillId="0" borderId="10" xfId="20" applyNumberFormat="1" applyFont="1" applyBorder="1" applyAlignment="1">
      <alignment horizontal="center" vertical="center" wrapText="1"/>
    </xf>
    <xf numFmtId="0" fontId="39" fillId="0" borderId="0" xfId="22" applyFont="1"/>
    <xf numFmtId="0" fontId="38" fillId="0" borderId="9" xfId="22" applyFont="1" applyBorder="1" applyAlignment="1">
      <alignment horizontal="center" vertical="center" wrapText="1"/>
    </xf>
    <xf numFmtId="0" fontId="40" fillId="0" borderId="9" xfId="22" applyFont="1" applyBorder="1" applyAlignment="1">
      <alignment horizontal="center" vertical="center" wrapText="1"/>
    </xf>
    <xf numFmtId="0" fontId="39" fillId="0" borderId="9" xfId="22" applyFont="1" applyBorder="1" applyAlignment="1">
      <alignment horizontal="center" vertical="center" wrapText="1"/>
    </xf>
    <xf numFmtId="0" fontId="31" fillId="0" borderId="9" xfId="22" applyFont="1" applyBorder="1" applyAlignment="1">
      <alignment horizontal="center"/>
    </xf>
    <xf numFmtId="0" fontId="14" fillId="0" borderId="11" xfId="22" applyFont="1" applyBorder="1" applyAlignment="1">
      <alignment horizontal="left" vertical="center"/>
    </xf>
    <xf numFmtId="0" fontId="14" fillId="0" borderId="12" xfId="22" applyFont="1" applyBorder="1" applyAlignment="1">
      <alignment horizontal="left" vertical="center"/>
    </xf>
    <xf numFmtId="0" fontId="29" fillId="0" borderId="9" xfId="22" applyFont="1" applyBorder="1" applyAlignment="1">
      <alignment horizontal="left" vertical="center" wrapText="1"/>
    </xf>
    <xf numFmtId="4" fontId="29" fillId="0" borderId="9" xfId="22" applyNumberFormat="1" applyFont="1" applyBorder="1" applyAlignment="1">
      <alignment horizontal="center" vertical="center" wrapText="1"/>
    </xf>
    <xf numFmtId="0" fontId="29" fillId="0" borderId="9" xfId="22" applyFont="1" applyBorder="1"/>
    <xf numFmtId="0" fontId="14" fillId="0" borderId="9" xfId="22" applyFont="1" applyBorder="1" applyAlignment="1">
      <alignment horizontal="left" vertical="center" wrapText="1"/>
    </xf>
    <xf numFmtId="4" fontId="14" fillId="0" borderId="9" xfId="22" applyNumberFormat="1" applyFont="1" applyBorder="1" applyAlignment="1">
      <alignment horizontal="center" vertical="center" wrapText="1"/>
    </xf>
    <xf numFmtId="0" fontId="14" fillId="0" borderId="9" xfId="22" applyFont="1" applyBorder="1"/>
    <xf numFmtId="166" fontId="29" fillId="0" borderId="9" xfId="20" applyNumberFormat="1" applyFont="1" applyBorder="1" applyAlignment="1">
      <alignment vertical="center" wrapText="1"/>
    </xf>
    <xf numFmtId="172" fontId="14" fillId="0" borderId="9" xfId="22" applyNumberFormat="1" applyFont="1" applyBorder="1" applyAlignment="1">
      <alignment horizontal="center" vertical="center" wrapText="1"/>
    </xf>
    <xf numFmtId="0" fontId="14" fillId="13" borderId="9" xfId="22" applyFont="1" applyFill="1" applyBorder="1" applyAlignment="1">
      <alignment horizontal="left" vertical="center" wrapText="1"/>
    </xf>
    <xf numFmtId="0" fontId="29" fillId="9" borderId="9" xfId="22" applyFont="1" applyFill="1" applyBorder="1" applyAlignment="1">
      <alignment horizontal="left" vertical="center" wrapText="1"/>
    </xf>
    <xf numFmtId="0" fontId="14" fillId="9" borderId="9" xfId="22" applyFont="1" applyFill="1" applyBorder="1" applyAlignment="1">
      <alignment horizontal="left" vertical="center" wrapText="1"/>
    </xf>
    <xf numFmtId="0" fontId="41" fillId="0" borderId="9" xfId="22" applyFont="1" applyBorder="1"/>
    <xf numFmtId="0" fontId="29" fillId="0" borderId="11" xfId="22" applyFont="1" applyBorder="1" applyAlignment="1">
      <alignment horizontal="left" vertical="center"/>
    </xf>
    <xf numFmtId="0" fontId="29" fillId="0" borderId="12" xfId="22" applyFont="1" applyBorder="1" applyAlignment="1">
      <alignment horizontal="left" vertical="center"/>
    </xf>
    <xf numFmtId="0" fontId="29" fillId="0" borderId="9" xfId="22" applyFont="1" applyBorder="1" applyAlignment="1">
      <alignment horizontal="left" vertical="top" wrapText="1"/>
    </xf>
    <xf numFmtId="0" fontId="14" fillId="0" borderId="9" xfId="22" applyFont="1" applyBorder="1" applyAlignment="1">
      <alignment horizontal="right" vertical="center" wrapText="1"/>
    </xf>
    <xf numFmtId="0" fontId="14" fillId="0" borderId="2" xfId="22" applyFont="1" applyBorder="1"/>
    <xf numFmtId="0" fontId="14" fillId="9" borderId="9" xfId="22" applyFont="1" applyFill="1" applyBorder="1" applyAlignment="1">
      <alignment horizontal="right" vertical="center" wrapText="1"/>
    </xf>
    <xf numFmtId="0" fontId="29" fillId="13" borderId="9" xfId="22" applyFont="1" applyFill="1" applyBorder="1" applyAlignment="1">
      <alignment horizontal="left" wrapText="1"/>
    </xf>
    <xf numFmtId="0" fontId="14" fillId="0" borderId="9" xfId="22" applyFont="1" applyBorder="1" applyAlignment="1">
      <alignment horizontal="left" wrapText="1"/>
    </xf>
    <xf numFmtId="0" fontId="42" fillId="0" borderId="0" xfId="20" applyFont="1"/>
    <xf numFmtId="0" fontId="43" fillId="0" borderId="9" xfId="20" applyFont="1" applyBorder="1" applyAlignment="1">
      <alignment horizontal="center"/>
    </xf>
    <xf numFmtId="0" fontId="44" fillId="0" borderId="9" xfId="20" applyFont="1" applyBorder="1" applyAlignment="1">
      <alignment horizontal="center"/>
    </xf>
    <xf numFmtId="0" fontId="31" fillId="0" borderId="0" xfId="23" applyFont="1"/>
    <xf numFmtId="0" fontId="44" fillId="0" borderId="0" xfId="20" applyFont="1"/>
    <xf numFmtId="0" fontId="31" fillId="0" borderId="0" xfId="23" applyFont="1" applyAlignment="1">
      <alignment horizontal="center"/>
    </xf>
    <xf numFmtId="0" fontId="29" fillId="0" borderId="9" xfId="23" applyFont="1" applyBorder="1" applyAlignment="1">
      <alignment horizontal="center" vertical="center" wrapText="1"/>
    </xf>
    <xf numFmtId="0" fontId="29" fillId="0" borderId="8" xfId="23" applyFont="1" applyBorder="1" applyAlignment="1">
      <alignment horizontal="center" vertical="center" wrapText="1"/>
    </xf>
    <xf numFmtId="0" fontId="14" fillId="0" borderId="9" xfId="23" applyFont="1" applyBorder="1" applyAlignment="1">
      <alignment horizontal="center" vertical="center" wrapText="1"/>
    </xf>
    <xf numFmtId="0" fontId="14" fillId="9" borderId="9" xfId="23" applyFont="1" applyFill="1" applyBorder="1" applyAlignment="1">
      <alignment horizontal="center" vertical="center" wrapText="1"/>
    </xf>
    <xf numFmtId="0" fontId="14" fillId="0" borderId="9" xfId="23" applyFont="1" applyBorder="1"/>
    <xf numFmtId="0" fontId="31" fillId="0" borderId="9" xfId="23" applyFont="1" applyBorder="1"/>
    <xf numFmtId="0" fontId="14" fillId="14" borderId="6" xfId="4" applyFont="1" applyFill="1" applyBorder="1" applyAlignment="1">
      <alignment horizontal="left" vertical="center"/>
    </xf>
    <xf numFmtId="171" fontId="14" fillId="14" borderId="1" xfId="21" applyNumberFormat="1" applyFont="1" applyFill="1" applyBorder="1" applyAlignment="1" applyProtection="1">
      <alignment horizontal="center" vertical="center" wrapText="1"/>
    </xf>
    <xf numFmtId="171" fontId="14" fillId="14" borderId="1" xfId="4" applyNumberFormat="1" applyFont="1" applyFill="1" applyBorder="1" applyAlignment="1">
      <alignment horizontal="center" vertical="center" wrapText="1"/>
    </xf>
    <xf numFmtId="168" fontId="14" fillId="14" borderId="1" xfId="21" applyNumberFormat="1" applyFont="1" applyFill="1" applyBorder="1" applyAlignment="1" applyProtection="1">
      <alignment horizontal="center" vertical="center" wrapText="1"/>
    </xf>
    <xf numFmtId="165" fontId="14" fillId="14" borderId="1" xfId="4" applyNumberFormat="1" applyFont="1" applyFill="1" applyBorder="1" applyAlignment="1">
      <alignment horizontal="center" vertical="center" wrapText="1"/>
    </xf>
    <xf numFmtId="165" fontId="14" fillId="14" borderId="7" xfId="4" applyNumberFormat="1" applyFont="1" applyFill="1" applyBorder="1" applyAlignment="1">
      <alignment horizontal="center" vertical="center" wrapText="1"/>
    </xf>
    <xf numFmtId="165" fontId="14" fillId="14" borderId="9" xfId="4" applyNumberFormat="1" applyFont="1" applyFill="1" applyBorder="1" applyAlignment="1">
      <alignment horizontal="left" vertical="top" wrapText="1"/>
    </xf>
    <xf numFmtId="0" fontId="45" fillId="14" borderId="0" xfId="20" applyFont="1" applyFill="1"/>
    <xf numFmtId="0" fontId="29" fillId="0" borderId="9" xfId="23" applyFont="1" applyBorder="1" applyAlignment="1">
      <alignment horizontal="left" vertical="top" wrapText="1"/>
    </xf>
    <xf numFmtId="4" fontId="29" fillId="0" borderId="9" xfId="23" applyNumberFormat="1" applyFont="1" applyBorder="1" applyAlignment="1">
      <alignment horizontal="center" vertical="top" wrapText="1"/>
    </xf>
    <xf numFmtId="0" fontId="14" fillId="9" borderId="5" xfId="23" applyFont="1" applyFill="1" applyBorder="1" applyAlignment="1">
      <alignment horizontal="left" vertical="top"/>
    </xf>
    <xf numFmtId="0" fontId="14" fillId="0" borderId="9" xfId="23" applyFont="1" applyBorder="1" applyAlignment="1">
      <alignment horizontal="left" vertical="center" wrapText="1"/>
    </xf>
    <xf numFmtId="172" fontId="14" fillId="0" borderId="9" xfId="23" applyNumberFormat="1" applyFont="1" applyBorder="1" applyAlignment="1">
      <alignment horizontal="center" vertical="center" wrapText="1"/>
    </xf>
    <xf numFmtId="4" fontId="14" fillId="0" borderId="9" xfId="23" applyNumberFormat="1" applyFont="1" applyBorder="1" applyAlignment="1">
      <alignment horizontal="center" vertical="center" wrapText="1"/>
    </xf>
    <xf numFmtId="0" fontId="29" fillId="13" borderId="9" xfId="23" applyFont="1" applyFill="1" applyBorder="1" applyAlignment="1">
      <alignment horizontal="left" vertical="center" wrapText="1"/>
    </xf>
    <xf numFmtId="172" fontId="29" fillId="0" borderId="9" xfId="23" applyNumberFormat="1" applyFont="1" applyBorder="1" applyAlignment="1">
      <alignment horizontal="center" vertical="center" wrapText="1"/>
    </xf>
    <xf numFmtId="0" fontId="29" fillId="14" borderId="11" xfId="23" applyFont="1" applyFill="1" applyBorder="1" applyAlignment="1">
      <alignment horizontal="left" vertical="center" wrapText="1"/>
    </xf>
    <xf numFmtId="0" fontId="14" fillId="14" borderId="5" xfId="20" applyFont="1" applyFill="1" applyBorder="1" applyAlignment="1">
      <alignment horizontal="left" vertical="center" wrapText="1"/>
    </xf>
    <xf numFmtId="0" fontId="45" fillId="0" borderId="0" xfId="20" applyFont="1"/>
    <xf numFmtId="0" fontId="29" fillId="0" borderId="9" xfId="23" applyFont="1" applyBorder="1" applyAlignment="1">
      <alignment horizontal="left" vertical="center" wrapText="1"/>
    </xf>
    <xf numFmtId="4" fontId="29" fillId="0" borderId="9" xfId="23" applyNumberFormat="1" applyFont="1" applyBorder="1" applyAlignment="1">
      <alignment horizontal="center" vertical="center" wrapText="1"/>
    </xf>
    <xf numFmtId="4" fontId="14" fillId="0" borderId="9" xfId="20" applyNumberFormat="1" applyFont="1" applyBorder="1" applyAlignment="1">
      <alignment horizontal="center" vertical="center"/>
    </xf>
    <xf numFmtId="0" fontId="14" fillId="9" borderId="5" xfId="23" applyFont="1" applyFill="1" applyBorder="1" applyAlignment="1">
      <alignment horizontal="center"/>
    </xf>
    <xf numFmtId="0" fontId="14" fillId="0" borderId="9" xfId="23" applyFont="1" applyBorder="1" applyAlignment="1">
      <alignment horizontal="right" vertical="top" wrapText="1"/>
    </xf>
    <xf numFmtId="0" fontId="31" fillId="9" borderId="5" xfId="23" applyFont="1" applyFill="1" applyBorder="1" applyAlignment="1">
      <alignment horizontal="center"/>
    </xf>
    <xf numFmtId="0" fontId="14" fillId="0" borderId="9" xfId="23" applyFont="1" applyBorder="1" applyAlignment="1">
      <alignment horizontal="right" vertical="center" wrapText="1"/>
    </xf>
    <xf numFmtId="0" fontId="31" fillId="9" borderId="5" xfId="23" applyFont="1" applyFill="1" applyBorder="1" applyAlignment="1">
      <alignment horizontal="left" vertical="top"/>
    </xf>
    <xf numFmtId="4" fontId="14" fillId="9" borderId="9" xfId="23" applyNumberFormat="1" applyFont="1" applyFill="1" applyBorder="1" applyAlignment="1">
      <alignment horizontal="center" vertical="center" wrapText="1"/>
    </xf>
    <xf numFmtId="0" fontId="14" fillId="9" borderId="5" xfId="23" applyFont="1" applyFill="1" applyBorder="1" applyAlignment="1">
      <alignment horizontal="left" vertical="center"/>
    </xf>
    <xf numFmtId="0" fontId="14" fillId="9" borderId="5" xfId="23" applyFont="1" applyFill="1" applyBorder="1" applyAlignment="1">
      <alignment horizontal="left" vertical="top" wrapText="1"/>
    </xf>
    <xf numFmtId="0" fontId="14" fillId="0" borderId="5" xfId="23" applyFont="1" applyBorder="1" applyAlignment="1">
      <alignment horizontal="left" vertical="center" wrapText="1"/>
    </xf>
    <xf numFmtId="4" fontId="29" fillId="13" borderId="9" xfId="23" applyNumberFormat="1" applyFont="1" applyFill="1" applyBorder="1" applyAlignment="1">
      <alignment horizontal="center" vertical="center" wrapText="1"/>
    </xf>
    <xf numFmtId="0" fontId="29" fillId="14" borderId="9" xfId="23" applyFont="1" applyFill="1" applyBorder="1" applyAlignment="1">
      <alignment horizontal="left" vertical="center" wrapText="1"/>
    </xf>
    <xf numFmtId="4" fontId="29" fillId="14" borderId="9" xfId="23" applyNumberFormat="1" applyFont="1" applyFill="1" applyBorder="1" applyAlignment="1">
      <alignment horizontal="center" vertical="center" wrapText="1"/>
    </xf>
    <xf numFmtId="0" fontId="29" fillId="0" borderId="0" xfId="20" applyFont="1" applyAlignment="1">
      <alignment vertical="center" wrapText="1"/>
    </xf>
    <xf numFmtId="165" fontId="29" fillId="0" borderId="9" xfId="20" applyNumberFormat="1" applyFont="1" applyBorder="1" applyAlignment="1">
      <alignment horizontal="center" vertical="center" wrapText="1"/>
    </xf>
    <xf numFmtId="49" fontId="29" fillId="0" borderId="9" xfId="20" applyNumberFormat="1" applyFont="1" applyBorder="1" applyAlignment="1">
      <alignment horizontal="center" vertical="center" wrapText="1"/>
    </xf>
    <xf numFmtId="49" fontId="29" fillId="9" borderId="9" xfId="20" applyNumberFormat="1" applyFont="1" applyFill="1" applyBorder="1" applyAlignment="1">
      <alignment horizontal="center" vertical="center" wrapText="1"/>
    </xf>
    <xf numFmtId="0" fontId="14" fillId="14" borderId="10" xfId="20" applyFont="1" applyFill="1" applyBorder="1" applyAlignment="1">
      <alignment horizontal="left" vertical="center" wrapText="1"/>
    </xf>
    <xf numFmtId="0" fontId="41" fillId="14" borderId="11" xfId="20" applyFont="1" applyFill="1" applyBorder="1" applyAlignment="1">
      <alignment horizontal="left" vertical="center" wrapText="1"/>
    </xf>
    <xf numFmtId="0" fontId="41" fillId="14" borderId="12" xfId="20" applyFont="1" applyFill="1" applyBorder="1" applyAlignment="1">
      <alignment horizontal="left" vertical="center" wrapText="1"/>
    </xf>
    <xf numFmtId="165" fontId="41" fillId="0" borderId="5" xfId="20" applyNumberFormat="1" applyFont="1" applyBorder="1" applyAlignment="1">
      <alignment horizontal="center" vertical="center" wrapText="1"/>
    </xf>
    <xf numFmtId="0" fontId="29" fillId="0" borderId="9" xfId="20" applyFont="1" applyBorder="1" applyAlignment="1">
      <alignment horizontal="left" vertical="center" wrapText="1"/>
    </xf>
    <xf numFmtId="4" fontId="29" fillId="0" borderId="9" xfId="20" applyNumberFormat="1" applyFont="1" applyBorder="1" applyAlignment="1">
      <alignment horizontal="center" vertical="center"/>
    </xf>
    <xf numFmtId="0" fontId="14" fillId="0" borderId="9" xfId="20" applyFont="1" applyBorder="1" applyAlignment="1">
      <alignment horizontal="left" vertical="center" wrapText="1"/>
    </xf>
    <xf numFmtId="172" fontId="14" fillId="0" borderId="9" xfId="20" applyNumberFormat="1" applyFont="1" applyBorder="1" applyAlignment="1">
      <alignment horizontal="center" vertical="center" wrapText="1"/>
    </xf>
    <xf numFmtId="4" fontId="14" fillId="0" borderId="9" xfId="20" applyNumberFormat="1" applyFont="1" applyBorder="1" applyAlignment="1">
      <alignment horizontal="center" vertical="center" wrapText="1"/>
    </xf>
    <xf numFmtId="0" fontId="14" fillId="0" borderId="9" xfId="20" applyFont="1" applyBorder="1" applyAlignment="1">
      <alignment horizontal="right" vertical="center" wrapText="1"/>
    </xf>
    <xf numFmtId="0" fontId="29" fillId="9" borderId="9" xfId="20" applyFont="1" applyFill="1" applyBorder="1" applyAlignment="1">
      <alignment horizontal="left" vertical="center" wrapText="1"/>
    </xf>
    <xf numFmtId="0" fontId="31" fillId="0" borderId="5" xfId="20" applyFont="1" applyBorder="1" applyAlignment="1">
      <alignment horizontal="left" vertical="center" wrapText="1"/>
    </xf>
    <xf numFmtId="172" fontId="29" fillId="0" borderId="9" xfId="20" applyNumberFormat="1" applyFont="1" applyBorder="1" applyAlignment="1">
      <alignment horizontal="center" vertical="center" wrapText="1"/>
    </xf>
    <xf numFmtId="0" fontId="14" fillId="0" borderId="8" xfId="20" applyFont="1" applyBorder="1" applyAlignment="1">
      <alignment horizontal="center" vertical="center"/>
    </xf>
    <xf numFmtId="0" fontId="29" fillId="0" borderId="9" xfId="20" applyFont="1" applyBorder="1" applyAlignment="1">
      <alignment horizontal="center"/>
    </xf>
    <xf numFmtId="0" fontId="29" fillId="0" borderId="0" xfId="22" applyFont="1" applyAlignment="1">
      <alignment vertical="center"/>
    </xf>
    <xf numFmtId="0" fontId="14" fillId="0" borderId="0" xfId="22" applyFont="1"/>
    <xf numFmtId="0" fontId="47" fillId="0" borderId="0" xfId="20" applyFont="1"/>
    <xf numFmtId="0" fontId="14" fillId="9" borderId="0" xfId="22" applyFont="1" applyFill="1"/>
    <xf numFmtId="0" fontId="14" fillId="0" borderId="0" xfId="22" applyFont="1" applyAlignment="1">
      <alignment horizontal="center"/>
    </xf>
    <xf numFmtId="0" fontId="14" fillId="0" borderId="9" xfId="22" applyFont="1" applyBorder="1" applyAlignment="1">
      <alignment horizontal="center" wrapText="1"/>
    </xf>
    <xf numFmtId="0" fontId="29" fillId="9" borderId="9" xfId="22" applyFont="1" applyFill="1" applyBorder="1" applyAlignment="1">
      <alignment horizontal="center" vertical="center" wrapText="1"/>
    </xf>
    <xf numFmtId="0" fontId="14" fillId="0" borderId="9" xfId="22" applyFont="1" applyBorder="1" applyAlignment="1">
      <alignment horizontal="center" vertical="center" wrapText="1"/>
    </xf>
    <xf numFmtId="0" fontId="14" fillId="9" borderId="9" xfId="22" applyFont="1" applyFill="1" applyBorder="1" applyAlignment="1">
      <alignment horizontal="center" vertical="center" wrapText="1"/>
    </xf>
    <xf numFmtId="0" fontId="14" fillId="0" borderId="8" xfId="22" applyFont="1" applyBorder="1" applyAlignment="1">
      <alignment horizontal="center" vertical="center" wrapText="1"/>
    </xf>
    <xf numFmtId="0" fontId="14" fillId="9" borderId="8" xfId="22" applyFont="1" applyFill="1" applyBorder="1" applyAlignment="1">
      <alignment horizontal="center" vertical="center" wrapText="1"/>
    </xf>
    <xf numFmtId="0" fontId="14" fillId="14" borderId="9" xfId="22" applyFont="1" applyFill="1" applyBorder="1" applyAlignment="1">
      <alignment horizontal="center" wrapText="1"/>
    </xf>
    <xf numFmtId="0" fontId="14" fillId="14" borderId="2" xfId="22" applyFont="1" applyFill="1" applyBorder="1" applyAlignment="1">
      <alignment horizontal="center" wrapText="1"/>
    </xf>
    <xf numFmtId="0" fontId="14" fillId="0" borderId="9" xfId="22" applyFont="1" applyBorder="1" applyAlignment="1">
      <alignment horizontal="left" vertical="center"/>
    </xf>
    <xf numFmtId="4" fontId="14" fillId="0" borderId="10" xfId="22" applyNumberFormat="1" applyFont="1" applyBorder="1" applyAlignment="1">
      <alignment horizontal="center" vertical="center" wrapText="1"/>
    </xf>
    <xf numFmtId="4" fontId="14" fillId="9" borderId="10" xfId="22" applyNumberFormat="1" applyFont="1" applyFill="1" applyBorder="1" applyAlignment="1">
      <alignment horizontal="center" vertical="center" wrapText="1"/>
    </xf>
    <xf numFmtId="0" fontId="29" fillId="0" borderId="5" xfId="22" applyFont="1" applyBorder="1" applyAlignment="1">
      <alignment horizontal="left" vertical="center" wrapText="1"/>
    </xf>
    <xf numFmtId="4" fontId="14" fillId="9" borderId="9" xfId="22" applyNumberFormat="1" applyFont="1" applyFill="1" applyBorder="1" applyAlignment="1">
      <alignment horizontal="center" vertical="center" wrapText="1"/>
    </xf>
    <xf numFmtId="4" fontId="29" fillId="14" borderId="9" xfId="22" applyNumberFormat="1" applyFont="1" applyFill="1" applyBorder="1" applyAlignment="1">
      <alignment horizontal="center" vertical="center" wrapText="1"/>
    </xf>
    <xf numFmtId="0" fontId="48" fillId="0" borderId="0" xfId="24"/>
    <xf numFmtId="0" fontId="0" fillId="0" borderId="0" xfId="0" applyProtection="1"/>
    <xf numFmtId="165" fontId="10" fillId="0" borderId="1" xfId="0" applyNumberFormat="1" applyFont="1" applyBorder="1" applyAlignment="1" applyProtection="1">
      <alignment horizontal="right" vertical="center" wrapText="1"/>
    </xf>
    <xf numFmtId="0" fontId="9" fillId="0" borderId="8" xfId="0" applyFont="1" applyBorder="1" applyAlignment="1" applyProtection="1">
      <alignment horizontal="left" vertical="center" wrapText="1"/>
    </xf>
    <xf numFmtId="0" fontId="9" fillId="0" borderId="9" xfId="0" applyFont="1" applyBorder="1" applyAlignment="1" applyProtection="1">
      <alignment horizontal="center" vertical="center" wrapText="1"/>
    </xf>
    <xf numFmtId="14" fontId="9" fillId="0" borderId="9" xfId="0" applyNumberFormat="1" applyFont="1" applyBorder="1" applyAlignment="1" applyProtection="1">
      <alignment horizontal="center" vertical="center" wrapText="1"/>
    </xf>
    <xf numFmtId="49" fontId="9" fillId="0" borderId="9" xfId="0" applyNumberFormat="1" applyFont="1" applyBorder="1" applyAlignment="1" applyProtection="1">
      <alignment horizontal="center" vertical="center" wrapText="1"/>
    </xf>
    <xf numFmtId="166" fontId="10" fillId="0" borderId="9" xfId="0" applyNumberFormat="1" applyFont="1" applyBorder="1" applyAlignment="1" applyProtection="1">
      <alignment horizontal="center" vertical="center" wrapText="1"/>
    </xf>
    <xf numFmtId="166" fontId="10" fillId="0" borderId="9" xfId="0" applyNumberFormat="1" applyFont="1" applyBorder="1" applyAlignment="1" applyProtection="1">
      <alignment horizontal="center" vertical="top" wrapText="1"/>
    </xf>
    <xf numFmtId="164" fontId="10" fillId="0" borderId="9" xfId="1" applyFont="1" applyFill="1" applyBorder="1" applyAlignment="1" applyProtection="1">
      <alignment vertical="center" wrapText="1"/>
    </xf>
    <xf numFmtId="166" fontId="10" fillId="0" borderId="10" xfId="0" applyNumberFormat="1" applyFont="1" applyBorder="1" applyAlignment="1" applyProtection="1">
      <alignment vertical="center" wrapText="1"/>
    </xf>
    <xf numFmtId="164" fontId="13" fillId="0" borderId="9" xfId="1" applyFont="1" applyFill="1" applyBorder="1" applyProtection="1"/>
    <xf numFmtId="164" fontId="13" fillId="0" borderId="9" xfId="1" applyFont="1" applyBorder="1" applyProtection="1"/>
    <xf numFmtId="0" fontId="10" fillId="0" borderId="9" xfId="0" applyFont="1" applyBorder="1" applyAlignment="1" applyProtection="1">
      <alignment horizontal="left" wrapText="1"/>
    </xf>
    <xf numFmtId="0" fontId="9" fillId="3" borderId="10" xfId="4" applyFont="1" applyFill="1" applyBorder="1" applyAlignment="1" applyProtection="1">
      <alignment horizontal="left"/>
    </xf>
    <xf numFmtId="0" fontId="9" fillId="3" borderId="9" xfId="4" applyFont="1" applyFill="1" applyBorder="1" applyAlignment="1" applyProtection="1">
      <alignment vertical="center"/>
    </xf>
    <xf numFmtId="0" fontId="9" fillId="2" borderId="9" xfId="0" applyFont="1" applyFill="1" applyBorder="1" applyAlignment="1" applyProtection="1">
      <alignment horizontal="left" wrapText="1"/>
    </xf>
    <xf numFmtId="0" fontId="13" fillId="0" borderId="0" xfId="0" applyFont="1" applyProtection="1"/>
    <xf numFmtId="164" fontId="13" fillId="0" borderId="0" xfId="1" applyFont="1" applyBorder="1" applyProtection="1"/>
    <xf numFmtId="0" fontId="10" fillId="0" borderId="0" xfId="0" applyFont="1" applyAlignment="1" applyProtection="1">
      <alignment wrapText="1"/>
    </xf>
    <xf numFmtId="0" fontId="10" fillId="0" borderId="1" xfId="0" applyFont="1" applyBorder="1" applyAlignment="1" applyProtection="1">
      <alignment horizontal="center" wrapText="1"/>
    </xf>
    <xf numFmtId="0" fontId="10" fillId="0" borderId="0" xfId="0" applyFont="1" applyAlignment="1" applyProtection="1">
      <alignment horizontal="center" wrapText="1"/>
    </xf>
    <xf numFmtId="0" fontId="14" fillId="0" borderId="0" xfId="0" applyFont="1" applyAlignment="1" applyProtection="1">
      <alignment horizontal="center" vertical="top" wrapText="1"/>
    </xf>
    <xf numFmtId="0" fontId="14" fillId="0" borderId="0" xfId="0" applyFont="1" applyAlignment="1" applyProtection="1">
      <alignment vertical="top" wrapText="1"/>
    </xf>
    <xf numFmtId="0" fontId="10" fillId="0" borderId="0" xfId="0" applyFont="1" applyAlignment="1" applyProtection="1">
      <alignment horizontal="left" vertical="top" wrapText="1"/>
    </xf>
    <xf numFmtId="164" fontId="10" fillId="0" borderId="9" xfId="1" applyFont="1" applyFill="1" applyBorder="1" applyAlignment="1" applyProtection="1">
      <alignment vertical="center" wrapText="1"/>
      <protection locked="0"/>
    </xf>
    <xf numFmtId="164" fontId="13" fillId="0" borderId="9" xfId="1" applyFont="1" applyFill="1" applyBorder="1" applyProtection="1">
      <protection locked="0"/>
    </xf>
    <xf numFmtId="164" fontId="13" fillId="0" borderId="9" xfId="1" applyFont="1" applyBorder="1" applyProtection="1">
      <protection locked="0"/>
    </xf>
    <xf numFmtId="0" fontId="13" fillId="0" borderId="9" xfId="0" applyFont="1" applyBorder="1" applyProtection="1">
      <protection locked="0"/>
    </xf>
    <xf numFmtId="166" fontId="10" fillId="0" borderId="9" xfId="0" applyNumberFormat="1" applyFont="1" applyBorder="1" applyAlignment="1" applyProtection="1">
      <alignment vertical="center" wrapText="1"/>
      <protection locked="0"/>
    </xf>
    <xf numFmtId="0" fontId="0" fillId="0" borderId="9" xfId="0" applyBorder="1" applyProtection="1">
      <protection locked="0"/>
    </xf>
    <xf numFmtId="14" fontId="0" fillId="0" borderId="0" xfId="0" applyNumberFormat="1"/>
    <xf numFmtId="14" fontId="9" fillId="0" borderId="9" xfId="0" applyNumberFormat="1" applyFont="1" applyBorder="1" applyAlignment="1" applyProtection="1">
      <alignment horizontal="center" vertical="center" wrapText="1"/>
      <protection locked="0"/>
    </xf>
    <xf numFmtId="0" fontId="31" fillId="0" borderId="0" xfId="20" applyFont="1" applyAlignment="1" applyProtection="1">
      <alignment horizontal="left" vertical="top" wrapText="1"/>
    </xf>
    <xf numFmtId="0" fontId="31" fillId="0" borderId="0" xfId="20" applyFont="1" applyAlignment="1" applyProtection="1">
      <alignment horizontal="justify" vertical="center" wrapText="1"/>
    </xf>
    <xf numFmtId="0" fontId="31" fillId="0" borderId="0" xfId="20" applyFont="1" applyAlignment="1" applyProtection="1">
      <alignment vertical="center" wrapText="1"/>
    </xf>
    <xf numFmtId="0" fontId="14" fillId="0" borderId="0" xfId="20" applyFont="1" applyAlignment="1" applyProtection="1">
      <alignment vertical="center" wrapText="1"/>
    </xf>
    <xf numFmtId="165" fontId="31" fillId="0" borderId="0" xfId="20" applyNumberFormat="1" applyFont="1" applyAlignment="1" applyProtection="1">
      <alignment vertical="center" wrapText="1"/>
    </xf>
    <xf numFmtId="165" fontId="32" fillId="0" borderId="0" xfId="20" applyNumberFormat="1" applyFont="1" applyAlignment="1" applyProtection="1">
      <alignment horizontal="left" vertical="center" wrapText="1"/>
    </xf>
    <xf numFmtId="0" fontId="11" fillId="0" borderId="0" xfId="20" applyFont="1" applyAlignment="1" applyProtection="1">
      <alignment vertical="center" wrapText="1"/>
    </xf>
    <xf numFmtId="0" fontId="6" fillId="0" borderId="0" xfId="20" applyProtection="1"/>
    <xf numFmtId="165" fontId="33" fillId="0" borderId="0" xfId="20" applyNumberFormat="1" applyFont="1" applyAlignment="1" applyProtection="1">
      <alignment vertical="center" wrapText="1"/>
    </xf>
    <xf numFmtId="165" fontId="33" fillId="0" borderId="1" xfId="20" applyNumberFormat="1" applyFont="1" applyBorder="1" applyAlignment="1" applyProtection="1">
      <alignment vertical="center" wrapText="1"/>
    </xf>
    <xf numFmtId="165" fontId="23" fillId="0" borderId="1" xfId="20" applyNumberFormat="1" applyFont="1" applyBorder="1" applyAlignment="1" applyProtection="1">
      <alignment horizontal="right" vertical="center" wrapText="1"/>
    </xf>
    <xf numFmtId="165" fontId="32" fillId="0" borderId="1" xfId="20" applyNumberFormat="1" applyFont="1" applyBorder="1" applyAlignment="1" applyProtection="1">
      <alignment horizontal="right" vertical="center" wrapText="1"/>
    </xf>
    <xf numFmtId="0" fontId="9" fillId="0" borderId="9" xfId="20" applyFont="1" applyBorder="1" applyAlignment="1" applyProtection="1">
      <alignment horizontal="center" vertical="center" wrapText="1"/>
    </xf>
    <xf numFmtId="14" fontId="9" fillId="0" borderId="9" xfId="20" applyNumberFormat="1" applyFont="1" applyBorder="1" applyAlignment="1" applyProtection="1">
      <alignment horizontal="center" vertical="center" wrapText="1"/>
    </xf>
    <xf numFmtId="49" fontId="9" fillId="0" borderId="9" xfId="20" applyNumberFormat="1" applyFont="1" applyBorder="1" applyAlignment="1" applyProtection="1">
      <alignment horizontal="center" vertical="center" wrapText="1"/>
    </xf>
    <xf numFmtId="166" fontId="10" fillId="0" borderId="9" xfId="20" applyNumberFormat="1" applyFont="1" applyBorder="1" applyAlignment="1" applyProtection="1">
      <alignment horizontal="left" vertical="top" wrapText="1"/>
    </xf>
    <xf numFmtId="166" fontId="10" fillId="0" borderId="9" xfId="20" applyNumberFormat="1" applyFont="1" applyBorder="1" applyAlignment="1" applyProtection="1">
      <alignment horizontal="center" vertical="center" wrapText="1"/>
    </xf>
    <xf numFmtId="166" fontId="11" fillId="13" borderId="9" xfId="20" applyNumberFormat="1" applyFont="1" applyFill="1" applyBorder="1" applyAlignment="1" applyProtection="1">
      <alignment horizontal="center" vertical="center" wrapText="1"/>
    </xf>
    <xf numFmtId="0" fontId="10" fillId="14" borderId="10" xfId="20" applyFont="1" applyFill="1" applyBorder="1" applyAlignment="1" applyProtection="1">
      <alignment horizontal="left" vertical="top" wrapText="1"/>
    </xf>
    <xf numFmtId="169" fontId="10" fillId="14" borderId="11" xfId="20" applyNumberFormat="1" applyFont="1" applyFill="1" applyBorder="1" applyAlignment="1" applyProtection="1">
      <alignment horizontal="center"/>
    </xf>
    <xf numFmtId="169" fontId="10" fillId="14" borderId="12" xfId="20" applyNumberFormat="1" applyFont="1" applyFill="1" applyBorder="1" applyAlignment="1" applyProtection="1">
      <alignment horizontal="center"/>
    </xf>
    <xf numFmtId="0" fontId="10" fillId="14" borderId="9" xfId="20" applyFont="1" applyFill="1" applyBorder="1" applyAlignment="1" applyProtection="1">
      <alignment vertical="center" wrapText="1"/>
    </xf>
    <xf numFmtId="0" fontId="11" fillId="0" borderId="9" xfId="20" applyFont="1" applyBorder="1" applyAlignment="1" applyProtection="1">
      <alignment vertical="center" wrapText="1"/>
    </xf>
    <xf numFmtId="0" fontId="9" fillId="0" borderId="9" xfId="20" applyFont="1" applyBorder="1" applyAlignment="1" applyProtection="1">
      <alignment horizontal="left" vertical="top" wrapText="1"/>
    </xf>
    <xf numFmtId="169" fontId="9" fillId="0" borderId="9" xfId="20" applyNumberFormat="1" applyFont="1" applyBorder="1" applyAlignment="1" applyProtection="1">
      <alignment horizontal="center"/>
    </xf>
    <xf numFmtId="0" fontId="17" fillId="0" borderId="9" xfId="20" applyFont="1" applyBorder="1" applyAlignment="1" applyProtection="1">
      <alignment vertical="center" wrapText="1"/>
    </xf>
    <xf numFmtId="0" fontId="19" fillId="0" borderId="0" xfId="20" applyFont="1" applyProtection="1"/>
    <xf numFmtId="0" fontId="10" fillId="0" borderId="9" xfId="20" applyFont="1" applyBorder="1" applyAlignment="1" applyProtection="1">
      <alignment horizontal="left" vertical="top" wrapText="1"/>
    </xf>
    <xf numFmtId="169" fontId="10" fillId="0" borderId="9" xfId="20" applyNumberFormat="1" applyFont="1" applyBorder="1" applyAlignment="1" applyProtection="1">
      <alignment horizontal="center"/>
    </xf>
    <xf numFmtId="0" fontId="10" fillId="0" borderId="9" xfId="20" applyFont="1" applyBorder="1" applyAlignment="1" applyProtection="1">
      <alignment vertical="center" wrapText="1"/>
    </xf>
    <xf numFmtId="0" fontId="9" fillId="0" borderId="9" xfId="20" applyFont="1" applyBorder="1" applyAlignment="1" applyProtection="1">
      <alignment vertical="center" wrapText="1"/>
    </xf>
    <xf numFmtId="0" fontId="10" fillId="0" borderId="9" xfId="20" applyFont="1" applyBorder="1" applyAlignment="1" applyProtection="1">
      <alignment horizontal="justify" vertical="center" wrapText="1"/>
    </xf>
    <xf numFmtId="0" fontId="10" fillId="9" borderId="9" xfId="4" applyFont="1" applyFill="1" applyBorder="1" applyAlignment="1" applyProtection="1">
      <alignment horizontal="left" vertical="top"/>
    </xf>
    <xf numFmtId="169" fontId="10" fillId="0" borderId="9" xfId="3" applyNumberFormat="1" applyFont="1" applyFill="1" applyBorder="1" applyAlignment="1" applyProtection="1">
      <alignment horizontal="center" vertical="center"/>
    </xf>
    <xf numFmtId="0" fontId="9" fillId="9" borderId="9" xfId="20" applyFont="1" applyFill="1" applyBorder="1" applyAlignment="1" applyProtection="1">
      <alignment horizontal="left" vertical="top" wrapText="1"/>
    </xf>
    <xf numFmtId="169" fontId="9" fillId="0" borderId="9" xfId="20" applyNumberFormat="1" applyFont="1" applyBorder="1" applyAlignment="1" applyProtection="1">
      <alignment horizontal="center" vertical="center"/>
    </xf>
    <xf numFmtId="169" fontId="9" fillId="0" borderId="9" xfId="3" applyNumberFormat="1" applyFont="1" applyFill="1" applyBorder="1" applyAlignment="1" applyProtection="1">
      <alignment horizontal="center" vertical="center"/>
    </xf>
    <xf numFmtId="0" fontId="10" fillId="9" borderId="9" xfId="20" applyFont="1" applyFill="1" applyBorder="1" applyAlignment="1" applyProtection="1">
      <alignment horizontal="left" vertical="top" wrapText="1"/>
    </xf>
    <xf numFmtId="169" fontId="10" fillId="0" borderId="9" xfId="3" applyNumberFormat="1" applyFont="1" applyFill="1" applyBorder="1" applyAlignment="1" applyProtection="1">
      <alignment horizontal="center"/>
    </xf>
    <xf numFmtId="169" fontId="10" fillId="13" borderId="9" xfId="20" applyNumberFormat="1" applyFont="1" applyFill="1" applyBorder="1" applyAlignment="1" applyProtection="1">
      <alignment horizontal="center"/>
    </xf>
    <xf numFmtId="0" fontId="10" fillId="14" borderId="6" xfId="4" applyFont="1" applyFill="1" applyBorder="1" applyAlignment="1" applyProtection="1">
      <alignment horizontal="left" vertical="top"/>
    </xf>
    <xf numFmtId="171" fontId="11" fillId="14" borderId="1" xfId="4" applyNumberFormat="1" applyFont="1" applyFill="1" applyBorder="1" applyAlignment="1" applyProtection="1">
      <alignment horizontal="center" vertical="center" wrapText="1"/>
    </xf>
    <xf numFmtId="165" fontId="11" fillId="14" borderId="1" xfId="4" applyNumberFormat="1" applyFont="1" applyFill="1" applyBorder="1" applyAlignment="1" applyProtection="1">
      <alignment horizontal="center" vertical="center" wrapText="1"/>
    </xf>
    <xf numFmtId="165" fontId="11" fillId="14" borderId="7" xfId="4" applyNumberFormat="1" applyFont="1" applyFill="1" applyBorder="1" applyAlignment="1" applyProtection="1">
      <alignment horizontal="center" vertical="center" wrapText="1"/>
    </xf>
    <xf numFmtId="165" fontId="13" fillId="14" borderId="9" xfId="4" applyNumberFormat="1" applyFont="1" applyFill="1" applyBorder="1" applyAlignment="1" applyProtection="1">
      <alignment horizontal="left" vertical="top" wrapText="1"/>
    </xf>
    <xf numFmtId="0" fontId="9" fillId="0" borderId="9" xfId="20" applyFont="1" applyBorder="1" applyAlignment="1" applyProtection="1">
      <alignment horizontal="justify" vertical="top" wrapText="1"/>
    </xf>
    <xf numFmtId="0" fontId="10" fillId="0" borderId="9" xfId="20" applyFont="1" applyBorder="1" applyAlignment="1" applyProtection="1">
      <alignment horizontal="right" vertical="top" wrapText="1"/>
    </xf>
    <xf numFmtId="0" fontId="10" fillId="0" borderId="9" xfId="20" applyFont="1" applyBorder="1" applyAlignment="1" applyProtection="1">
      <alignment horizontal="justify" vertical="top" wrapText="1"/>
    </xf>
    <xf numFmtId="0" fontId="10" fillId="0" borderId="0" xfId="20" applyFont="1" applyAlignment="1" applyProtection="1">
      <alignment horizontal="left" vertical="center" wrapText="1"/>
    </xf>
    <xf numFmtId="0" fontId="10" fillId="0" borderId="10" xfId="20" applyFont="1" applyBorder="1" applyAlignment="1" applyProtection="1">
      <alignment horizontal="left" vertical="top"/>
    </xf>
    <xf numFmtId="0" fontId="11" fillId="0" borderId="11" xfId="20" applyFont="1" applyBorder="1" applyAlignment="1" applyProtection="1">
      <alignment horizontal="left" vertical="center" wrapText="1"/>
    </xf>
    <xf numFmtId="0" fontId="11" fillId="0" borderId="12" xfId="20" applyFont="1" applyBorder="1" applyAlignment="1" applyProtection="1">
      <alignment horizontal="left" vertical="center" wrapText="1"/>
    </xf>
    <xf numFmtId="0" fontId="10" fillId="0" borderId="11" xfId="20" applyFont="1" applyBorder="1" applyAlignment="1" applyProtection="1">
      <alignment horizontal="left" vertical="center" wrapText="1"/>
    </xf>
    <xf numFmtId="0" fontId="10" fillId="0" borderId="12" xfId="20" applyFont="1" applyBorder="1" applyAlignment="1" applyProtection="1">
      <alignment horizontal="left" vertical="center" wrapText="1"/>
    </xf>
    <xf numFmtId="171" fontId="10" fillId="14" borderId="1" xfId="4" applyNumberFormat="1" applyFont="1" applyFill="1" applyBorder="1" applyAlignment="1" applyProtection="1">
      <alignment horizontal="center" vertical="center" wrapText="1"/>
    </xf>
    <xf numFmtId="165" fontId="10" fillId="14" borderId="1" xfId="4" applyNumberFormat="1" applyFont="1" applyFill="1" applyBorder="1" applyAlignment="1" applyProtection="1">
      <alignment horizontal="center" vertical="center" wrapText="1"/>
    </xf>
    <xf numFmtId="165" fontId="10" fillId="14" borderId="7" xfId="4" applyNumberFormat="1" applyFont="1" applyFill="1" applyBorder="1" applyAlignment="1" applyProtection="1">
      <alignment horizontal="center" vertical="center" wrapText="1"/>
    </xf>
    <xf numFmtId="165" fontId="10" fillId="14" borderId="9" xfId="4" applyNumberFormat="1" applyFont="1" applyFill="1" applyBorder="1" applyAlignment="1" applyProtection="1">
      <alignment horizontal="left" vertical="top" wrapText="1"/>
    </xf>
    <xf numFmtId="0" fontId="9" fillId="0" borderId="8" xfId="20" applyFont="1" applyBorder="1" applyAlignment="1" applyProtection="1">
      <alignment horizontal="left" vertical="top" wrapText="1"/>
    </xf>
    <xf numFmtId="169" fontId="9" fillId="0" borderId="8" xfId="20" applyNumberFormat="1" applyFont="1" applyBorder="1" applyAlignment="1" applyProtection="1">
      <alignment horizontal="center"/>
    </xf>
    <xf numFmtId="165" fontId="10" fillId="0" borderId="9" xfId="4" applyNumberFormat="1" applyFont="1" applyBorder="1" applyAlignment="1" applyProtection="1">
      <alignment horizontal="center" vertical="center" wrapText="1"/>
    </xf>
    <xf numFmtId="165" fontId="10" fillId="0" borderId="5" xfId="4" applyNumberFormat="1" applyFont="1" applyBorder="1" applyAlignment="1" applyProtection="1">
      <alignment horizontal="left" vertical="top" wrapText="1"/>
    </xf>
    <xf numFmtId="0" fontId="10" fillId="9" borderId="9" xfId="20" applyFont="1" applyFill="1" applyBorder="1" applyAlignment="1" applyProtection="1">
      <alignment horizontal="right" vertical="top" wrapText="1"/>
    </xf>
    <xf numFmtId="0" fontId="10" fillId="14" borderId="10" xfId="4" applyFont="1" applyFill="1" applyBorder="1" applyAlignment="1" applyProtection="1">
      <alignment horizontal="left" vertical="top"/>
    </xf>
    <xf numFmtId="171" fontId="10" fillId="0" borderId="11" xfId="4" applyNumberFormat="1" applyFont="1" applyBorder="1" applyAlignment="1" applyProtection="1">
      <alignment horizontal="center" vertical="center" wrapText="1"/>
    </xf>
    <xf numFmtId="171" fontId="10" fillId="0" borderId="12" xfId="4" applyNumberFormat="1" applyFont="1" applyBorder="1" applyAlignment="1" applyProtection="1">
      <alignment horizontal="center" vertical="center" wrapText="1"/>
    </xf>
    <xf numFmtId="171" fontId="10" fillId="0" borderId="9" xfId="4" applyNumberFormat="1" applyFont="1" applyBorder="1" applyAlignment="1" applyProtection="1">
      <alignment horizontal="center" vertical="center" wrapText="1"/>
    </xf>
    <xf numFmtId="165" fontId="10" fillId="0" borderId="9" xfId="4" applyNumberFormat="1" applyFont="1" applyBorder="1" applyAlignment="1" applyProtection="1">
      <alignment vertical="center" wrapText="1"/>
    </xf>
    <xf numFmtId="0" fontId="22" fillId="13" borderId="9" xfId="4" applyFont="1" applyFill="1" applyBorder="1" applyAlignment="1" applyProtection="1">
      <alignment horizontal="left" vertical="top"/>
    </xf>
    <xf numFmtId="0" fontId="10" fillId="14" borderId="10" xfId="4" applyFont="1" applyFill="1" applyBorder="1" applyAlignment="1" applyProtection="1">
      <alignment horizontal="left" vertical="top" wrapText="1"/>
    </xf>
    <xf numFmtId="0" fontId="6" fillId="0" borderId="0" xfId="20" applyAlignment="1" applyProtection="1">
      <alignment vertical="top"/>
    </xf>
    <xf numFmtId="14" fontId="9" fillId="0" borderId="9" xfId="20" applyNumberFormat="1" applyFont="1" applyBorder="1" applyAlignment="1" applyProtection="1">
      <alignment horizontal="center" vertical="center" wrapText="1"/>
      <protection locked="0"/>
    </xf>
    <xf numFmtId="169" fontId="9" fillId="0" borderId="9" xfId="20" applyNumberFormat="1" applyFont="1" applyBorder="1" applyAlignment="1" applyProtection="1">
      <alignment horizontal="center"/>
      <protection locked="0"/>
    </xf>
    <xf numFmtId="169" fontId="10" fillId="0" borderId="9" xfId="20" applyNumberFormat="1" applyFont="1" applyBorder="1" applyAlignment="1" applyProtection="1">
      <alignment horizontal="center"/>
      <protection locked="0"/>
    </xf>
    <xf numFmtId="169" fontId="9" fillId="0" borderId="9" xfId="20" applyNumberFormat="1" applyFont="1" applyBorder="1" applyAlignment="1" applyProtection="1">
      <alignment horizontal="center" vertical="center"/>
      <protection locked="0"/>
    </xf>
    <xf numFmtId="169" fontId="10" fillId="0" borderId="9" xfId="3" applyNumberFormat="1" applyFont="1" applyFill="1" applyBorder="1" applyAlignment="1" applyProtection="1">
      <alignment horizontal="center"/>
      <protection locked="0"/>
    </xf>
    <xf numFmtId="169" fontId="9" fillId="0" borderId="8" xfId="20" applyNumberFormat="1" applyFont="1" applyBorder="1" applyAlignment="1" applyProtection="1">
      <alignment horizontal="center"/>
      <protection locked="0"/>
    </xf>
    <xf numFmtId="165" fontId="11" fillId="0" borderId="9" xfId="4" applyNumberFormat="1" applyFont="1" applyBorder="1" applyAlignment="1" applyProtection="1">
      <alignment horizontal="center" vertical="center" wrapText="1"/>
      <protection locked="0"/>
    </xf>
    <xf numFmtId="0" fontId="14" fillId="0" borderId="5" xfId="22" applyFont="1" applyBorder="1" applyAlignment="1">
      <alignment horizontal="center"/>
    </xf>
    <xf numFmtId="166" fontId="14" fillId="0" borderId="0" xfId="0" applyNumberFormat="1" applyFont="1" applyFill="1" applyAlignment="1">
      <alignment vertical="center" wrapText="1"/>
    </xf>
    <xf numFmtId="166" fontId="14" fillId="0" borderId="0" xfId="0" applyNumberFormat="1" applyFont="1" applyFill="1" applyBorder="1" applyAlignment="1">
      <alignment vertical="center" wrapText="1"/>
    </xf>
    <xf numFmtId="0" fontId="29" fillId="0" borderId="0" xfId="0" applyFont="1" applyFill="1" applyBorder="1" applyAlignment="1">
      <alignment vertical="center" wrapText="1"/>
    </xf>
    <xf numFmtId="0" fontId="14" fillId="0" borderId="9" xfId="0" applyFont="1" applyFill="1" applyBorder="1" applyAlignment="1">
      <alignment horizontal="left" vertical="center" wrapText="1"/>
    </xf>
    <xf numFmtId="170" fontId="14" fillId="0" borderId="9" xfId="21" applyFont="1" applyFill="1" applyBorder="1" applyAlignment="1" applyProtection="1">
      <alignment vertical="center" wrapText="1"/>
    </xf>
    <xf numFmtId="0" fontId="14" fillId="0" borderId="0" xfId="20" applyFont="1"/>
    <xf numFmtId="0" fontId="50" fillId="9" borderId="9" xfId="4" applyFont="1" applyFill="1" applyBorder="1" applyAlignment="1">
      <alignment vertical="center" wrapText="1"/>
    </xf>
    <xf numFmtId="49" fontId="9" fillId="16" borderId="9" xfId="0" applyNumberFormat="1" applyFont="1" applyFill="1" applyBorder="1" applyAlignment="1">
      <alignment horizontal="center" vertical="center" wrapText="1"/>
    </xf>
    <xf numFmtId="165" fontId="14" fillId="0" borderId="0" xfId="0" applyNumberFormat="1" applyFont="1" applyFill="1" applyAlignment="1">
      <alignment vertical="center" wrapText="1"/>
    </xf>
    <xf numFmtId="0" fontId="14" fillId="0" borderId="0" xfId="0" applyFont="1" applyFill="1" applyAlignment="1">
      <alignment vertical="center" wrapText="1"/>
    </xf>
    <xf numFmtId="0" fontId="14" fillId="9" borderId="0" xfId="0" applyFont="1" applyFill="1" applyAlignment="1">
      <alignment vertical="center" wrapText="1"/>
    </xf>
    <xf numFmtId="0" fontId="14" fillId="0" borderId="0" xfId="0" applyFont="1" applyFill="1" applyAlignment="1">
      <alignment horizontal="justify" vertical="center" wrapText="1"/>
    </xf>
    <xf numFmtId="0" fontId="14" fillId="0" borderId="0" xfId="0" applyFont="1" applyFill="1" applyAlignment="1">
      <alignment horizontal="left" vertical="center" wrapText="1"/>
    </xf>
    <xf numFmtId="0" fontId="14" fillId="0" borderId="0" xfId="0" applyFont="1" applyFill="1" applyAlignment="1">
      <alignment horizontal="center" wrapText="1"/>
    </xf>
    <xf numFmtId="165" fontId="14" fillId="0" borderId="0" xfId="0" applyNumberFormat="1" applyFont="1" applyFill="1" applyAlignment="1">
      <alignment horizontal="center" vertical="center" wrapText="1"/>
    </xf>
    <xf numFmtId="4" fontId="13" fillId="0" borderId="9" xfId="0" applyNumberFormat="1" applyFont="1" applyFill="1" applyBorder="1"/>
    <xf numFmtId="0" fontId="13" fillId="0" borderId="9" xfId="0" applyFont="1" applyBorder="1" applyAlignment="1">
      <alignment wrapText="1"/>
    </xf>
    <xf numFmtId="0" fontId="51" fillId="0" borderId="0" xfId="20" applyFont="1"/>
    <xf numFmtId="0" fontId="51" fillId="0" borderId="1" xfId="20" applyFont="1" applyBorder="1"/>
    <xf numFmtId="0" fontId="10" fillId="16" borderId="9" xfId="0" applyFont="1" applyFill="1" applyBorder="1" applyAlignment="1" applyProtection="1">
      <alignment horizontal="left" wrapText="1"/>
    </xf>
    <xf numFmtId="164" fontId="13" fillId="16" borderId="9" xfId="1" applyFont="1" applyFill="1" applyBorder="1" applyProtection="1"/>
    <xf numFmtId="164" fontId="0" fillId="16" borderId="9" xfId="1" applyFont="1" applyFill="1" applyBorder="1" applyProtection="1"/>
    <xf numFmtId="164" fontId="13" fillId="16" borderId="9" xfId="1" applyFont="1" applyFill="1" applyBorder="1" applyProtection="1">
      <protection locked="0"/>
    </xf>
    <xf numFmtId="164" fontId="0" fillId="2" borderId="9" xfId="1" applyFont="1" applyFill="1" applyBorder="1" applyProtection="1">
      <protection locked="0"/>
    </xf>
    <xf numFmtId="164" fontId="13" fillId="2" borderId="9" xfId="1" applyFont="1" applyFill="1" applyBorder="1" applyProtection="1">
      <protection locked="0"/>
    </xf>
    <xf numFmtId="164" fontId="13" fillId="2" borderId="9" xfId="1" applyFont="1" applyFill="1" applyBorder="1" applyProtection="1"/>
    <xf numFmtId="164" fontId="0" fillId="2" borderId="9" xfId="1" applyFont="1" applyFill="1" applyBorder="1" applyProtection="1"/>
    <xf numFmtId="164" fontId="13" fillId="3" borderId="9" xfId="1" applyFont="1" applyFill="1" applyBorder="1" applyProtection="1"/>
    <xf numFmtId="164" fontId="0" fillId="3" borderId="9" xfId="1" applyFont="1" applyFill="1" applyBorder="1" applyProtection="1"/>
    <xf numFmtId="164" fontId="13" fillId="3" borderId="9" xfId="1" applyFont="1" applyFill="1" applyBorder="1" applyProtection="1">
      <protection locked="0"/>
    </xf>
    <xf numFmtId="164" fontId="0" fillId="3" borderId="9" xfId="1" applyFont="1" applyFill="1" applyBorder="1" applyProtection="1">
      <protection locked="0"/>
    </xf>
    <xf numFmtId="164" fontId="0" fillId="5" borderId="9" xfId="1" applyFont="1" applyFill="1" applyBorder="1" applyProtection="1"/>
    <xf numFmtId="164" fontId="0" fillId="5" borderId="9" xfId="1" applyFont="1" applyFill="1" applyBorder="1" applyProtection="1">
      <protection locked="0"/>
    </xf>
    <xf numFmtId="0" fontId="10" fillId="16" borderId="9" xfId="0" applyFont="1" applyFill="1" applyBorder="1" applyAlignment="1" applyProtection="1">
      <alignment horizontal="left" vertical="center" wrapText="1"/>
    </xf>
    <xf numFmtId="166" fontId="9" fillId="18" borderId="10" xfId="0" applyNumberFormat="1" applyFont="1" applyFill="1" applyBorder="1" applyAlignment="1" applyProtection="1">
      <alignment vertical="center" wrapText="1"/>
    </xf>
    <xf numFmtId="164" fontId="10" fillId="18" borderId="9" xfId="1" applyFont="1" applyFill="1" applyBorder="1" applyAlignment="1" applyProtection="1">
      <alignment vertical="center" wrapText="1"/>
    </xf>
    <xf numFmtId="164" fontId="10" fillId="18" borderId="9" xfId="1" applyFont="1" applyFill="1" applyBorder="1" applyAlignment="1" applyProtection="1">
      <alignment vertical="center" wrapText="1"/>
      <protection locked="0"/>
    </xf>
    <xf numFmtId="0" fontId="9" fillId="18" borderId="9" xfId="0" applyFont="1" applyFill="1" applyBorder="1" applyAlignment="1" applyProtection="1">
      <alignment horizontal="left" wrapText="1"/>
    </xf>
    <xf numFmtId="164" fontId="0" fillId="18" borderId="9" xfId="1" applyFont="1" applyFill="1" applyBorder="1" applyProtection="1"/>
    <xf numFmtId="164" fontId="0" fillId="18" borderId="9" xfId="1" applyFont="1" applyFill="1" applyBorder="1" applyProtection="1">
      <protection locked="0"/>
    </xf>
    <xf numFmtId="0" fontId="9" fillId="16" borderId="9" xfId="0" applyFont="1" applyFill="1" applyBorder="1" applyAlignment="1" applyProtection="1">
      <alignment horizontal="left" wrapText="1"/>
    </xf>
    <xf numFmtId="164" fontId="13" fillId="16" borderId="9" xfId="0" applyNumberFormat="1" applyFont="1" applyFill="1" applyBorder="1" applyProtection="1"/>
    <xf numFmtId="164" fontId="13" fillId="16" borderId="9" xfId="0" applyNumberFormat="1" applyFont="1" applyFill="1" applyBorder="1" applyProtection="1">
      <protection locked="0"/>
    </xf>
    <xf numFmtId="0" fontId="13" fillId="16" borderId="9" xfId="0" applyFont="1" applyFill="1" applyBorder="1" applyProtection="1"/>
    <xf numFmtId="0" fontId="13" fillId="16" borderId="9" xfId="0" applyFont="1" applyFill="1" applyBorder="1" applyProtection="1">
      <protection locked="0"/>
    </xf>
    <xf numFmtId="164" fontId="0" fillId="16" borderId="9" xfId="1" applyFont="1" applyFill="1" applyBorder="1" applyProtection="1">
      <protection locked="0"/>
    </xf>
    <xf numFmtId="164" fontId="20" fillId="16" borderId="9" xfId="1" applyFont="1" applyFill="1" applyBorder="1" applyProtection="1"/>
    <xf numFmtId="164" fontId="20" fillId="16" borderId="9" xfId="1" applyFont="1" applyFill="1" applyBorder="1" applyProtection="1">
      <protection locked="0"/>
    </xf>
    <xf numFmtId="0" fontId="9" fillId="16" borderId="9" xfId="0" applyFont="1" applyFill="1" applyBorder="1" applyAlignment="1" applyProtection="1">
      <alignment horizontal="left" vertical="center" wrapText="1"/>
    </xf>
    <xf numFmtId="0" fontId="9" fillId="12" borderId="9" xfId="0" applyFont="1" applyFill="1" applyBorder="1" applyAlignment="1" applyProtection="1">
      <alignment horizontal="left" wrapText="1"/>
    </xf>
    <xf numFmtId="164" fontId="13" fillId="12" borderId="9" xfId="1" applyFont="1" applyFill="1" applyBorder="1" applyProtection="1"/>
    <xf numFmtId="164" fontId="0" fillId="12" borderId="9" xfId="1" applyFont="1" applyFill="1" applyBorder="1" applyProtection="1"/>
    <xf numFmtId="164" fontId="0" fillId="12" borderId="9" xfId="1" applyFont="1" applyFill="1" applyBorder="1" applyProtection="1">
      <protection locked="0"/>
    </xf>
    <xf numFmtId="164" fontId="13" fillId="12" borderId="9" xfId="1" applyFont="1" applyFill="1" applyBorder="1" applyProtection="1">
      <protection locked="0"/>
    </xf>
    <xf numFmtId="164" fontId="20" fillId="16" borderId="9" xfId="0" applyNumberFormat="1" applyFont="1" applyFill="1" applyBorder="1" applyProtection="1"/>
    <xf numFmtId="164" fontId="20" fillId="16" borderId="9" xfId="0" applyNumberFormat="1" applyFont="1" applyFill="1" applyBorder="1" applyProtection="1">
      <protection locked="0"/>
    </xf>
    <xf numFmtId="0" fontId="13" fillId="0" borderId="0" xfId="0" applyFont="1" applyFill="1" applyProtection="1"/>
    <xf numFmtId="173" fontId="20" fillId="16" borderId="9" xfId="1" applyNumberFormat="1" applyFont="1" applyFill="1" applyBorder="1" applyProtection="1"/>
    <xf numFmtId="173" fontId="13" fillId="16" borderId="9" xfId="1" applyNumberFormat="1" applyFont="1" applyFill="1" applyBorder="1" applyProtection="1"/>
    <xf numFmtId="0" fontId="52" fillId="0" borderId="0" xfId="0" applyFont="1" applyProtection="1"/>
    <xf numFmtId="164" fontId="52" fillId="0" borderId="0" xfId="0" applyNumberFormat="1" applyFont="1" applyProtection="1"/>
    <xf numFmtId="0" fontId="32" fillId="0" borderId="0" xfId="0" applyFont="1" applyProtection="1"/>
    <xf numFmtId="164" fontId="53" fillId="0" borderId="0" xfId="0" applyNumberFormat="1" applyFont="1" applyProtection="1"/>
    <xf numFmtId="0" fontId="54" fillId="0" borderId="9" xfId="0" applyFont="1" applyBorder="1" applyAlignment="1" applyProtection="1">
      <alignment vertical="top" wrapText="1"/>
      <protection locked="0"/>
    </xf>
    <xf numFmtId="0" fontId="54" fillId="0" borderId="9" xfId="0" applyFont="1" applyBorder="1" applyAlignment="1" applyProtection="1">
      <alignment horizontal="left" vertical="top" wrapText="1"/>
      <protection locked="0"/>
    </xf>
    <xf numFmtId="0" fontId="9" fillId="12" borderId="9" xfId="0" applyFont="1" applyFill="1" applyBorder="1" applyAlignment="1" applyProtection="1">
      <alignment horizontal="left" vertical="top" wrapText="1"/>
    </xf>
    <xf numFmtId="0" fontId="10" fillId="2" borderId="9" xfId="0" applyFont="1" applyFill="1" applyBorder="1" applyAlignment="1" applyProtection="1">
      <alignment horizontal="left" vertical="top" wrapText="1"/>
    </xf>
    <xf numFmtId="0" fontId="10" fillId="12" borderId="9" xfId="0" applyFont="1" applyFill="1" applyBorder="1" applyAlignment="1" applyProtection="1">
      <alignment horizontal="left" vertical="top" wrapText="1"/>
    </xf>
    <xf numFmtId="0" fontId="50" fillId="0" borderId="9" xfId="0" applyNumberFormat="1" applyFont="1" applyFill="1" applyBorder="1" applyAlignment="1">
      <alignment vertical="center" wrapText="1"/>
    </xf>
    <xf numFmtId="0" fontId="50" fillId="0" borderId="9" xfId="0" applyNumberFormat="1" applyFont="1" applyFill="1" applyBorder="1" applyAlignment="1">
      <alignment horizontal="left" vertical="center" wrapText="1"/>
    </xf>
    <xf numFmtId="0" fontId="29" fillId="0" borderId="9" xfId="20" applyFont="1" applyFill="1" applyBorder="1" applyAlignment="1">
      <alignment horizontal="left" vertical="center" wrapText="1"/>
    </xf>
    <xf numFmtId="172" fontId="29" fillId="0" borderId="9" xfId="20" applyNumberFormat="1" applyFont="1" applyFill="1" applyBorder="1" applyAlignment="1">
      <alignment horizontal="center" vertical="center" wrapText="1"/>
    </xf>
    <xf numFmtId="4" fontId="29" fillId="0" borderId="9" xfId="20" applyNumberFormat="1" applyFont="1" applyFill="1" applyBorder="1" applyAlignment="1">
      <alignment horizontal="center" vertical="center"/>
    </xf>
    <xf numFmtId="0" fontId="14" fillId="0" borderId="8" xfId="20" applyFont="1" applyFill="1" applyBorder="1" applyAlignment="1">
      <alignment horizontal="center" vertical="center"/>
    </xf>
    <xf numFmtId="0" fontId="44" fillId="0" borderId="0" xfId="20" applyFont="1" applyFill="1"/>
    <xf numFmtId="0" fontId="14" fillId="0" borderId="9" xfId="20" applyFont="1" applyFill="1" applyBorder="1" applyAlignment="1">
      <alignment horizontal="left" vertical="center" wrapText="1"/>
    </xf>
    <xf numFmtId="172" fontId="14" fillId="0" borderId="9" xfId="20" applyNumberFormat="1" applyFont="1" applyFill="1" applyBorder="1" applyAlignment="1">
      <alignment horizontal="center" vertical="center" wrapText="1"/>
    </xf>
    <xf numFmtId="4" fontId="14" fillId="0" borderId="9" xfId="20" applyNumberFormat="1" applyFont="1" applyFill="1" applyBorder="1" applyAlignment="1">
      <alignment horizontal="center" vertical="center"/>
    </xf>
    <xf numFmtId="4" fontId="14" fillId="0" borderId="9" xfId="20" applyNumberFormat="1" applyFont="1" applyFill="1" applyBorder="1" applyAlignment="1">
      <alignment horizontal="center" vertical="center" wrapText="1"/>
    </xf>
    <xf numFmtId="0" fontId="14" fillId="0" borderId="9" xfId="20" applyFont="1" applyFill="1" applyBorder="1" applyAlignment="1">
      <alignment horizontal="right" vertical="center" wrapText="1"/>
    </xf>
    <xf numFmtId="2" fontId="10" fillId="0" borderId="9" xfId="1" applyNumberFormat="1" applyFont="1" applyFill="1" applyBorder="1" applyAlignment="1">
      <alignment vertical="center" wrapText="1"/>
    </xf>
    <xf numFmtId="2" fontId="10" fillId="0" borderId="9" xfId="1" applyNumberFormat="1" applyFont="1" applyFill="1" applyBorder="1"/>
    <xf numFmtId="2" fontId="10" fillId="0" borderId="9" xfId="0" applyNumberFormat="1" applyFont="1" applyBorder="1"/>
    <xf numFmtId="2" fontId="10" fillId="0" borderId="9" xfId="16" applyNumberFormat="1" applyFont="1" applyFill="1" applyBorder="1" applyAlignment="1" applyProtection="1">
      <alignment horizontal="right" vertical="center" wrapText="1"/>
      <protection locked="0"/>
    </xf>
    <xf numFmtId="0" fontId="9" fillId="0" borderId="9" xfId="20" applyFont="1" applyFill="1" applyBorder="1" applyAlignment="1" applyProtection="1">
      <alignment horizontal="left" vertical="top" wrapText="1"/>
    </xf>
    <xf numFmtId="169" fontId="9" fillId="0" borderId="9" xfId="20" applyNumberFormat="1" applyFont="1" applyFill="1" applyBorder="1" applyAlignment="1" applyProtection="1">
      <alignment horizontal="center"/>
    </xf>
    <xf numFmtId="169" fontId="9" fillId="0" borderId="9" xfId="20" applyNumberFormat="1" applyFont="1" applyFill="1" applyBorder="1" applyAlignment="1" applyProtection="1">
      <alignment horizontal="center"/>
      <protection locked="0"/>
    </xf>
    <xf numFmtId="0" fontId="10" fillId="0" borderId="9" xfId="20" applyFont="1" applyFill="1" applyBorder="1" applyAlignment="1" applyProtection="1">
      <alignment horizontal="left" vertical="top" wrapText="1"/>
    </xf>
    <xf numFmtId="169" fontId="10" fillId="0" borderId="9" xfId="20" applyNumberFormat="1" applyFont="1" applyFill="1" applyBorder="1" applyAlignment="1" applyProtection="1">
      <alignment horizontal="center"/>
    </xf>
    <xf numFmtId="169" fontId="10" fillId="0" borderId="9" xfId="20" applyNumberFormat="1" applyFont="1" applyFill="1" applyBorder="1" applyAlignment="1" applyProtection="1">
      <alignment horizontal="center"/>
      <protection locked="0"/>
    </xf>
    <xf numFmtId="4" fontId="25" fillId="0" borderId="9" xfId="20" applyNumberFormat="1" applyFont="1" applyFill="1" applyBorder="1" applyAlignment="1">
      <alignment horizontal="center" vertical="center" wrapText="1"/>
    </xf>
    <xf numFmtId="4" fontId="14" fillId="0" borderId="9" xfId="23" applyNumberFormat="1" applyFont="1" applyFill="1" applyBorder="1" applyAlignment="1">
      <alignment horizontal="center" vertical="center" wrapText="1"/>
    </xf>
    <xf numFmtId="172" fontId="29" fillId="0" borderId="9" xfId="23" applyNumberFormat="1" applyFont="1" applyFill="1" applyBorder="1" applyAlignment="1">
      <alignment horizontal="center" vertical="center" wrapText="1"/>
    </xf>
    <xf numFmtId="43" fontId="14" fillId="0" borderId="9" xfId="22" applyNumberFormat="1" applyFont="1" applyFill="1" applyBorder="1" applyAlignment="1">
      <alignment horizontal="center" vertical="center" wrapText="1"/>
    </xf>
    <xf numFmtId="170" fontId="14" fillId="0" borderId="9" xfId="0" applyNumberFormat="1" applyFont="1" applyFill="1" applyBorder="1" applyAlignment="1">
      <alignment horizontal="center" vertical="center" wrapText="1"/>
    </xf>
    <xf numFmtId="170" fontId="14" fillId="0" borderId="9" xfId="21" applyFont="1" applyFill="1" applyBorder="1" applyAlignment="1" applyProtection="1">
      <alignment horizontal="center" vertical="center" wrapText="1"/>
    </xf>
    <xf numFmtId="4" fontId="14" fillId="19" borderId="9" xfId="22" applyNumberFormat="1" applyFont="1" applyFill="1" applyBorder="1" applyAlignment="1">
      <alignment horizontal="center" vertical="center" wrapText="1"/>
    </xf>
    <xf numFmtId="4" fontId="14" fillId="0" borderId="10" xfId="22" applyNumberFormat="1" applyFont="1" applyFill="1" applyBorder="1" applyAlignment="1">
      <alignment horizontal="center" vertical="center" wrapText="1"/>
    </xf>
    <xf numFmtId="4" fontId="14" fillId="0" borderId="9" xfId="22" applyNumberFormat="1" applyFont="1" applyFill="1" applyBorder="1" applyAlignment="1">
      <alignment horizontal="center" vertical="center" wrapText="1"/>
    </xf>
    <xf numFmtId="0" fontId="20" fillId="0" borderId="0" xfId="0" applyFont="1" applyFill="1"/>
    <xf numFmtId="0" fontId="9" fillId="0" borderId="9" xfId="0" applyFont="1" applyFill="1" applyBorder="1" applyAlignment="1">
      <alignment horizontal="left" vertical="top" wrapText="1"/>
    </xf>
    <xf numFmtId="2" fontId="10" fillId="0" borderId="9" xfId="0" applyNumberFormat="1" applyFont="1" applyFill="1" applyBorder="1" applyAlignment="1">
      <alignment horizontal="right" wrapText="1"/>
    </xf>
    <xf numFmtId="2" fontId="11" fillId="0" borderId="9" xfId="0" applyNumberFormat="1" applyFont="1" applyFill="1" applyBorder="1" applyAlignment="1">
      <alignment horizontal="right" wrapText="1"/>
    </xf>
    <xf numFmtId="0" fontId="13" fillId="0" borderId="9" xfId="0" applyFont="1" applyFill="1" applyBorder="1"/>
    <xf numFmtId="2" fontId="13" fillId="0" borderId="0" xfId="0" applyNumberFormat="1" applyFont="1" applyFill="1"/>
    <xf numFmtId="0" fontId="13" fillId="0" borderId="0" xfId="0" applyFont="1" applyFill="1"/>
    <xf numFmtId="167" fontId="9" fillId="0" borderId="9" xfId="0" applyNumberFormat="1" applyFont="1" applyFill="1" applyBorder="1" applyAlignment="1">
      <alignment horizontal="left" wrapText="1"/>
    </xf>
    <xf numFmtId="168" fontId="9" fillId="0" borderId="9" xfId="0" applyNumberFormat="1" applyFont="1" applyFill="1" applyBorder="1" applyAlignment="1">
      <alignment horizontal="right" wrapText="1"/>
    </xf>
    <xf numFmtId="168" fontId="9" fillId="0" borderId="9" xfId="0" applyNumberFormat="1" applyFont="1" applyFill="1" applyBorder="1" applyAlignment="1">
      <alignment vertical="center" wrapText="1"/>
    </xf>
    <xf numFmtId="167" fontId="10" fillId="0" borderId="9" xfId="0" applyNumberFormat="1" applyFont="1" applyFill="1" applyBorder="1" applyAlignment="1">
      <alignment horizontal="left" wrapText="1"/>
    </xf>
    <xf numFmtId="168" fontId="10" fillId="0" borderId="9" xfId="0" applyNumberFormat="1" applyFont="1" applyFill="1" applyBorder="1" applyAlignment="1">
      <alignment horizontal="right" wrapText="1"/>
    </xf>
    <xf numFmtId="169" fontId="9" fillId="14" borderId="11" xfId="20" applyNumberFormat="1" applyFont="1" applyFill="1" applyBorder="1" applyAlignment="1" applyProtection="1">
      <alignment horizontal="left" wrapText="1"/>
    </xf>
    <xf numFmtId="167" fontId="9" fillId="0" borderId="9" xfId="0" applyNumberFormat="1" applyFont="1" applyFill="1" applyBorder="1" applyAlignment="1">
      <alignment horizontal="left" vertical="top" wrapText="1"/>
    </xf>
    <xf numFmtId="168" fontId="17" fillId="0" borderId="9" xfId="0" applyNumberFormat="1" applyFont="1" applyFill="1" applyBorder="1" applyAlignment="1">
      <alignment horizontal="right" wrapText="1"/>
    </xf>
    <xf numFmtId="168" fontId="9" fillId="0" borderId="9" xfId="0" applyNumberFormat="1" applyFont="1" applyFill="1" applyBorder="1" applyAlignment="1">
      <alignment horizontal="left" wrapText="1"/>
    </xf>
    <xf numFmtId="168" fontId="10" fillId="0" borderId="9" xfId="0" applyNumberFormat="1" applyFont="1" applyFill="1" applyBorder="1" applyAlignment="1">
      <alignment horizontal="left" wrapText="1"/>
    </xf>
    <xf numFmtId="167" fontId="10" fillId="0" borderId="9" xfId="0" applyNumberFormat="1" applyFont="1" applyFill="1" applyBorder="1" applyAlignment="1">
      <alignment horizontal="right" wrapText="1"/>
    </xf>
    <xf numFmtId="167" fontId="11" fillId="0" borderId="9" xfId="0" applyNumberFormat="1" applyFont="1" applyFill="1" applyBorder="1" applyAlignment="1">
      <alignment horizontal="right" wrapText="1"/>
    </xf>
    <xf numFmtId="168" fontId="11" fillId="0" borderId="9" xfId="0" applyNumberFormat="1" applyFont="1" applyFill="1" applyBorder="1" applyAlignment="1">
      <alignment horizontal="right" wrapText="1"/>
    </xf>
    <xf numFmtId="167" fontId="9" fillId="0" borderId="9" xfId="0" applyNumberFormat="1" applyFont="1" applyFill="1" applyBorder="1" applyAlignment="1">
      <alignment horizontal="left" vertical="center" wrapText="1"/>
    </xf>
    <xf numFmtId="167" fontId="9" fillId="0" borderId="9" xfId="0" applyNumberFormat="1" applyFont="1" applyFill="1" applyBorder="1" applyAlignment="1">
      <alignment horizontal="right" wrapText="1"/>
    </xf>
    <xf numFmtId="167" fontId="17" fillId="0" borderId="9" xfId="0" applyNumberFormat="1" applyFont="1" applyFill="1" applyBorder="1" applyAlignment="1">
      <alignment horizontal="right" wrapText="1"/>
    </xf>
    <xf numFmtId="167" fontId="10" fillId="0" borderId="9" xfId="0" applyNumberFormat="1" applyFont="1" applyFill="1" applyBorder="1" applyAlignment="1">
      <alignment horizontal="left" vertical="center" wrapText="1"/>
    </xf>
    <xf numFmtId="167" fontId="9" fillId="21" borderId="9" xfId="0" applyNumberFormat="1" applyFont="1" applyFill="1" applyBorder="1" applyAlignment="1">
      <alignment horizontal="left" wrapText="1"/>
    </xf>
    <xf numFmtId="168" fontId="9" fillId="21" borderId="9" xfId="0" applyNumberFormat="1" applyFont="1" applyFill="1" applyBorder="1" applyAlignment="1">
      <alignment horizontal="right" wrapText="1"/>
    </xf>
    <xf numFmtId="172" fontId="14" fillId="9" borderId="9" xfId="23" applyNumberFormat="1" applyFont="1" applyFill="1" applyBorder="1" applyAlignment="1">
      <alignment horizontal="center" vertical="center" wrapText="1"/>
    </xf>
    <xf numFmtId="4" fontId="29" fillId="9" borderId="9" xfId="23" applyNumberFormat="1" applyFont="1" applyFill="1" applyBorder="1" applyAlignment="1">
      <alignment horizontal="center" vertical="center" wrapText="1"/>
    </xf>
    <xf numFmtId="4" fontId="14" fillId="0" borderId="9" xfId="23" applyNumberFormat="1" applyFont="1" applyBorder="1" applyAlignment="1">
      <alignment horizontal="center" vertical="center"/>
    </xf>
    <xf numFmtId="164" fontId="13" fillId="0" borderId="9" xfId="0" applyNumberFormat="1" applyFont="1" applyFill="1" applyBorder="1"/>
    <xf numFmtId="0" fontId="10" fillId="0" borderId="0" xfId="0" applyFont="1" applyFill="1" applyAlignment="1">
      <alignment horizontal="left" vertical="top" wrapText="1"/>
    </xf>
    <xf numFmtId="0" fontId="10" fillId="0" borderId="0" xfId="0" applyFont="1" applyFill="1" applyAlignment="1">
      <alignment wrapText="1"/>
    </xf>
    <xf numFmtId="0" fontId="16" fillId="0" borderId="0" xfId="0" applyFont="1" applyFill="1"/>
    <xf numFmtId="0" fontId="0" fillId="0" borderId="0" xfId="0" applyFill="1"/>
    <xf numFmtId="4" fontId="16" fillId="0" borderId="0" xfId="0" applyNumberFormat="1" applyFont="1"/>
    <xf numFmtId="0" fontId="23" fillId="0" borderId="0" xfId="4" applyFont="1" applyFill="1" applyAlignment="1">
      <alignment horizontal="right" vertical="center" wrapText="1"/>
    </xf>
    <xf numFmtId="164" fontId="56" fillId="0" borderId="0" xfId="0" applyNumberFormat="1" applyFont="1"/>
    <xf numFmtId="0" fontId="57" fillId="0" borderId="0" xfId="0" applyFont="1"/>
    <xf numFmtId="0" fontId="29" fillId="0" borderId="2" xfId="22" applyFont="1" applyBorder="1" applyAlignment="1">
      <alignment horizontal="center"/>
    </xf>
    <xf numFmtId="0" fontId="29" fillId="0" borderId="5" xfId="22" applyFont="1" applyBorder="1" applyAlignment="1">
      <alignment horizontal="center"/>
    </xf>
    <xf numFmtId="0" fontId="29" fillId="0" borderId="8" xfId="22" applyFont="1" applyBorder="1" applyAlignment="1">
      <alignment horizontal="center"/>
    </xf>
    <xf numFmtId="0" fontId="14" fillId="0" borderId="2" xfId="22" applyFont="1" applyBorder="1" applyAlignment="1">
      <alignment horizontal="left" vertical="center" wrapText="1"/>
    </xf>
    <xf numFmtId="0" fontId="14" fillId="0" borderId="5" xfId="22" applyFont="1" applyBorder="1" applyAlignment="1">
      <alignment horizontal="left" vertical="center"/>
    </xf>
    <xf numFmtId="0" fontId="29" fillId="0" borderId="5" xfId="22" applyFont="1" applyBorder="1" applyAlignment="1">
      <alignment horizontal="left" vertical="top" wrapText="1"/>
    </xf>
    <xf numFmtId="0" fontId="29" fillId="0" borderId="8" xfId="22" applyFont="1" applyBorder="1" applyAlignment="1">
      <alignment horizontal="left" vertical="top" wrapText="1"/>
    </xf>
    <xf numFmtId="0" fontId="14" fillId="0" borderId="2" xfId="22" applyFont="1" applyBorder="1" applyAlignment="1">
      <alignment horizontal="left" wrapText="1"/>
    </xf>
    <xf numFmtId="0" fontId="14" fillId="0" borderId="5" xfId="22" applyFont="1" applyBorder="1" applyAlignment="1">
      <alignment horizontal="left" vertical="center" wrapText="1"/>
    </xf>
    <xf numFmtId="0" fontId="14" fillId="0" borderId="8" xfId="22" applyFont="1" applyBorder="1" applyAlignment="1">
      <alignment horizontal="left" vertical="center" wrapText="1"/>
    </xf>
    <xf numFmtId="0" fontId="14" fillId="0" borderId="2" xfId="22" applyFont="1" applyBorder="1" applyAlignment="1">
      <alignment horizontal="left" vertical="top" wrapText="1"/>
    </xf>
    <xf numFmtId="0" fontId="14" fillId="0" borderId="11" xfId="22" applyFont="1" applyBorder="1" applyAlignment="1">
      <alignment horizontal="left" vertical="center" wrapText="1"/>
    </xf>
    <xf numFmtId="0" fontId="14" fillId="0" borderId="12" xfId="22" applyFont="1" applyBorder="1" applyAlignment="1">
      <alignment horizontal="left" vertical="center" wrapText="1"/>
    </xf>
    <xf numFmtId="0" fontId="29" fillId="0" borderId="5" xfId="22" applyFont="1" applyBorder="1" applyAlignment="1">
      <alignment horizontal="center" vertical="center" wrapText="1"/>
    </xf>
    <xf numFmtId="0" fontId="29" fillId="0" borderId="5" xfId="22" applyFont="1" applyBorder="1" applyAlignment="1">
      <alignment horizontal="left" vertical="center"/>
    </xf>
    <xf numFmtId="0" fontId="14" fillId="0" borderId="5" xfId="22" applyFont="1" applyBorder="1" applyAlignment="1">
      <alignment vertical="top" wrapText="1"/>
    </xf>
    <xf numFmtId="4" fontId="9" fillId="0" borderId="9" xfId="4" applyNumberFormat="1" applyFont="1" applyFill="1" applyBorder="1" applyAlignment="1">
      <alignment horizontal="center" vertical="center" wrapText="1"/>
    </xf>
    <xf numFmtId="4" fontId="10" fillId="0" borderId="9" xfId="4" applyNumberFormat="1" applyFont="1" applyFill="1" applyBorder="1" applyAlignment="1">
      <alignment horizontal="center" vertical="center" wrapText="1"/>
    </xf>
    <xf numFmtId="0" fontId="14" fillId="0" borderId="9" xfId="23" applyFont="1" applyFill="1" applyBorder="1" applyAlignment="1">
      <alignment horizontal="left" vertical="center" wrapText="1"/>
    </xf>
    <xf numFmtId="0" fontId="10" fillId="0" borderId="9" xfId="0" applyFont="1" applyFill="1" applyBorder="1" applyAlignment="1">
      <alignment horizontal="left" wrapText="1"/>
    </xf>
    <xf numFmtId="165" fontId="13" fillId="0" borderId="9" xfId="4" applyNumberFormat="1" applyFont="1" applyFill="1" applyBorder="1" applyAlignment="1" applyProtection="1">
      <alignment vertical="center" wrapText="1"/>
    </xf>
    <xf numFmtId="0" fontId="23" fillId="0" borderId="9" xfId="0" applyFont="1" applyFill="1" applyBorder="1" applyAlignment="1">
      <alignment horizontal="left" vertical="top" wrapText="1"/>
    </xf>
    <xf numFmtId="4" fontId="13" fillId="0" borderId="9" xfId="0" applyNumberFormat="1" applyFont="1" applyBorder="1" applyAlignment="1">
      <alignment horizontal="center"/>
    </xf>
    <xf numFmtId="164" fontId="13" fillId="0" borderId="9" xfId="0" applyNumberFormat="1" applyFont="1" applyBorder="1" applyAlignment="1">
      <alignment horizontal="center"/>
    </xf>
    <xf numFmtId="0" fontId="13" fillId="0" borderId="9" xfId="0" applyFont="1" applyBorder="1" applyAlignment="1">
      <alignment horizontal="center"/>
    </xf>
    <xf numFmtId="169" fontId="13" fillId="0" borderId="0" xfId="0" applyNumberFormat="1" applyFont="1"/>
    <xf numFmtId="0" fontId="13" fillId="22" borderId="9" xfId="0" applyFont="1" applyFill="1" applyBorder="1" applyAlignment="1">
      <alignment wrapText="1"/>
    </xf>
    <xf numFmtId="164" fontId="13" fillId="0" borderId="9" xfId="0" applyNumberFormat="1" applyFont="1" applyBorder="1" applyAlignment="1">
      <alignment horizontal="center" vertical="center"/>
    </xf>
    <xf numFmtId="4" fontId="14" fillId="0" borderId="0" xfId="0" applyNumberFormat="1" applyFont="1" applyFill="1" applyAlignment="1">
      <alignment horizontal="center" wrapText="1"/>
    </xf>
    <xf numFmtId="0" fontId="58" fillId="0" borderId="0" xfId="0" applyFont="1"/>
    <xf numFmtId="0" fontId="10" fillId="0" borderId="1" xfId="0" applyFont="1" applyFill="1" applyBorder="1" applyAlignment="1">
      <alignment horizontal="center" wrapText="1"/>
    </xf>
    <xf numFmtId="0" fontId="14" fillId="0" borderId="0" xfId="0" applyFont="1" applyFill="1" applyAlignment="1">
      <alignment horizontal="center" vertical="top" wrapText="1"/>
    </xf>
    <xf numFmtId="0" fontId="14" fillId="0" borderId="0" xfId="0" applyFont="1" applyFill="1" applyAlignment="1">
      <alignment vertical="top" wrapText="1"/>
    </xf>
    <xf numFmtId="0" fontId="13" fillId="19" borderId="0" xfId="0" applyFont="1" applyFill="1"/>
    <xf numFmtId="4" fontId="59" fillId="0" borderId="0" xfId="0" applyNumberFormat="1" applyFont="1"/>
    <xf numFmtId="0" fontId="58" fillId="0" borderId="0" xfId="0" applyFont="1" applyFill="1" applyAlignment="1">
      <alignment horizontal="center" wrapText="1"/>
    </xf>
    <xf numFmtId="0" fontId="14" fillId="0" borderId="0" xfId="0" applyNumberFormat="1" applyFont="1" applyAlignment="1">
      <alignment horizontal="left" vertical="center" wrapText="1"/>
    </xf>
    <xf numFmtId="174" fontId="10" fillId="0" borderId="9" xfId="1" applyNumberFormat="1" applyFont="1" applyFill="1" applyBorder="1"/>
    <xf numFmtId="174" fontId="13" fillId="0" borderId="9" xfId="1" applyNumberFormat="1" applyFont="1" applyFill="1" applyBorder="1"/>
    <xf numFmtId="174" fontId="13" fillId="0" borderId="9" xfId="1" applyNumberFormat="1" applyFont="1" applyFill="1" applyBorder="1" applyAlignment="1">
      <alignment horizontal="center"/>
    </xf>
    <xf numFmtId="2" fontId="13" fillId="0" borderId="9" xfId="1" applyNumberFormat="1" applyFont="1" applyFill="1" applyBorder="1"/>
    <xf numFmtId="174" fontId="10" fillId="0" borderId="9" xfId="1" applyNumberFormat="1" applyFont="1" applyFill="1" applyBorder="1" applyAlignment="1">
      <alignment vertical="center" wrapText="1"/>
    </xf>
    <xf numFmtId="174" fontId="0" fillId="0" borderId="0" xfId="0" applyNumberFormat="1"/>
    <xf numFmtId="164" fontId="62" fillId="0" borderId="0" xfId="0" applyNumberFormat="1" applyFont="1" applyProtection="1"/>
    <xf numFmtId="0" fontId="11" fillId="0" borderId="9" xfId="0" applyFont="1" applyBorder="1" applyAlignment="1">
      <alignment wrapText="1"/>
    </xf>
    <xf numFmtId="0" fontId="10" fillId="0" borderId="9" xfId="20" applyNumberFormat="1" applyFont="1" applyFill="1" applyBorder="1" applyAlignment="1" applyProtection="1">
      <alignment horizontal="justify" vertical="center"/>
    </xf>
    <xf numFmtId="169" fontId="63" fillId="0" borderId="0" xfId="20" applyNumberFormat="1" applyFont="1" applyProtection="1"/>
    <xf numFmtId="169" fontId="19" fillId="0" borderId="0" xfId="20" applyNumberFormat="1" applyFont="1" applyProtection="1"/>
    <xf numFmtId="4" fontId="64" fillId="0" borderId="0" xfId="0" applyNumberFormat="1" applyFont="1"/>
    <xf numFmtId="0" fontId="65" fillId="0" borderId="0" xfId="0" applyFont="1"/>
    <xf numFmtId="164" fontId="65" fillId="0" borderId="0" xfId="0" applyNumberFormat="1" applyFont="1"/>
    <xf numFmtId="164" fontId="44" fillId="0" borderId="0" xfId="0" applyNumberFormat="1" applyFont="1"/>
    <xf numFmtId="164" fontId="65" fillId="0" borderId="0" xfId="0" applyNumberFormat="1" applyFont="1" applyFill="1"/>
    <xf numFmtId="175" fontId="10" fillId="0" borderId="9" xfId="0" applyNumberFormat="1" applyFont="1" applyBorder="1" applyAlignment="1">
      <alignment vertical="center" wrapText="1"/>
    </xf>
    <xf numFmtId="0" fontId="37" fillId="0" borderId="9" xfId="0" applyNumberFormat="1" applyFont="1" applyFill="1" applyBorder="1" applyAlignment="1">
      <alignment vertical="center" wrapText="1"/>
    </xf>
    <xf numFmtId="0" fontId="66" fillId="0" borderId="0" xfId="0" applyFont="1" applyFill="1"/>
    <xf numFmtId="4" fontId="13" fillId="0" borderId="0" xfId="0" applyNumberFormat="1" applyFont="1" applyFill="1"/>
    <xf numFmtId="164" fontId="13" fillId="9" borderId="9" xfId="0" applyNumberFormat="1" applyFont="1" applyFill="1" applyBorder="1"/>
    <xf numFmtId="0" fontId="36" fillId="0" borderId="9" xfId="4" applyFont="1" applyBorder="1" applyAlignment="1">
      <alignment vertical="center" wrapText="1"/>
    </xf>
    <xf numFmtId="0" fontId="27" fillId="0" borderId="9" xfId="4" applyFont="1" applyFill="1" applyBorder="1" applyAlignment="1">
      <alignment horizontal="left" vertical="center" wrapText="1"/>
    </xf>
    <xf numFmtId="4" fontId="10" fillId="0" borderId="10" xfId="4" applyNumberFormat="1" applyFont="1" applyFill="1" applyBorder="1" applyAlignment="1" applyProtection="1">
      <alignment horizontal="center" vertical="center" wrapText="1"/>
      <protection hidden="1"/>
    </xf>
    <xf numFmtId="0" fontId="24" fillId="0" borderId="9" xfId="4" applyFont="1" applyFill="1" applyBorder="1" applyAlignment="1">
      <alignment vertical="center" wrapText="1"/>
    </xf>
    <xf numFmtId="4" fontId="10" fillId="0" borderId="0" xfId="0" applyNumberFormat="1" applyFont="1" applyFill="1"/>
    <xf numFmtId="4" fontId="16" fillId="0" borderId="0" xfId="0" applyNumberFormat="1" applyFont="1" applyFill="1"/>
    <xf numFmtId="4" fontId="10" fillId="0" borderId="10" xfId="4" applyNumberFormat="1" applyFont="1" applyFill="1" applyBorder="1" applyAlignment="1">
      <alignment horizontal="center" vertical="center" wrapText="1"/>
    </xf>
    <xf numFmtId="0" fontId="9" fillId="0" borderId="9" xfId="4" applyFont="1" applyFill="1" applyBorder="1" applyAlignment="1">
      <alignment horizontal="justify" wrapText="1"/>
    </xf>
    <xf numFmtId="0" fontId="26" fillId="0" borderId="0" xfId="0" applyFont="1" applyFill="1"/>
    <xf numFmtId="0" fontId="30" fillId="0" borderId="9" xfId="4" applyFont="1" applyFill="1" applyBorder="1" applyAlignment="1">
      <alignment vertical="center" wrapText="1"/>
    </xf>
    <xf numFmtId="164" fontId="67" fillId="0" borderId="0" xfId="0" applyNumberFormat="1" applyFont="1"/>
    <xf numFmtId="164" fontId="68" fillId="0" borderId="0" xfId="0" applyNumberFormat="1" applyFont="1"/>
    <xf numFmtId="0" fontId="10" fillId="0" borderId="9" xfId="4" applyFont="1" applyFill="1" applyBorder="1" applyAlignment="1">
      <alignment horizontal="left" vertical="top" wrapText="1"/>
    </xf>
    <xf numFmtId="174" fontId="13" fillId="0" borderId="9" xfId="0" applyNumberFormat="1" applyFont="1" applyFill="1" applyBorder="1"/>
    <xf numFmtId="2" fontId="13" fillId="0" borderId="9" xfId="0" applyNumberFormat="1" applyFont="1" applyFill="1" applyBorder="1" applyAlignment="1">
      <alignment horizontal="center" vertical="center"/>
    </xf>
    <xf numFmtId="164" fontId="10" fillId="9" borderId="9" xfId="1" applyFont="1" applyFill="1" applyBorder="1"/>
    <xf numFmtId="166" fontId="10" fillId="0" borderId="9" xfId="0" applyNumberFormat="1" applyFont="1" applyFill="1" applyBorder="1" applyAlignment="1">
      <alignment horizontal="center" vertical="center" wrapText="1"/>
    </xf>
    <xf numFmtId="169" fontId="10" fillId="0" borderId="9" xfId="0" applyNumberFormat="1" applyFont="1" applyFill="1" applyBorder="1" applyAlignment="1">
      <alignment horizontal="center" vertical="center" wrapText="1"/>
    </xf>
    <xf numFmtId="2" fontId="13" fillId="0" borderId="9" xfId="0" applyNumberFormat="1" applyFont="1" applyFill="1" applyBorder="1"/>
    <xf numFmtId="2" fontId="13" fillId="0" borderId="9" xfId="0" applyNumberFormat="1" applyFont="1" applyFill="1" applyBorder="1" applyAlignment="1">
      <alignment horizontal="center"/>
    </xf>
    <xf numFmtId="164" fontId="69" fillId="0" borderId="9" xfId="0" applyNumberFormat="1" applyFont="1" applyFill="1" applyBorder="1"/>
    <xf numFmtId="0" fontId="61" fillId="0" borderId="0" xfId="0" applyFont="1" applyFill="1" applyAlignment="1">
      <alignment wrapText="1"/>
    </xf>
    <xf numFmtId="0" fontId="10" fillId="9" borderId="0" xfId="0" applyFont="1" applyFill="1" applyAlignment="1">
      <alignment wrapText="1"/>
    </xf>
    <xf numFmtId="0" fontId="10" fillId="9" borderId="1" xfId="0" applyFont="1" applyFill="1" applyBorder="1" applyAlignment="1">
      <alignment horizontal="center" wrapText="1"/>
    </xf>
    <xf numFmtId="0" fontId="10" fillId="9" borderId="0" xfId="0" applyFont="1" applyFill="1" applyAlignment="1">
      <alignment horizontal="center" wrapText="1"/>
    </xf>
    <xf numFmtId="0" fontId="14" fillId="9" borderId="0" xfId="0" applyFont="1" applyFill="1" applyAlignment="1">
      <alignment horizontal="center" vertical="top" wrapText="1"/>
    </xf>
    <xf numFmtId="0" fontId="14" fillId="9" borderId="0" xfId="0" applyFont="1" applyFill="1" applyAlignment="1">
      <alignment vertical="top" wrapText="1"/>
    </xf>
    <xf numFmtId="0" fontId="10" fillId="9" borderId="0" xfId="0" applyFont="1" applyFill="1" applyAlignment="1">
      <alignment horizontal="left" vertical="top" wrapText="1"/>
    </xf>
    <xf numFmtId="0" fontId="15" fillId="9" borderId="0" xfId="0" applyFont="1" applyFill="1"/>
    <xf numFmtId="0" fontId="0" fillId="9" borderId="0" xfId="0" applyFill="1"/>
    <xf numFmtId="0" fontId="13" fillId="0" borderId="9" xfId="0" applyFont="1" applyFill="1" applyBorder="1" applyAlignment="1">
      <alignment vertical="top" wrapText="1"/>
    </xf>
    <xf numFmtId="0" fontId="54" fillId="0" borderId="9" xfId="0" applyFont="1" applyBorder="1" applyAlignment="1">
      <alignment horizontal="justify" vertical="top" wrapText="1"/>
    </xf>
    <xf numFmtId="0" fontId="36" fillId="0" borderId="2" xfId="0" applyFont="1" applyFill="1" applyBorder="1" applyAlignment="1">
      <alignment horizontal="justify" vertical="top" wrapText="1"/>
    </xf>
    <xf numFmtId="169" fontId="10" fillId="0" borderId="9" xfId="0" applyNumberFormat="1" applyFont="1" applyFill="1" applyBorder="1" applyAlignment="1">
      <alignment horizontal="right"/>
    </xf>
    <xf numFmtId="167" fontId="10" fillId="0" borderId="9" xfId="0" applyNumberFormat="1" applyFont="1" applyFill="1" applyBorder="1" applyAlignment="1">
      <alignment horizontal="left" vertical="top" wrapText="1"/>
    </xf>
    <xf numFmtId="168" fontId="9" fillId="0" borderId="9" xfId="0" applyNumberFormat="1" applyFont="1" applyFill="1" applyBorder="1" applyAlignment="1">
      <alignment wrapText="1"/>
    </xf>
    <xf numFmtId="169" fontId="10" fillId="0" borderId="9" xfId="0" applyNumberFormat="1" applyFont="1" applyFill="1" applyBorder="1"/>
    <xf numFmtId="0" fontId="13" fillId="0" borderId="9" xfId="0" applyFont="1" applyFill="1" applyBorder="1" applyAlignment="1">
      <alignment wrapText="1"/>
    </xf>
    <xf numFmtId="169" fontId="13" fillId="0" borderId="0" xfId="0" applyNumberFormat="1" applyFont="1" applyFill="1"/>
    <xf numFmtId="168" fontId="20" fillId="0" borderId="9" xfId="0" applyNumberFormat="1" applyFont="1" applyFill="1" applyBorder="1" applyAlignment="1">
      <alignment horizontal="right" wrapText="1"/>
    </xf>
    <xf numFmtId="168" fontId="13" fillId="0" borderId="9" xfId="0" applyNumberFormat="1" applyFont="1" applyFill="1" applyBorder="1" applyAlignment="1">
      <alignment horizontal="right" wrapText="1"/>
    </xf>
    <xf numFmtId="169" fontId="13" fillId="0" borderId="9" xfId="0" applyNumberFormat="1" applyFont="1" applyFill="1" applyBorder="1" applyAlignment="1">
      <alignment horizontal="right"/>
    </xf>
    <xf numFmtId="169" fontId="13" fillId="0" borderId="9" xfId="0" applyNumberFormat="1" applyFont="1" applyFill="1" applyBorder="1"/>
    <xf numFmtId="167" fontId="20" fillId="0" borderId="9" xfId="0" applyNumberFormat="1" applyFont="1" applyFill="1" applyBorder="1" applyAlignment="1">
      <alignment horizontal="left" wrapText="1"/>
    </xf>
    <xf numFmtId="167" fontId="10" fillId="4" borderId="9" xfId="0" applyNumberFormat="1" applyFont="1" applyFill="1" applyBorder="1" applyAlignment="1">
      <alignment horizontal="left" vertical="top" wrapText="1"/>
    </xf>
    <xf numFmtId="168" fontId="20" fillId="8" borderId="9" xfId="0" applyNumberFormat="1" applyFont="1" applyFill="1" applyBorder="1" applyAlignment="1">
      <alignment horizontal="right" wrapText="1"/>
    </xf>
    <xf numFmtId="168" fontId="13" fillId="8" borderId="9" xfId="0" applyNumberFormat="1" applyFont="1" applyFill="1" applyBorder="1" applyAlignment="1">
      <alignment horizontal="right" wrapText="1"/>
    </xf>
    <xf numFmtId="2" fontId="10" fillId="0" borderId="0" xfId="0" applyNumberFormat="1" applyFont="1"/>
    <xf numFmtId="168" fontId="9" fillId="23" borderId="9" xfId="0" applyNumberFormat="1" applyFont="1" applyFill="1" applyBorder="1" applyAlignment="1">
      <alignment horizontal="right" wrapText="1"/>
    </xf>
    <xf numFmtId="168" fontId="17" fillId="23" borderId="9" xfId="0" applyNumberFormat="1" applyFont="1" applyFill="1" applyBorder="1" applyAlignment="1">
      <alignment horizontal="right" wrapText="1"/>
    </xf>
    <xf numFmtId="168" fontId="10" fillId="23" borderId="9" xfId="0" applyNumberFormat="1" applyFont="1" applyFill="1" applyBorder="1" applyAlignment="1">
      <alignment horizontal="right" wrapText="1"/>
    </xf>
    <xf numFmtId="169" fontId="10" fillId="23" borderId="9" xfId="0" applyNumberFormat="1" applyFont="1" applyFill="1" applyBorder="1" applyAlignment="1">
      <alignment horizontal="right"/>
    </xf>
    <xf numFmtId="169" fontId="10" fillId="23" borderId="9" xfId="0" applyNumberFormat="1" applyFont="1" applyFill="1" applyBorder="1"/>
    <xf numFmtId="168" fontId="9" fillId="23" borderId="9" xfId="0" applyNumberFormat="1" applyFont="1" applyFill="1" applyBorder="1" applyAlignment="1">
      <alignment wrapText="1"/>
    </xf>
    <xf numFmtId="0" fontId="0" fillId="0" borderId="9" xfId="0" applyBorder="1" applyAlignment="1">
      <alignment vertical="top" wrapText="1"/>
    </xf>
    <xf numFmtId="0" fontId="10" fillId="0" borderId="0" xfId="0" applyFont="1" applyFill="1" applyAlignment="1">
      <alignment horizontal="center" wrapText="1"/>
    </xf>
    <xf numFmtId="0" fontId="9" fillId="0" borderId="9" xfId="4" applyFont="1" applyFill="1" applyBorder="1" applyAlignment="1">
      <alignment horizontal="left" vertical="top" wrapText="1"/>
    </xf>
    <xf numFmtId="0" fontId="14" fillId="9" borderId="9" xfId="23" applyFont="1" applyFill="1" applyBorder="1" applyAlignment="1">
      <alignment horizontal="left" vertical="center" wrapText="1"/>
    </xf>
    <xf numFmtId="0" fontId="14" fillId="9" borderId="9" xfId="23" applyFont="1" applyFill="1" applyBorder="1" applyAlignment="1">
      <alignment horizontal="right" vertical="center" wrapText="1"/>
    </xf>
    <xf numFmtId="4" fontId="10" fillId="0" borderId="9" xfId="0" applyNumberFormat="1" applyFont="1" applyFill="1" applyBorder="1" applyAlignment="1">
      <alignment horizontal="left" vertical="center" wrapText="1"/>
    </xf>
    <xf numFmtId="4" fontId="72" fillId="0" borderId="9" xfId="0" applyNumberFormat="1" applyFont="1" applyBorder="1" applyAlignment="1">
      <alignment horizontal="left" vertical="center" wrapText="1"/>
    </xf>
    <xf numFmtId="4" fontId="70" fillId="0" borderId="9" xfId="0" applyNumberFormat="1" applyFont="1" applyBorder="1" applyAlignment="1">
      <alignment horizontal="left" vertical="center" wrapText="1"/>
    </xf>
    <xf numFmtId="4" fontId="54" fillId="0" borderId="9" xfId="0" applyNumberFormat="1" applyFont="1" applyBorder="1" applyAlignment="1">
      <alignment horizontal="left" vertical="center" wrapText="1"/>
    </xf>
    <xf numFmtId="0" fontId="71" fillId="0" borderId="9" xfId="0" applyFont="1" applyBorder="1" applyAlignment="1">
      <alignment horizontal="left" vertical="center" wrapText="1"/>
    </xf>
    <xf numFmtId="0" fontId="36" fillId="8" borderId="9" xfId="4" applyFont="1" applyFill="1" applyBorder="1" applyAlignment="1">
      <alignment vertical="center" wrapText="1"/>
    </xf>
    <xf numFmtId="0" fontId="10" fillId="9" borderId="0" xfId="0" applyFont="1" applyFill="1"/>
    <xf numFmtId="4" fontId="10" fillId="9" borderId="0" xfId="0" applyNumberFormat="1" applyFont="1" applyFill="1"/>
    <xf numFmtId="0" fontId="14" fillId="0" borderId="0" xfId="0" applyNumberFormat="1" applyFont="1" applyFill="1" applyAlignment="1">
      <alignment horizontal="center" vertical="top" wrapText="1"/>
    </xf>
    <xf numFmtId="4" fontId="60" fillId="0" borderId="0" xfId="0" applyNumberFormat="1" applyFont="1" applyFill="1" applyAlignment="1">
      <alignment horizontal="center" vertical="top" wrapText="1"/>
    </xf>
    <xf numFmtId="0" fontId="14" fillId="0" borderId="0" xfId="0" applyNumberFormat="1" applyFont="1" applyFill="1" applyAlignment="1">
      <alignment vertical="center" wrapText="1"/>
    </xf>
    <xf numFmtId="0" fontId="14" fillId="0" borderId="0" xfId="0" applyNumberFormat="1" applyFont="1" applyFill="1" applyAlignment="1">
      <alignment horizontal="left" vertical="center" wrapText="1"/>
    </xf>
    <xf numFmtId="0" fontId="14" fillId="0" borderId="8" xfId="22" applyFont="1" applyBorder="1" applyAlignment="1">
      <alignment horizontal="left" vertical="center"/>
    </xf>
    <xf numFmtId="0" fontId="14" fillId="0" borderId="5" xfId="22" applyFont="1" applyBorder="1" applyAlignment="1">
      <alignment horizontal="left"/>
    </xf>
    <xf numFmtId="0" fontId="14" fillId="0" borderId="8" xfId="22" applyFont="1" applyBorder="1" applyAlignment="1">
      <alignment horizontal="left"/>
    </xf>
    <xf numFmtId="0" fontId="29" fillId="0" borderId="8" xfId="22" applyFont="1" applyBorder="1" applyAlignment="1">
      <alignment horizontal="left" vertical="center"/>
    </xf>
    <xf numFmtId="0" fontId="14" fillId="0" borderId="10" xfId="22" applyFont="1" applyBorder="1" applyAlignment="1">
      <alignment horizontal="left" vertical="center"/>
    </xf>
    <xf numFmtId="167" fontId="73" fillId="10" borderId="9" xfId="0" applyNumberFormat="1" applyFont="1" applyFill="1" applyBorder="1" applyAlignment="1">
      <alignment horizontal="left" wrapText="1"/>
    </xf>
    <xf numFmtId="167" fontId="10" fillId="10" borderId="9" xfId="0" applyNumberFormat="1" applyFont="1" applyFill="1" applyBorder="1" applyAlignment="1">
      <alignment horizontal="left" vertical="top" wrapText="1"/>
    </xf>
    <xf numFmtId="4" fontId="10" fillId="0" borderId="9" xfId="1" applyNumberFormat="1" applyFont="1" applyFill="1" applyBorder="1" applyAlignment="1">
      <alignment vertical="center" wrapText="1"/>
    </xf>
    <xf numFmtId="4" fontId="10" fillId="0" borderId="9" xfId="1" applyNumberFormat="1" applyFont="1" applyFill="1" applyBorder="1"/>
    <xf numFmtId="4" fontId="13" fillId="0" borderId="9" xfId="1" applyNumberFormat="1" applyFont="1" applyFill="1" applyBorder="1"/>
    <xf numFmtId="4" fontId="11" fillId="0" borderId="9" xfId="0" applyNumberFormat="1" applyFont="1" applyFill="1" applyBorder="1"/>
    <xf numFmtId="168" fontId="13" fillId="12" borderId="9" xfId="0" applyNumberFormat="1" applyFont="1" applyFill="1" applyBorder="1" applyAlignment="1">
      <alignment horizontal="right" wrapText="1"/>
    </xf>
    <xf numFmtId="0" fontId="74" fillId="0" borderId="0" xfId="0" applyFont="1"/>
    <xf numFmtId="4" fontId="75" fillId="0" borderId="9" xfId="4" applyNumberFormat="1" applyFont="1" applyFill="1" applyBorder="1" applyAlignment="1" applyProtection="1">
      <alignment horizontal="center" vertical="center" wrapText="1"/>
    </xf>
    <xf numFmtId="168" fontId="20" fillId="11" borderId="9" xfId="0" applyNumberFormat="1" applyFont="1" applyFill="1" applyBorder="1" applyAlignment="1">
      <alignment horizontal="right" wrapText="1"/>
    </xf>
    <xf numFmtId="0" fontId="14" fillId="0" borderId="5" xfId="23" applyFont="1" applyBorder="1" applyAlignment="1">
      <alignment horizontal="left" vertical="center" wrapText="1"/>
    </xf>
    <xf numFmtId="4" fontId="14" fillId="0" borderId="11" xfId="23" applyNumberFormat="1" applyFont="1" applyBorder="1" applyAlignment="1">
      <alignment horizontal="center" vertical="center" wrapText="1"/>
    </xf>
    <xf numFmtId="172" fontId="14" fillId="0" borderId="11" xfId="23" applyNumberFormat="1" applyFont="1" applyBorder="1" applyAlignment="1">
      <alignment horizontal="center" vertical="center" wrapText="1"/>
    </xf>
    <xf numFmtId="4" fontId="14" fillId="0" borderId="11" xfId="20" applyNumberFormat="1" applyFont="1" applyBorder="1" applyAlignment="1">
      <alignment horizontal="center" vertical="center"/>
    </xf>
    <xf numFmtId="172" fontId="14" fillId="0" borderId="12" xfId="23" applyNumberFormat="1" applyFont="1" applyBorder="1" applyAlignment="1">
      <alignment horizontal="center" vertical="center" wrapText="1"/>
    </xf>
    <xf numFmtId="0" fontId="29" fillId="0" borderId="5" xfId="23" applyFont="1" applyBorder="1" applyAlignment="1">
      <alignment horizontal="left" vertical="center" wrapText="1"/>
    </xf>
    <xf numFmtId="0" fontId="29" fillId="15" borderId="10" xfId="20" applyFont="1" applyFill="1" applyBorder="1" applyAlignment="1">
      <alignment horizontal="left" vertical="center" wrapText="1"/>
    </xf>
    <xf numFmtId="0" fontId="29" fillId="15" borderId="13" xfId="20" applyFont="1" applyFill="1" applyBorder="1" applyAlignment="1">
      <alignment horizontal="left" vertical="center" wrapText="1"/>
    </xf>
    <xf numFmtId="0" fontId="14" fillId="9" borderId="9" xfId="0" applyFont="1" applyFill="1" applyBorder="1" applyAlignment="1">
      <alignment horizontal="left" vertical="center" wrapText="1"/>
    </xf>
    <xf numFmtId="43" fontId="14" fillId="9" borderId="9" xfId="3" applyFont="1" applyFill="1" applyBorder="1" applyAlignment="1" applyProtection="1">
      <alignment vertical="center" wrapText="1"/>
    </xf>
    <xf numFmtId="43" fontId="14" fillId="0" borderId="9" xfId="3" applyFont="1" applyFill="1" applyBorder="1" applyAlignment="1" applyProtection="1">
      <alignment vertical="center" wrapText="1"/>
    </xf>
    <xf numFmtId="0" fontId="46" fillId="0" borderId="9" xfId="0" applyFont="1" applyFill="1" applyBorder="1" applyAlignment="1">
      <alignment horizontal="left" vertical="center" wrapText="1"/>
    </xf>
    <xf numFmtId="0" fontId="14" fillId="0" borderId="8" xfId="0" applyFont="1" applyFill="1" applyBorder="1" applyAlignment="1">
      <alignment horizontal="justify" vertical="top" wrapText="1"/>
    </xf>
    <xf numFmtId="164" fontId="10" fillId="0" borderId="9" xfId="0" applyNumberFormat="1" applyFont="1" applyBorder="1"/>
    <xf numFmtId="164" fontId="11" fillId="0" borderId="9" xfId="0" applyNumberFormat="1" applyFont="1" applyBorder="1"/>
    <xf numFmtId="4" fontId="10" fillId="0" borderId="9" xfId="0" applyNumberFormat="1" applyFont="1" applyFill="1" applyBorder="1" applyAlignment="1">
      <alignment horizontal="right" vertical="center" wrapText="1"/>
    </xf>
    <xf numFmtId="175" fontId="10" fillId="0" borderId="9" xfId="0" applyNumberFormat="1" applyFont="1" applyFill="1" applyBorder="1" applyAlignment="1">
      <alignment horizontal="right" wrapText="1"/>
    </xf>
    <xf numFmtId="0" fontId="14" fillId="0" borderId="10" xfId="20" applyFont="1" applyBorder="1" applyAlignment="1">
      <alignment horizontal="left" vertical="center" wrapText="1"/>
    </xf>
    <xf numFmtId="0" fontId="14" fillId="9" borderId="2" xfId="20" applyFont="1" applyFill="1" applyBorder="1" applyAlignment="1">
      <alignment horizontal="left" vertical="top" wrapText="1"/>
    </xf>
    <xf numFmtId="0" fontId="14" fillId="9" borderId="5" xfId="20" applyFont="1" applyFill="1" applyBorder="1" applyAlignment="1">
      <alignment horizontal="left" vertical="top" wrapText="1"/>
    </xf>
    <xf numFmtId="0" fontId="14" fillId="0" borderId="10" xfId="20" applyFont="1" applyBorder="1" applyAlignment="1">
      <alignment horizontal="left" vertical="center"/>
    </xf>
    <xf numFmtId="0" fontId="14" fillId="0" borderId="11" xfId="20" applyFont="1" applyBorder="1" applyAlignment="1">
      <alignment horizontal="left" vertical="center"/>
    </xf>
    <xf numFmtId="0" fontId="14" fillId="0" borderId="12" xfId="20" applyFont="1" applyBorder="1" applyAlignment="1">
      <alignment horizontal="left" vertical="center"/>
    </xf>
    <xf numFmtId="172" fontId="14" fillId="0" borderId="11" xfId="20" applyNumberFormat="1" applyFont="1" applyBorder="1" applyAlignment="1">
      <alignment horizontal="center" vertical="center" wrapText="1"/>
    </xf>
    <xf numFmtId="4" fontId="14" fillId="0" borderId="11" xfId="20" applyNumberFormat="1" applyFont="1" applyBorder="1" applyAlignment="1">
      <alignment horizontal="center" vertical="center" wrapText="1"/>
    </xf>
    <xf numFmtId="4" fontId="14" fillId="0" borderId="12" xfId="20" applyNumberFormat="1" applyFont="1" applyBorder="1" applyAlignment="1">
      <alignment horizontal="center" vertical="center" wrapText="1"/>
    </xf>
    <xf numFmtId="0" fontId="44" fillId="0" borderId="9" xfId="20" applyFont="1" applyBorder="1"/>
    <xf numFmtId="0" fontId="40" fillId="0" borderId="9" xfId="20" applyFont="1" applyBorder="1" applyAlignment="1">
      <alignment horizontal="left" wrapText="1"/>
    </xf>
    <xf numFmtId="2" fontId="10" fillId="0" borderId="9" xfId="0" applyNumberFormat="1" applyFont="1" applyFill="1" applyBorder="1"/>
    <xf numFmtId="0" fontId="10" fillId="0" borderId="9" xfId="4" applyFont="1" applyFill="1" applyBorder="1" applyAlignment="1">
      <alignment horizontal="justify" vertical="top" wrapText="1"/>
    </xf>
    <xf numFmtId="164" fontId="10" fillId="0" borderId="9" xfId="0" applyNumberFormat="1" applyFont="1" applyFill="1" applyBorder="1"/>
    <xf numFmtId="4" fontId="10" fillId="0" borderId="9" xfId="4" applyNumberFormat="1" applyFont="1" applyFill="1" applyBorder="1" applyAlignment="1">
      <alignment horizontal="left" vertical="top" wrapText="1"/>
    </xf>
    <xf numFmtId="4" fontId="18" fillId="0" borderId="9" xfId="4" applyNumberFormat="1" applyFont="1" applyFill="1" applyBorder="1" applyAlignment="1">
      <alignment horizontal="left" vertical="top" wrapText="1"/>
    </xf>
    <xf numFmtId="4" fontId="10" fillId="0" borderId="9" xfId="4" applyNumberFormat="1" applyFont="1" applyBorder="1" applyAlignment="1">
      <alignment horizontal="left" vertical="center" wrapText="1"/>
    </xf>
    <xf numFmtId="4" fontId="24" fillId="0" borderId="9" xfId="4" applyNumberFormat="1" applyFont="1" applyFill="1" applyBorder="1" applyAlignment="1">
      <alignment vertical="center" wrapText="1"/>
    </xf>
    <xf numFmtId="164" fontId="10" fillId="9" borderId="9" xfId="0" applyNumberFormat="1" applyFont="1" applyFill="1" applyBorder="1"/>
    <xf numFmtId="4" fontId="9" fillId="9" borderId="10" xfId="4" applyNumberFormat="1" applyFont="1" applyFill="1" applyBorder="1" applyAlignment="1">
      <alignment horizontal="center" vertical="center" wrapText="1"/>
    </xf>
    <xf numFmtId="4" fontId="9" fillId="9" borderId="10" xfId="4" applyNumberFormat="1" applyFont="1" applyFill="1" applyBorder="1" applyAlignment="1" applyProtection="1">
      <alignment horizontal="center" vertical="center" wrapText="1"/>
      <protection hidden="1"/>
    </xf>
    <xf numFmtId="0" fontId="13" fillId="0" borderId="2" xfId="0" applyFont="1" applyBorder="1"/>
    <xf numFmtId="164" fontId="11" fillId="0" borderId="9" xfId="0" applyNumberFormat="1" applyFont="1" applyFill="1" applyBorder="1"/>
    <xf numFmtId="49" fontId="54" fillId="0" borderId="9" xfId="0" applyNumberFormat="1" applyFont="1" applyBorder="1" applyAlignment="1">
      <alignment vertical="justify" wrapText="1"/>
    </xf>
    <xf numFmtId="0" fontId="13" fillId="0" borderId="9" xfId="0" applyFont="1" applyBorder="1" applyAlignment="1">
      <alignment vertical="justify" wrapText="1"/>
    </xf>
    <xf numFmtId="4" fontId="10" fillId="2" borderId="9" xfId="4" applyNumberFormat="1" applyFont="1" applyFill="1" applyBorder="1" applyAlignment="1">
      <alignment horizontal="left" vertical="justify" wrapText="1"/>
    </xf>
    <xf numFmtId="0" fontId="54" fillId="9" borderId="9" xfId="0" applyFont="1" applyFill="1" applyBorder="1" applyAlignment="1">
      <alignment horizontal="justify" vertical="justify" wrapText="1"/>
    </xf>
    <xf numFmtId="0" fontId="28" fillId="0" borderId="9" xfId="0" applyFont="1" applyFill="1" applyBorder="1" applyAlignment="1">
      <alignment horizontal="left" vertical="center" wrapText="1"/>
    </xf>
    <xf numFmtId="2" fontId="10" fillId="17" borderId="9" xfId="0" applyNumberFormat="1" applyFont="1" applyFill="1" applyBorder="1" applyAlignment="1">
      <alignment horizontal="right" wrapText="1"/>
    </xf>
    <xf numFmtId="2" fontId="11" fillId="17" borderId="9" xfId="0" applyNumberFormat="1" applyFont="1" applyFill="1" applyBorder="1" applyAlignment="1">
      <alignment horizontal="right" wrapText="1"/>
    </xf>
    <xf numFmtId="0" fontId="13" fillId="17" borderId="9" xfId="0" applyFont="1" applyFill="1" applyBorder="1"/>
    <xf numFmtId="2" fontId="13" fillId="17" borderId="0" xfId="0" applyNumberFormat="1" applyFont="1" applyFill="1"/>
    <xf numFmtId="0" fontId="13" fillId="17" borderId="0" xfId="0" applyFont="1" applyFill="1"/>
    <xf numFmtId="167" fontId="9" fillId="17" borderId="9" xfId="0" applyNumberFormat="1" applyFont="1" applyFill="1" applyBorder="1" applyAlignment="1">
      <alignment horizontal="left" wrapText="1"/>
    </xf>
    <xf numFmtId="168" fontId="9" fillId="17" borderId="9" xfId="0" applyNumberFormat="1" applyFont="1" applyFill="1" applyBorder="1" applyAlignment="1">
      <alignment horizontal="right" wrapText="1"/>
    </xf>
    <xf numFmtId="168" fontId="9" fillId="17" borderId="9" xfId="0" applyNumberFormat="1" applyFont="1" applyFill="1" applyBorder="1" applyAlignment="1">
      <alignment vertical="center" wrapText="1"/>
    </xf>
    <xf numFmtId="167" fontId="10" fillId="17" borderId="9" xfId="0" applyNumberFormat="1" applyFont="1" applyFill="1" applyBorder="1" applyAlignment="1">
      <alignment horizontal="left" wrapText="1"/>
    </xf>
    <xf numFmtId="168" fontId="10" fillId="17" borderId="9" xfId="0" applyNumberFormat="1" applyFont="1" applyFill="1" applyBorder="1" applyAlignment="1">
      <alignment horizontal="right" wrapText="1"/>
    </xf>
    <xf numFmtId="167" fontId="10" fillId="17" borderId="9" xfId="0" applyNumberFormat="1" applyFont="1" applyFill="1" applyBorder="1" applyAlignment="1">
      <alignment horizontal="right" wrapText="1"/>
    </xf>
    <xf numFmtId="0" fontId="77" fillId="0" borderId="9" xfId="4" applyFont="1" applyBorder="1" applyAlignment="1">
      <alignment horizontal="left" wrapText="1"/>
    </xf>
    <xf numFmtId="164" fontId="78" fillId="0" borderId="9" xfId="1" applyFont="1" applyFill="1" applyBorder="1"/>
    <xf numFmtId="0" fontId="77" fillId="0" borderId="0" xfId="0" applyFont="1" applyAlignment="1"/>
    <xf numFmtId="0" fontId="78" fillId="0" borderId="0" xfId="0" applyFont="1"/>
    <xf numFmtId="0" fontId="14" fillId="12" borderId="10" xfId="23" applyFont="1" applyFill="1" applyBorder="1" applyAlignment="1">
      <alignment horizontal="left" vertical="center" wrapText="1"/>
    </xf>
    <xf numFmtId="0" fontId="14" fillId="9" borderId="5" xfId="23" applyFont="1" applyFill="1" applyBorder="1" applyAlignment="1">
      <alignment horizontal="left" vertical="top"/>
    </xf>
    <xf numFmtId="0" fontId="14" fillId="9" borderId="5" xfId="23" applyFont="1" applyFill="1" applyBorder="1" applyAlignment="1">
      <alignment horizontal="left" vertical="top" wrapText="1"/>
    </xf>
    <xf numFmtId="0" fontId="14" fillId="0" borderId="9" xfId="22" applyFont="1" applyBorder="1" applyAlignment="1">
      <alignment wrapText="1"/>
    </xf>
    <xf numFmtId="43" fontId="14" fillId="0" borderId="9" xfId="3" applyFont="1" applyFill="1" applyBorder="1" applyAlignment="1" applyProtection="1">
      <alignment horizontal="center" vertical="center" wrapText="1"/>
    </xf>
    <xf numFmtId="4" fontId="54" fillId="0" borderId="5" xfId="0" applyNumberFormat="1" applyFont="1" applyFill="1" applyBorder="1" applyAlignment="1">
      <alignment horizontal="left" vertical="center" wrapText="1"/>
    </xf>
    <xf numFmtId="4" fontId="54" fillId="0" borderId="8" xfId="0" applyNumberFormat="1" applyFont="1" applyFill="1" applyBorder="1" applyAlignment="1">
      <alignment horizontal="left" vertical="center" wrapText="1"/>
    </xf>
    <xf numFmtId="4" fontId="54" fillId="0" borderId="5" xfId="0" applyNumberFormat="1" applyFont="1" applyFill="1" applyBorder="1" applyAlignment="1">
      <alignment horizontal="left" vertical="top" wrapText="1"/>
    </xf>
    <xf numFmtId="4" fontId="54" fillId="0" borderId="8" xfId="0" applyNumberFormat="1" applyFont="1" applyFill="1" applyBorder="1" applyAlignment="1">
      <alignment horizontal="left" vertical="top" wrapText="1"/>
    </xf>
    <xf numFmtId="0" fontId="14" fillId="0" borderId="10" xfId="20" applyFont="1" applyBorder="1" applyAlignment="1">
      <alignment horizontal="left" vertical="center" wrapText="1"/>
    </xf>
    <xf numFmtId="0" fontId="2" fillId="0" borderId="0" xfId="20" applyFont="1" applyProtection="1"/>
    <xf numFmtId="0" fontId="10" fillId="13" borderId="9" xfId="20" applyFont="1" applyFill="1" applyBorder="1" applyAlignment="1" applyProtection="1">
      <alignment vertical="center" wrapText="1"/>
    </xf>
    <xf numFmtId="4" fontId="10" fillId="9" borderId="9" xfId="4" applyNumberFormat="1" applyFont="1" applyFill="1" applyBorder="1" applyAlignment="1" applyProtection="1">
      <alignment horizontal="center" vertical="center" wrapText="1"/>
    </xf>
    <xf numFmtId="2" fontId="9" fillId="9" borderId="9" xfId="4" applyNumberFormat="1" applyFont="1" applyFill="1" applyBorder="1" applyAlignment="1">
      <alignment horizontal="center" vertical="center" wrapText="1"/>
    </xf>
    <xf numFmtId="2" fontId="9" fillId="9" borderId="10" xfId="4" applyNumberFormat="1" applyFont="1" applyFill="1" applyBorder="1" applyAlignment="1">
      <alignment horizontal="center" vertical="center" wrapText="1"/>
    </xf>
    <xf numFmtId="2" fontId="9" fillId="12" borderId="10" xfId="4" applyNumberFormat="1" applyFont="1" applyFill="1" applyBorder="1" applyAlignment="1" applyProtection="1">
      <alignment horizontal="center" vertical="center" wrapText="1"/>
      <protection hidden="1"/>
    </xf>
    <xf numFmtId="2" fontId="9" fillId="9" borderId="9" xfId="4" applyNumberFormat="1" applyFont="1" applyFill="1" applyBorder="1" applyAlignment="1" applyProtection="1">
      <alignment horizontal="center" vertical="center" wrapText="1"/>
    </xf>
    <xf numFmtId="2" fontId="9" fillId="9" borderId="10" xfId="4" applyNumberFormat="1" applyFont="1" applyFill="1" applyBorder="1" applyAlignment="1" applyProtection="1">
      <alignment horizontal="center" vertical="center" wrapText="1"/>
      <protection hidden="1"/>
    </xf>
    <xf numFmtId="2" fontId="9" fillId="9" borderId="9" xfId="4" applyNumberFormat="1" applyFont="1" applyFill="1" applyBorder="1" applyAlignment="1" applyProtection="1">
      <alignment horizontal="center" vertical="center" wrapText="1"/>
      <protection hidden="1"/>
    </xf>
    <xf numFmtId="2" fontId="9" fillId="12" borderId="9" xfId="4" applyNumberFormat="1" applyFont="1" applyFill="1" applyBorder="1" applyAlignment="1">
      <alignment horizontal="center" vertical="center" wrapText="1"/>
    </xf>
    <xf numFmtId="2" fontId="9" fillId="12" borderId="10" xfId="4" applyNumberFormat="1" applyFont="1" applyFill="1" applyBorder="1" applyAlignment="1">
      <alignment horizontal="center" vertical="center" wrapText="1"/>
    </xf>
    <xf numFmtId="2" fontId="9" fillId="9" borderId="12"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xf numFmtId="2" fontId="9" fillId="12" borderId="9" xfId="4" applyNumberFormat="1" applyFont="1" applyFill="1" applyBorder="1" applyAlignment="1" applyProtection="1">
      <alignment horizontal="center" vertical="center" wrapText="1"/>
    </xf>
    <xf numFmtId="2" fontId="9" fillId="4" borderId="9" xfId="4" applyNumberFormat="1" applyFont="1" applyFill="1" applyBorder="1" applyAlignment="1">
      <alignment horizontal="center" vertical="center" wrapText="1"/>
    </xf>
    <xf numFmtId="2" fontId="9" fillId="4" borderId="10" xfId="4" applyNumberFormat="1" applyFont="1" applyFill="1" applyBorder="1" applyAlignment="1">
      <alignment horizontal="center" vertical="center" wrapText="1"/>
    </xf>
    <xf numFmtId="2" fontId="9" fillId="4" borderId="10" xfId="4" applyNumberFormat="1" applyFont="1" applyFill="1" applyBorder="1" applyAlignment="1" applyProtection="1">
      <alignment horizontal="center" vertical="center" wrapText="1"/>
      <protection hidden="1"/>
    </xf>
    <xf numFmtId="0" fontId="28" fillId="0" borderId="2" xfId="4" applyFont="1" applyFill="1" applyBorder="1" applyAlignment="1">
      <alignment horizontal="center" vertical="center" wrapText="1"/>
    </xf>
    <xf numFmtId="0" fontId="28" fillId="0" borderId="5" xfId="4" applyFont="1" applyFill="1" applyBorder="1" applyAlignment="1">
      <alignment horizontal="center" vertical="center" wrapText="1"/>
    </xf>
    <xf numFmtId="0" fontId="28" fillId="0" borderId="8" xfId="4" applyFont="1" applyFill="1" applyBorder="1" applyAlignment="1">
      <alignment horizontal="center" vertical="center" wrapText="1"/>
    </xf>
    <xf numFmtId="49" fontId="13" fillId="20" borderId="9" xfId="0" applyNumberFormat="1" applyFont="1" applyFill="1" applyBorder="1" applyAlignment="1">
      <alignment wrapText="1"/>
    </xf>
    <xf numFmtId="0" fontId="28" fillId="2" borderId="9" xfId="4" applyFont="1" applyFill="1" applyBorder="1" applyAlignment="1">
      <alignment horizontal="center" vertical="center" wrapText="1"/>
    </xf>
    <xf numFmtId="0" fontId="13" fillId="20" borderId="9" xfId="0" applyFont="1" applyFill="1" applyBorder="1" applyAlignment="1">
      <alignment vertical="top" wrapText="1"/>
    </xf>
    <xf numFmtId="0" fontId="29" fillId="15" borderId="11" xfId="22" applyFont="1" applyFill="1" applyBorder="1" applyAlignment="1">
      <alignment horizontal="left" vertical="center"/>
    </xf>
    <xf numFmtId="0" fontId="29" fillId="15" borderId="12" xfId="22" applyFont="1" applyFill="1" applyBorder="1" applyAlignment="1">
      <alignment horizontal="left" vertical="center"/>
    </xf>
    <xf numFmtId="165" fontId="29" fillId="0" borderId="10" xfId="22" applyNumberFormat="1" applyFont="1" applyBorder="1" applyAlignment="1">
      <alignment horizontal="center" vertical="center" wrapText="1"/>
    </xf>
    <xf numFmtId="165" fontId="29" fillId="0" borderId="12" xfId="22" applyNumberFormat="1" applyFont="1" applyBorder="1" applyAlignment="1">
      <alignment horizontal="center" vertical="center" wrapText="1"/>
    </xf>
    <xf numFmtId="0" fontId="29" fillId="13" borderId="11" xfId="22" applyFont="1" applyFill="1" applyBorder="1" applyAlignment="1">
      <alignment horizontal="left" vertical="center"/>
    </xf>
    <xf numFmtId="0" fontId="29" fillId="13" borderId="12" xfId="22" applyFont="1" applyFill="1" applyBorder="1" applyAlignment="1">
      <alignment horizontal="left" vertical="center"/>
    </xf>
    <xf numFmtId="0" fontId="29" fillId="0" borderId="2" xfId="22" applyFont="1" applyBorder="1" applyAlignment="1">
      <alignment horizontal="left" vertical="top" wrapText="1"/>
    </xf>
    <xf numFmtId="0" fontId="14" fillId="0" borderId="5" xfId="22" applyFont="1" applyBorder="1" applyAlignment="1">
      <alignment horizontal="left" vertical="top" wrapText="1"/>
    </xf>
    <xf numFmtId="0" fontId="14" fillId="0" borderId="8" xfId="22" applyFont="1" applyBorder="1" applyAlignment="1">
      <alignment horizontal="left" vertical="top" wrapText="1"/>
    </xf>
    <xf numFmtId="0" fontId="49" fillId="0" borderId="0" xfId="24" applyFont="1" applyAlignment="1">
      <alignment horizontal="center" wrapText="1"/>
    </xf>
    <xf numFmtId="0" fontId="38" fillId="0" borderId="2" xfId="22" applyFont="1" applyBorder="1" applyAlignment="1">
      <alignment horizontal="center" vertical="center" wrapText="1"/>
    </xf>
    <xf numFmtId="0" fontId="38" fillId="0" borderId="8" xfId="22" applyFont="1" applyBorder="1" applyAlignment="1">
      <alignment horizontal="center" vertical="center" wrapText="1"/>
    </xf>
    <xf numFmtId="0" fontId="38" fillId="0" borderId="10" xfId="22" applyFont="1" applyBorder="1" applyAlignment="1">
      <alignment horizontal="center" wrapText="1"/>
    </xf>
    <xf numFmtId="0" fontId="38" fillId="0" borderId="12" xfId="22" applyFont="1" applyBorder="1" applyAlignment="1">
      <alignment horizontal="center" wrapText="1"/>
    </xf>
    <xf numFmtId="0" fontId="38" fillId="0" borderId="9" xfId="22" applyFont="1" applyBorder="1" applyAlignment="1">
      <alignment horizontal="center" wrapText="1"/>
    </xf>
    <xf numFmtId="0" fontId="6" fillId="9" borderId="0" xfId="20" applyFill="1"/>
    <xf numFmtId="164" fontId="10" fillId="0" borderId="9" xfId="1" applyFont="1" applyFill="1" applyBorder="1" applyAlignment="1">
      <alignment vertical="top"/>
    </xf>
    <xf numFmtId="4" fontId="81" fillId="0" borderId="5" xfId="0" applyNumberFormat="1" applyFont="1" applyFill="1" applyBorder="1" applyAlignment="1">
      <alignment horizontal="left" vertical="center"/>
    </xf>
    <xf numFmtId="4" fontId="81" fillId="0" borderId="8" xfId="0" applyNumberFormat="1" applyFont="1" applyFill="1" applyBorder="1" applyAlignment="1">
      <alignment horizontal="left" vertical="center"/>
    </xf>
    <xf numFmtId="0" fontId="9" fillId="0" borderId="9" xfId="0" applyFont="1" applyFill="1" applyBorder="1" applyAlignment="1">
      <alignment vertical="center" wrapText="1"/>
    </xf>
    <xf numFmtId="170" fontId="9" fillId="0" borderId="9" xfId="21" applyFont="1" applyFill="1" applyBorder="1" applyAlignment="1" applyProtection="1">
      <alignment vertical="center" wrapText="1"/>
    </xf>
    <xf numFmtId="0" fontId="10" fillId="0" borderId="9" xfId="0" applyFont="1" applyFill="1" applyBorder="1" applyAlignment="1">
      <alignment horizontal="left" vertical="center" wrapText="1"/>
    </xf>
    <xf numFmtId="0" fontId="10" fillId="0" borderId="9" xfId="0" applyFont="1" applyFill="1" applyBorder="1" applyAlignment="1">
      <alignment vertical="center" wrapText="1"/>
    </xf>
    <xf numFmtId="0" fontId="14" fillId="12" borderId="10" xfId="23" applyFont="1" applyFill="1" applyBorder="1" applyAlignment="1">
      <alignment horizontal="left" vertical="center" wrapText="1"/>
    </xf>
    <xf numFmtId="0" fontId="14" fillId="0" borderId="10" xfId="20" applyFont="1" applyBorder="1" applyAlignment="1">
      <alignment horizontal="left" vertical="center" wrapText="1"/>
    </xf>
    <xf numFmtId="0" fontId="14" fillId="0" borderId="11" xfId="20" applyFont="1" applyBorder="1" applyAlignment="1">
      <alignment horizontal="left" vertical="center" wrapText="1"/>
    </xf>
    <xf numFmtId="0" fontId="14" fillId="0" borderId="12" xfId="20" applyFont="1" applyBorder="1" applyAlignment="1">
      <alignment horizontal="left" vertical="center" wrapText="1"/>
    </xf>
    <xf numFmtId="172" fontId="14" fillId="0" borderId="11" xfId="20" applyNumberFormat="1" applyFont="1" applyFill="1" applyBorder="1" applyAlignment="1">
      <alignment horizontal="center" vertical="center" wrapText="1"/>
    </xf>
    <xf numFmtId="4" fontId="14" fillId="0" borderId="11" xfId="20" applyNumberFormat="1" applyFont="1" applyFill="1" applyBorder="1" applyAlignment="1">
      <alignment horizontal="center" vertical="center" wrapText="1"/>
    </xf>
    <xf numFmtId="4" fontId="14" fillId="0" borderId="12" xfId="20" applyNumberFormat="1" applyFont="1" applyFill="1" applyBorder="1" applyAlignment="1">
      <alignment horizontal="center" vertical="center" wrapText="1"/>
    </xf>
    <xf numFmtId="0" fontId="14" fillId="0" borderId="10" xfId="20" applyFont="1" applyFill="1" applyBorder="1" applyAlignment="1">
      <alignment horizontal="left" vertical="center" wrapText="1"/>
    </xf>
    <xf numFmtId="0" fontId="29" fillId="0" borderId="10" xfId="20" applyFont="1" applyBorder="1" applyAlignment="1">
      <alignment horizontal="left" vertical="center" wrapText="1"/>
    </xf>
    <xf numFmtId="0" fontId="14" fillId="9" borderId="0" xfId="20" applyFont="1" applyFill="1" applyBorder="1" applyAlignment="1">
      <alignment horizontal="left" vertical="top" wrapText="1"/>
    </xf>
    <xf numFmtId="4" fontId="44" fillId="0" borderId="0" xfId="20" applyNumberFormat="1" applyFont="1" applyAlignment="1">
      <alignment horizontal="center"/>
    </xf>
    <xf numFmtId="4" fontId="10" fillId="9" borderId="9" xfId="0" applyNumberFormat="1" applyFont="1" applyFill="1" applyBorder="1" applyAlignment="1">
      <alignment horizontal="center" vertical="center" wrapText="1"/>
    </xf>
    <xf numFmtId="4" fontId="10" fillId="8" borderId="9" xfId="4" applyNumberFormat="1" applyFont="1" applyFill="1" applyBorder="1" applyAlignment="1" applyProtection="1">
      <alignment horizontal="center" vertical="center" wrapText="1"/>
    </xf>
    <xf numFmtId="0" fontId="57" fillId="0" borderId="0" xfId="0" applyFont="1" applyFill="1"/>
    <xf numFmtId="4" fontId="73" fillId="0" borderId="9" xfId="1" applyNumberFormat="1" applyFont="1" applyFill="1" applyBorder="1" applyAlignment="1"/>
    <xf numFmtId="4" fontId="10" fillId="0" borderId="9" xfId="1" applyNumberFormat="1" applyFont="1" applyFill="1" applyBorder="1" applyAlignment="1">
      <alignment horizontal="right"/>
    </xf>
    <xf numFmtId="4" fontId="40" fillId="0" borderId="9" xfId="0" applyNumberFormat="1" applyFont="1" applyFill="1" applyBorder="1" applyAlignment="1">
      <alignment horizontal="right" vertical="center" wrapText="1"/>
    </xf>
    <xf numFmtId="4" fontId="13" fillId="0" borderId="9" xfId="0" applyNumberFormat="1" applyFont="1" applyBorder="1" applyAlignment="1">
      <alignment horizontal="right"/>
    </xf>
    <xf numFmtId="4" fontId="40" fillId="0" borderId="9" xfId="0" applyNumberFormat="1" applyFont="1" applyFill="1" applyBorder="1" applyAlignment="1">
      <alignment horizontal="right" wrapText="1"/>
    </xf>
    <xf numFmtId="4" fontId="13" fillId="0" borderId="9" xfId="0" applyNumberFormat="1" applyFont="1" applyFill="1" applyBorder="1" applyAlignment="1">
      <alignment horizontal="right"/>
    </xf>
    <xf numFmtId="4" fontId="13" fillId="0" borderId="9" xfId="0" applyNumberFormat="1" applyFont="1" applyFill="1" applyBorder="1" applyAlignment="1">
      <alignment horizontal="right" wrapText="1"/>
    </xf>
    <xf numFmtId="4" fontId="55" fillId="0" borderId="9" xfId="0" applyNumberFormat="1" applyFont="1" applyBorder="1" applyAlignment="1">
      <alignment horizontal="right" vertical="center" wrapText="1"/>
    </xf>
    <xf numFmtId="4" fontId="13" fillId="0" borderId="9" xfId="1" applyNumberFormat="1" applyFont="1" applyFill="1" applyBorder="1" applyAlignment="1">
      <alignment horizontal="right"/>
    </xf>
    <xf numFmtId="2" fontId="11" fillId="8" borderId="9" xfId="0" applyNumberFormat="1" applyFont="1" applyFill="1" applyBorder="1" applyAlignment="1">
      <alignment horizontal="right" vertical="top" wrapText="1"/>
    </xf>
    <xf numFmtId="168" fontId="10" fillId="8" borderId="9" xfId="0" applyNumberFormat="1" applyFont="1" applyFill="1" applyBorder="1" applyAlignment="1">
      <alignment horizontal="right" vertical="top" wrapText="1"/>
    </xf>
    <xf numFmtId="0" fontId="9" fillId="8" borderId="9" xfId="0" applyNumberFormat="1" applyFont="1" applyFill="1" applyBorder="1" applyAlignment="1">
      <alignment horizontal="left" wrapText="1"/>
    </xf>
    <xf numFmtId="0" fontId="14" fillId="0" borderId="9" xfId="0" applyNumberFormat="1" applyFont="1" applyFill="1" applyBorder="1" applyAlignment="1" applyProtection="1">
      <alignment horizontal="left" vertical="center" wrapText="1"/>
    </xf>
    <xf numFmtId="0" fontId="29" fillId="0" borderId="2" xfId="22" applyFont="1" applyBorder="1" applyAlignment="1">
      <alignment horizontal="left" vertical="center" wrapText="1"/>
    </xf>
    <xf numFmtId="0" fontId="10" fillId="9" borderId="9" xfId="4" applyFont="1" applyFill="1" applyBorder="1" applyAlignment="1">
      <alignment horizontal="left" vertical="center" wrapText="1"/>
    </xf>
    <xf numFmtId="0" fontId="13" fillId="0" borderId="9" xfId="0" applyFont="1" applyFill="1" applyBorder="1" applyAlignment="1">
      <alignment vertical="center" wrapText="1"/>
    </xf>
    <xf numFmtId="169" fontId="9" fillId="14" borderId="11" xfId="20" applyNumberFormat="1" applyFont="1" applyFill="1" applyBorder="1" applyAlignment="1" applyProtection="1">
      <alignment horizontal="left" vertical="center" wrapText="1"/>
    </xf>
    <xf numFmtId="0" fontId="10" fillId="0" borderId="9" xfId="4" applyFont="1" applyFill="1" applyBorder="1" applyAlignment="1">
      <alignment horizontal="left" wrapText="1"/>
    </xf>
    <xf numFmtId="0" fontId="14" fillId="0" borderId="2" xfId="0" applyNumberFormat="1" applyFont="1" applyFill="1" applyBorder="1" applyAlignment="1" applyProtection="1">
      <alignment horizontal="left" vertical="top" wrapText="1"/>
    </xf>
    <xf numFmtId="4" fontId="40" fillId="0" borderId="2" xfId="0" applyNumberFormat="1" applyFont="1" applyFill="1" applyBorder="1" applyAlignment="1">
      <alignment horizontal="left" vertical="center" wrapText="1"/>
    </xf>
    <xf numFmtId="0" fontId="20" fillId="0" borderId="9" xfId="0" applyFont="1" applyFill="1" applyBorder="1" applyAlignment="1">
      <alignment vertical="center"/>
    </xf>
    <xf numFmtId="0" fontId="29" fillId="9" borderId="9" xfId="0" applyFont="1" applyFill="1" applyBorder="1" applyAlignment="1">
      <alignment horizontal="left" vertical="center" wrapText="1"/>
    </xf>
    <xf numFmtId="0" fontId="14" fillId="9" borderId="5" xfId="0" applyFont="1" applyFill="1" applyBorder="1" applyAlignment="1">
      <alignment horizontal="justify" vertical="top" wrapText="1"/>
    </xf>
    <xf numFmtId="43" fontId="14" fillId="9" borderId="9" xfId="3" applyFont="1" applyFill="1" applyBorder="1" applyAlignment="1" applyProtection="1">
      <alignment wrapText="1"/>
    </xf>
    <xf numFmtId="0" fontId="46" fillId="9" borderId="9" xfId="0" applyFont="1" applyFill="1" applyBorder="1" applyAlignment="1">
      <alignment horizontal="left" vertical="center" wrapText="1"/>
    </xf>
    <xf numFmtId="0" fontId="14" fillId="9" borderId="8" xfId="0" applyFont="1" applyFill="1" applyBorder="1" applyAlignment="1">
      <alignment horizontal="justify" vertical="top" wrapText="1"/>
    </xf>
    <xf numFmtId="0" fontId="14" fillId="18" borderId="9" xfId="0" applyFont="1" applyFill="1" applyBorder="1" applyAlignment="1">
      <alignment horizontal="left" vertical="center" wrapText="1"/>
    </xf>
    <xf numFmtId="43" fontId="14" fillId="18" borderId="9" xfId="3" applyFont="1" applyFill="1" applyBorder="1" applyAlignment="1" applyProtection="1">
      <alignment horizontal="center" vertical="center" wrapText="1"/>
    </xf>
    <xf numFmtId="4" fontId="14" fillId="18" borderId="9" xfId="22" applyNumberFormat="1" applyFont="1" applyFill="1" applyBorder="1" applyAlignment="1">
      <alignment horizontal="center" vertical="center" wrapText="1"/>
    </xf>
    <xf numFmtId="43" fontId="14" fillId="18" borderId="9" xfId="3" applyFont="1" applyFill="1" applyBorder="1" applyAlignment="1" applyProtection="1">
      <alignment vertical="center" wrapText="1"/>
    </xf>
    <xf numFmtId="0" fontId="14" fillId="18" borderId="8" xfId="0" applyFont="1" applyFill="1" applyBorder="1" applyAlignment="1">
      <alignment horizontal="justify" vertical="top" wrapText="1"/>
    </xf>
    <xf numFmtId="0" fontId="6" fillId="18" borderId="0" xfId="20" applyFill="1"/>
    <xf numFmtId="0" fontId="14" fillId="18" borderId="11" xfId="22" applyFont="1" applyFill="1" applyBorder="1" applyAlignment="1">
      <alignment horizontal="left" vertical="center"/>
    </xf>
    <xf numFmtId="4" fontId="31" fillId="18" borderId="9" xfId="22" applyNumberFormat="1" applyFont="1" applyFill="1" applyBorder="1" applyAlignment="1">
      <alignment horizontal="center" vertical="center" wrapText="1"/>
    </xf>
    <xf numFmtId="0" fontId="14" fillId="0" borderId="10" xfId="20" applyFont="1" applyBorder="1" applyAlignment="1">
      <alignment horizontal="left" vertical="center" wrapText="1"/>
    </xf>
    <xf numFmtId="0" fontId="14" fillId="0" borderId="10" xfId="20" applyFont="1" applyBorder="1" applyAlignment="1">
      <alignment horizontal="left" vertical="center"/>
    </xf>
    <xf numFmtId="0" fontId="14" fillId="0" borderId="11" xfId="20" applyFont="1" applyBorder="1" applyAlignment="1">
      <alignment horizontal="left" vertical="center"/>
    </xf>
    <xf numFmtId="0" fontId="14" fillId="0" borderId="12" xfId="20" applyFont="1" applyBorder="1" applyAlignment="1">
      <alignment horizontal="left" vertical="center"/>
    </xf>
    <xf numFmtId="0" fontId="14" fillId="9" borderId="5" xfId="20" applyFont="1" applyFill="1" applyBorder="1" applyAlignment="1">
      <alignment horizontal="left" vertical="top" wrapText="1"/>
    </xf>
    <xf numFmtId="0" fontId="82" fillId="0" borderId="9" xfId="0" applyFont="1" applyFill="1" applyBorder="1" applyAlignment="1">
      <alignment horizontal="justify" vertical="top" wrapText="1"/>
    </xf>
    <xf numFmtId="0" fontId="14" fillId="18" borderId="2" xfId="22" applyFont="1" applyFill="1" applyBorder="1" applyAlignment="1">
      <alignment vertical="top" wrapText="1"/>
    </xf>
    <xf numFmtId="0" fontId="82" fillId="0" borderId="5" xfId="0" applyFont="1" applyBorder="1" applyAlignment="1">
      <alignment horizontal="justify" vertical="top" wrapText="1"/>
    </xf>
    <xf numFmtId="0" fontId="82" fillId="0" borderId="8" xfId="0" applyFont="1" applyBorder="1" applyAlignment="1">
      <alignment horizontal="justify" vertical="top" wrapText="1"/>
    </xf>
    <xf numFmtId="168" fontId="9" fillId="0" borderId="9" xfId="0" applyNumberFormat="1" applyFont="1" applyBorder="1" applyAlignment="1">
      <alignment horizontal="right" vertical="top" wrapText="1"/>
    </xf>
    <xf numFmtId="164" fontId="0" fillId="0" borderId="0" xfId="0" applyNumberFormat="1" applyProtection="1"/>
    <xf numFmtId="0" fontId="14" fillId="0" borderId="8" xfId="20" applyFont="1" applyFill="1" applyBorder="1" applyAlignment="1">
      <alignment horizontal="center" vertical="center" wrapText="1"/>
    </xf>
    <xf numFmtId="0" fontId="44" fillId="0" borderId="9" xfId="20" applyFont="1" applyBorder="1" applyAlignment="1">
      <alignment wrapText="1"/>
    </xf>
    <xf numFmtId="164" fontId="10" fillId="0" borderId="9" xfId="1" applyFont="1" applyFill="1" applyBorder="1" applyAlignment="1">
      <alignment wrapText="1"/>
    </xf>
    <xf numFmtId="4" fontId="54" fillId="0" borderId="2" xfId="0" applyNumberFormat="1" applyFont="1" applyFill="1" applyBorder="1" applyAlignment="1">
      <alignment horizontal="left" vertical="top" wrapText="1"/>
    </xf>
    <xf numFmtId="0" fontId="10" fillId="0" borderId="9" xfId="4" applyFont="1" applyFill="1" applyBorder="1" applyAlignment="1" applyProtection="1">
      <alignment horizontal="left" vertical="top"/>
    </xf>
    <xf numFmtId="169" fontId="10" fillId="0" borderId="9" xfId="20" applyNumberFormat="1" applyFont="1" applyFill="1" applyBorder="1" applyAlignment="1" applyProtection="1">
      <alignment horizontal="center" vertical="center"/>
    </xf>
    <xf numFmtId="169" fontId="9" fillId="0" borderId="9" xfId="20" applyNumberFormat="1" applyFont="1" applyFill="1" applyBorder="1" applyAlignment="1" applyProtection="1">
      <alignment horizontal="center" vertical="center"/>
    </xf>
    <xf numFmtId="169" fontId="9" fillId="0" borderId="9" xfId="20" applyNumberFormat="1" applyFont="1" applyFill="1" applyBorder="1" applyAlignment="1" applyProtection="1">
      <alignment horizontal="center" vertical="center"/>
      <protection locked="0"/>
    </xf>
    <xf numFmtId="0" fontId="28" fillId="0" borderId="9" xfId="4" applyFont="1" applyFill="1" applyBorder="1" applyAlignment="1">
      <alignment horizontal="justify" vertical="center" wrapText="1"/>
    </xf>
    <xf numFmtId="4" fontId="13" fillId="9" borderId="9" xfId="4" applyNumberFormat="1" applyFont="1" applyFill="1" applyBorder="1" applyAlignment="1">
      <alignment horizontal="center" vertical="center" wrapText="1"/>
    </xf>
    <xf numFmtId="4" fontId="13" fillId="0" borderId="9" xfId="4" applyNumberFormat="1" applyFont="1" applyFill="1" applyBorder="1" applyAlignment="1">
      <alignment horizontal="center" vertical="center" wrapText="1"/>
    </xf>
    <xf numFmtId="0" fontId="13" fillId="0" borderId="9" xfId="0" applyFont="1" applyBorder="1" applyAlignment="1">
      <alignment horizontal="center" vertical="center"/>
    </xf>
    <xf numFmtId="0" fontId="10" fillId="0" borderId="9" xfId="0" applyFont="1" applyFill="1" applyBorder="1"/>
    <xf numFmtId="0" fontId="11" fillId="0" borderId="9" xfId="0" applyFont="1" applyFill="1" applyBorder="1"/>
    <xf numFmtId="0" fontId="9" fillId="17" borderId="9" xfId="0" applyFont="1" applyFill="1" applyBorder="1" applyAlignment="1">
      <alignment horizontal="left" vertical="top" wrapText="1"/>
    </xf>
    <xf numFmtId="164" fontId="13" fillId="19" borderId="9" xfId="0" applyNumberFormat="1" applyFont="1" applyFill="1" applyBorder="1"/>
    <xf numFmtId="164" fontId="11" fillId="4" borderId="9" xfId="0" applyNumberFormat="1" applyFont="1" applyFill="1" applyBorder="1"/>
    <xf numFmtId="49" fontId="9" fillId="4" borderId="9" xfId="0" applyNumberFormat="1" applyFont="1" applyFill="1" applyBorder="1" applyAlignment="1">
      <alignment horizontal="center" vertical="center" wrapText="1"/>
    </xf>
    <xf numFmtId="166" fontId="10" fillId="4" borderId="9" xfId="0" applyNumberFormat="1" applyFont="1" applyFill="1" applyBorder="1" applyAlignment="1">
      <alignment horizontal="center" vertical="center" wrapText="1"/>
    </xf>
    <xf numFmtId="164" fontId="10" fillId="4" borderId="9" xfId="1" applyFont="1" applyFill="1" applyBorder="1" applyAlignment="1">
      <alignment vertical="center" wrapText="1"/>
    </xf>
    <xf numFmtId="174" fontId="10" fillId="4" borderId="9" xfId="1" applyNumberFormat="1" applyFont="1" applyFill="1" applyBorder="1"/>
    <xf numFmtId="164" fontId="13" fillId="4" borderId="9" xfId="0" applyNumberFormat="1" applyFont="1" applyFill="1" applyBorder="1"/>
    <xf numFmtId="174" fontId="13" fillId="4" borderId="9" xfId="0" applyNumberFormat="1" applyFont="1" applyFill="1" applyBorder="1"/>
    <xf numFmtId="164" fontId="10" fillId="4" borderId="9" xfId="1" applyFont="1" applyFill="1" applyBorder="1"/>
    <xf numFmtId="2" fontId="13" fillId="4" borderId="9" xfId="0" applyNumberFormat="1" applyFont="1" applyFill="1" applyBorder="1" applyAlignment="1">
      <alignment horizontal="center"/>
    </xf>
    <xf numFmtId="0" fontId="13" fillId="4" borderId="9" xfId="0" applyFont="1" applyFill="1" applyBorder="1"/>
    <xf numFmtId="2" fontId="13" fillId="4" borderId="9" xfId="0" applyNumberFormat="1" applyFont="1" applyFill="1" applyBorder="1"/>
    <xf numFmtId="2" fontId="13" fillId="4" borderId="9" xfId="0" applyNumberFormat="1" applyFont="1" applyFill="1" applyBorder="1" applyAlignment="1">
      <alignment horizontal="center" vertical="center"/>
    </xf>
    <xf numFmtId="164" fontId="13" fillId="4" borderId="9" xfId="1" applyFont="1" applyFill="1" applyBorder="1"/>
    <xf numFmtId="0" fontId="13" fillId="9" borderId="9" xfId="0" applyFont="1" applyFill="1" applyBorder="1" applyAlignment="1">
      <alignment vertical="top" wrapText="1"/>
    </xf>
    <xf numFmtId="43" fontId="14" fillId="9" borderId="9" xfId="0" applyNumberFormat="1" applyFont="1" applyFill="1" applyBorder="1" applyAlignment="1" applyProtection="1">
      <alignment horizontal="center" vertical="center" wrapText="1"/>
    </xf>
    <xf numFmtId="164" fontId="14" fillId="9" borderId="9" xfId="22" applyNumberFormat="1" applyFont="1" applyFill="1" applyBorder="1" applyAlignment="1">
      <alignment horizontal="center" vertical="center" wrapText="1"/>
    </xf>
    <xf numFmtId="0" fontId="14" fillId="24" borderId="9" xfId="0" applyFont="1" applyFill="1" applyBorder="1" applyAlignment="1">
      <alignment horizontal="left" vertical="top" wrapText="1"/>
    </xf>
    <xf numFmtId="0" fontId="29" fillId="0" borderId="2" xfId="22" applyFont="1" applyBorder="1" applyAlignment="1">
      <alignment horizontal="center" vertical="center" wrapText="1"/>
    </xf>
    <xf numFmtId="4" fontId="29" fillId="0" borderId="9" xfId="23" applyNumberFormat="1" applyFont="1" applyFill="1" applyBorder="1" applyAlignment="1">
      <alignment horizontal="center" vertical="center" wrapText="1"/>
    </xf>
    <xf numFmtId="174" fontId="9" fillId="0" borderId="9" xfId="20" applyNumberFormat="1" applyFont="1" applyBorder="1" applyAlignment="1" applyProtection="1">
      <alignment horizontal="center"/>
      <protection locked="0"/>
    </xf>
    <xf numFmtId="174" fontId="10" fillId="0" borderId="9" xfId="20" applyNumberFormat="1" applyFont="1" applyBorder="1" applyAlignment="1" applyProtection="1">
      <alignment horizontal="center"/>
      <protection locked="0"/>
    </xf>
    <xf numFmtId="174" fontId="9" fillId="0" borderId="9" xfId="20" applyNumberFormat="1" applyFont="1" applyBorder="1" applyAlignment="1" applyProtection="1">
      <alignment horizontal="center" vertical="center"/>
      <protection locked="0"/>
    </xf>
    <xf numFmtId="174" fontId="10" fillId="0" borderId="9" xfId="3" applyNumberFormat="1" applyFont="1" applyFill="1" applyBorder="1" applyAlignment="1" applyProtection="1">
      <alignment horizontal="center"/>
    </xf>
    <xf numFmtId="174" fontId="10" fillId="0" borderId="9" xfId="3" applyNumberFormat="1" applyFont="1" applyFill="1" applyBorder="1" applyAlignment="1" applyProtection="1">
      <alignment horizontal="center"/>
      <protection locked="0"/>
    </xf>
    <xf numFmtId="0" fontId="10" fillId="0" borderId="9" xfId="20" applyFont="1" applyBorder="1" applyAlignment="1" applyProtection="1">
      <alignment vertical="top" wrapText="1"/>
    </xf>
    <xf numFmtId="0" fontId="83" fillId="0" borderId="0" xfId="20" applyFont="1" applyAlignment="1">
      <alignment horizontal="center" vertical="top"/>
    </xf>
    <xf numFmtId="165" fontId="83" fillId="0" borderId="9" xfId="20" applyNumberFormat="1" applyFont="1" applyBorder="1" applyAlignment="1">
      <alignment horizontal="center" vertical="center" wrapText="1"/>
    </xf>
    <xf numFmtId="0" fontId="36" fillId="0" borderId="2" xfId="20" applyFont="1" applyBorder="1" applyAlignment="1">
      <alignment horizontal="center"/>
    </xf>
    <xf numFmtId="0" fontId="83" fillId="0" borderId="4" xfId="20" applyFont="1" applyBorder="1" applyAlignment="1">
      <alignment horizontal="left" vertical="center" wrapText="1"/>
    </xf>
    <xf numFmtId="0" fontId="36" fillId="0" borderId="8" xfId="20" applyFont="1" applyBorder="1" applyAlignment="1">
      <alignment horizontal="left" vertical="top" wrapText="1"/>
    </xf>
    <xf numFmtId="0" fontId="83" fillId="0" borderId="9" xfId="20" applyFont="1" applyBorder="1" applyAlignment="1">
      <alignment horizontal="center"/>
    </xf>
    <xf numFmtId="0" fontId="36" fillId="0" borderId="9" xfId="20" applyFont="1" applyBorder="1" applyAlignment="1">
      <alignment horizontal="center"/>
    </xf>
    <xf numFmtId="0" fontId="84" fillId="0" borderId="9" xfId="20" applyFont="1" applyBorder="1"/>
    <xf numFmtId="0" fontId="1" fillId="0" borderId="0" xfId="20" applyFont="1"/>
    <xf numFmtId="165" fontId="25" fillId="0" borderId="9" xfId="20" applyNumberFormat="1" applyFont="1" applyBorder="1" applyAlignment="1">
      <alignment horizontal="center" vertical="center" wrapText="1"/>
    </xf>
    <xf numFmtId="170" fontId="10" fillId="0" borderId="9" xfId="21" applyFont="1" applyFill="1" applyBorder="1" applyAlignment="1" applyProtection="1">
      <alignment vertical="center" wrapText="1"/>
    </xf>
    <xf numFmtId="176" fontId="10" fillId="0" borderId="9" xfId="1" applyNumberFormat="1" applyFont="1" applyFill="1" applyBorder="1"/>
    <xf numFmtId="0" fontId="10" fillId="9" borderId="9" xfId="4" applyFont="1" applyFill="1" applyBorder="1" applyAlignment="1">
      <alignment horizontal="justify" vertical="top" wrapText="1"/>
    </xf>
    <xf numFmtId="2" fontId="10" fillId="9" borderId="9" xfId="0" applyNumberFormat="1" applyFont="1" applyFill="1" applyBorder="1"/>
    <xf numFmtId="2" fontId="10" fillId="9" borderId="9" xfId="1" applyNumberFormat="1" applyFont="1" applyFill="1" applyBorder="1"/>
    <xf numFmtId="0" fontId="15" fillId="0" borderId="0" xfId="0" applyFont="1" applyFill="1"/>
    <xf numFmtId="176" fontId="10" fillId="0" borderId="9" xfId="0" applyNumberFormat="1" applyFont="1" applyBorder="1"/>
    <xf numFmtId="176" fontId="10" fillId="0" borderId="9" xfId="0" applyNumberFormat="1" applyFont="1" applyFill="1" applyBorder="1"/>
    <xf numFmtId="0" fontId="14" fillId="0" borderId="9" xfId="22" applyFont="1" applyFill="1" applyBorder="1" applyAlignment="1">
      <alignment horizontal="left" vertical="center" wrapText="1"/>
    </xf>
    <xf numFmtId="0" fontId="14" fillId="0" borderId="9" xfId="22" applyFont="1" applyFill="1" applyBorder="1" applyAlignment="1">
      <alignment horizontal="left" vertical="center"/>
    </xf>
    <xf numFmtId="4" fontId="14" fillId="25" borderId="10" xfId="22" applyNumberFormat="1" applyFont="1" applyFill="1" applyBorder="1" applyAlignment="1">
      <alignment horizontal="center" vertical="center" wrapText="1"/>
    </xf>
    <xf numFmtId="172" fontId="14" fillId="0" borderId="9" xfId="22" applyNumberFormat="1" applyFont="1" applyFill="1" applyBorder="1" applyAlignment="1">
      <alignment horizontal="center" vertical="center" wrapText="1"/>
    </xf>
    <xf numFmtId="0" fontId="14" fillId="0" borderId="9" xfId="22" applyFont="1" applyFill="1" applyBorder="1" applyAlignment="1">
      <alignment horizontal="right" vertical="center" wrapText="1"/>
    </xf>
    <xf numFmtId="0" fontId="14" fillId="0" borderId="11" xfId="22" applyFont="1" applyFill="1" applyBorder="1" applyAlignment="1">
      <alignment horizontal="left" vertical="center" wrapText="1"/>
    </xf>
    <xf numFmtId="0" fontId="14" fillId="0" borderId="12" xfId="22" applyFont="1" applyFill="1" applyBorder="1" applyAlignment="1">
      <alignment horizontal="left" vertical="center" wrapText="1"/>
    </xf>
    <xf numFmtId="0" fontId="29" fillId="0" borderId="9" xfId="22" applyFont="1" applyFill="1" applyBorder="1" applyAlignment="1">
      <alignment horizontal="left" vertical="center" wrapText="1"/>
    </xf>
    <xf numFmtId="0" fontId="14" fillId="25" borderId="9" xfId="22" applyFont="1" applyFill="1" applyBorder="1" applyAlignment="1">
      <alignment horizontal="left" vertical="center"/>
    </xf>
    <xf numFmtId="0" fontId="14" fillId="25" borderId="9" xfId="22" applyFont="1" applyFill="1" applyBorder="1" applyAlignment="1">
      <alignment horizontal="left" vertical="center" wrapText="1"/>
    </xf>
    <xf numFmtId="170" fontId="14" fillId="25" borderId="9" xfId="21" applyFont="1" applyFill="1" applyBorder="1" applyAlignment="1" applyProtection="1">
      <alignment horizontal="center" vertical="center" wrapText="1"/>
    </xf>
    <xf numFmtId="0" fontId="14" fillId="0" borderId="11" xfId="22" applyFont="1" applyFill="1" applyBorder="1" applyAlignment="1">
      <alignment horizontal="left" vertical="top" wrapText="1"/>
    </xf>
    <xf numFmtId="0" fontId="14" fillId="0" borderId="12" xfId="22" applyFont="1" applyFill="1" applyBorder="1" applyAlignment="1">
      <alignment horizontal="left" vertical="top" wrapText="1"/>
    </xf>
    <xf numFmtId="4" fontId="14" fillId="0" borderId="10" xfId="22" applyNumberFormat="1" applyFont="1" applyFill="1" applyBorder="1" applyAlignment="1">
      <alignment horizontal="left" vertical="center" wrapText="1"/>
    </xf>
    <xf numFmtId="0" fontId="29" fillId="26" borderId="9" xfId="22" applyFont="1" applyFill="1" applyBorder="1" applyAlignment="1">
      <alignment horizontal="left"/>
    </xf>
    <xf numFmtId="0" fontId="14" fillId="0" borderId="9" xfId="22" applyFont="1" applyFill="1" applyBorder="1" applyAlignment="1">
      <alignment horizontal="left" wrapText="1"/>
    </xf>
    <xf numFmtId="0" fontId="29" fillId="27" borderId="9" xfId="22" applyFont="1" applyFill="1" applyBorder="1" applyAlignment="1">
      <alignment horizontal="left" wrapText="1"/>
    </xf>
    <xf numFmtId="0" fontId="14" fillId="0" borderId="0" xfId="20" applyFont="1" applyFill="1" applyBorder="1"/>
    <xf numFmtId="0" fontId="14" fillId="0" borderId="10" xfId="22" applyFont="1" applyFill="1" applyBorder="1" applyAlignment="1">
      <alignment horizontal="left" vertical="center"/>
    </xf>
    <xf numFmtId="0" fontId="14" fillId="0" borderId="10" xfId="22" applyFont="1" applyFill="1" applyBorder="1" applyAlignment="1">
      <alignment horizontal="left" vertical="top"/>
    </xf>
    <xf numFmtId="165" fontId="10" fillId="0" borderId="1" xfId="0" applyNumberFormat="1" applyFont="1" applyFill="1" applyBorder="1" applyAlignment="1">
      <alignment horizontal="right" vertical="center" wrapText="1"/>
    </xf>
    <xf numFmtId="49" fontId="9" fillId="0" borderId="9" xfId="0" applyNumberFormat="1" applyFont="1" applyFill="1" applyBorder="1" applyAlignment="1">
      <alignment horizontal="center" vertical="center" wrapText="1"/>
    </xf>
    <xf numFmtId="166" fontId="10" fillId="0" borderId="9" xfId="0" applyNumberFormat="1" applyFont="1" applyFill="1" applyBorder="1" applyAlignment="1">
      <alignment horizontal="center" vertical="top" wrapText="1"/>
    </xf>
    <xf numFmtId="1" fontId="10" fillId="0" borderId="9" xfId="0" applyNumberFormat="1" applyFont="1" applyFill="1" applyBorder="1" applyAlignment="1">
      <alignment horizontal="center" vertical="center" wrapText="1"/>
    </xf>
    <xf numFmtId="2" fontId="10" fillId="0" borderId="9" xfId="0" applyNumberFormat="1" applyFont="1" applyFill="1" applyBorder="1" applyAlignment="1">
      <alignment horizontal="center" vertical="center" wrapText="1"/>
    </xf>
    <xf numFmtId="166" fontId="10" fillId="0" borderId="9" xfId="0" applyNumberFormat="1" applyFont="1" applyFill="1" applyBorder="1" applyAlignment="1">
      <alignment vertical="center" wrapText="1"/>
    </xf>
    <xf numFmtId="2" fontId="16" fillId="0" borderId="9" xfId="0" applyNumberFormat="1" applyFont="1" applyFill="1" applyBorder="1"/>
    <xf numFmtId="0" fontId="16" fillId="0" borderId="9" xfId="0" applyFont="1" applyFill="1" applyBorder="1"/>
    <xf numFmtId="0" fontId="0" fillId="0" borderId="9" xfId="0" applyFill="1" applyBorder="1"/>
    <xf numFmtId="164" fontId="10" fillId="0" borderId="9" xfId="0" applyNumberFormat="1" applyFont="1" applyFill="1" applyBorder="1" applyAlignment="1">
      <alignment horizontal="right"/>
    </xf>
    <xf numFmtId="0" fontId="14" fillId="0" borderId="9" xfId="36" applyFont="1" applyFill="1" applyBorder="1" applyAlignment="1">
      <alignment horizontal="justify" vertical="center" wrapText="1"/>
    </xf>
    <xf numFmtId="4" fontId="29" fillId="0" borderId="10" xfId="22" applyNumberFormat="1" applyFont="1" applyBorder="1" applyAlignment="1">
      <alignment horizontal="center" vertical="center" wrapText="1"/>
    </xf>
    <xf numFmtId="0" fontId="14" fillId="0" borderId="9" xfId="22" applyFont="1" applyBorder="1" applyAlignment="1">
      <alignment horizontal="left" vertical="top" wrapText="1"/>
    </xf>
    <xf numFmtId="172" fontId="29" fillId="0" borderId="9" xfId="22" applyNumberFormat="1" applyFont="1" applyBorder="1" applyAlignment="1">
      <alignment horizontal="center" vertical="center" wrapText="1"/>
    </xf>
    <xf numFmtId="172" fontId="85" fillId="0" borderId="0" xfId="0" applyNumberFormat="1" applyFont="1" applyFill="1"/>
    <xf numFmtId="0" fontId="85" fillId="0" borderId="5" xfId="0" applyFont="1" applyBorder="1" applyAlignment="1">
      <alignment horizontal="justify" vertical="top" wrapText="1"/>
    </xf>
    <xf numFmtId="0" fontId="86" fillId="0" borderId="5" xfId="0" applyFont="1" applyBorder="1" applyAlignment="1">
      <alignment horizontal="justify" vertical="center" wrapText="1"/>
    </xf>
    <xf numFmtId="0" fontId="82" fillId="0" borderId="5" xfId="0" applyFont="1" applyBorder="1" applyAlignment="1">
      <alignment horizontal="justify" vertical="top"/>
    </xf>
    <xf numFmtId="43" fontId="29" fillId="18" borderId="9" xfId="3" applyFont="1" applyFill="1" applyBorder="1" applyAlignment="1" applyProtection="1">
      <alignment vertical="center" wrapText="1"/>
    </xf>
    <xf numFmtId="4" fontId="29" fillId="18" borderId="9" xfId="22" applyNumberFormat="1" applyFont="1" applyFill="1" applyBorder="1" applyAlignment="1">
      <alignment horizontal="center" vertical="center" wrapText="1"/>
    </xf>
    <xf numFmtId="174" fontId="13" fillId="4" borderId="9" xfId="1" applyNumberFormat="1" applyFont="1" applyFill="1" applyBorder="1"/>
    <xf numFmtId="0" fontId="54" fillId="0" borderId="9" xfId="0" applyFont="1" applyFill="1" applyBorder="1" applyAlignment="1" applyProtection="1">
      <alignment vertical="top" wrapText="1"/>
      <protection locked="0"/>
    </xf>
    <xf numFmtId="0" fontId="54" fillId="0" borderId="9" xfId="0" applyFont="1" applyFill="1" applyBorder="1" applyAlignment="1" applyProtection="1">
      <alignment horizontal="left" vertical="top" wrapText="1"/>
      <protection locked="0"/>
    </xf>
    <xf numFmtId="165" fontId="9" fillId="0" borderId="8" xfId="0" applyNumberFormat="1" applyFont="1" applyBorder="1" applyAlignment="1">
      <alignment horizontal="center" vertical="center" wrapText="1"/>
    </xf>
    <xf numFmtId="0" fontId="49" fillId="0" borderId="0" xfId="24" applyFont="1" applyAlignment="1">
      <alignment horizontal="center"/>
    </xf>
    <xf numFmtId="0" fontId="9" fillId="0" borderId="9" xfId="0" applyFont="1" applyBorder="1" applyAlignment="1">
      <alignment horizontal="left" vertical="center" wrapText="1"/>
    </xf>
    <xf numFmtId="165" fontId="9" fillId="0" borderId="12" xfId="0" applyNumberFormat="1" applyFont="1" applyBorder="1" applyAlignment="1">
      <alignment horizontal="center" vertical="center" wrapText="1"/>
    </xf>
    <xf numFmtId="0" fontId="13" fillId="0" borderId="12" xfId="0" applyFont="1" applyBorder="1" applyAlignment="1">
      <alignment horizontal="center" vertical="center" wrapText="1"/>
    </xf>
    <xf numFmtId="165" fontId="9" fillId="0" borderId="9" xfId="0" applyNumberFormat="1" applyFont="1" applyBorder="1" applyAlignment="1">
      <alignment horizontal="center" vertical="center" wrapText="1"/>
    </xf>
    <xf numFmtId="0" fontId="20" fillId="7" borderId="11" xfId="0" applyFont="1" applyFill="1" applyBorder="1" applyAlignment="1">
      <alignment horizontal="left"/>
    </xf>
    <xf numFmtId="0" fontId="20" fillId="7" borderId="12" xfId="0" applyFont="1" applyFill="1" applyBorder="1" applyAlignment="1">
      <alignment horizontal="left"/>
    </xf>
    <xf numFmtId="0" fontId="49" fillId="0" borderId="0" xfId="24" applyFont="1" applyFill="1" applyAlignment="1">
      <alignment horizontal="center"/>
    </xf>
    <xf numFmtId="0" fontId="10" fillId="0" borderId="0" xfId="0" applyFont="1" applyFill="1"/>
    <xf numFmtId="0" fontId="9" fillId="0" borderId="9" xfId="0" applyFont="1" applyFill="1" applyBorder="1" applyAlignment="1">
      <alignment horizontal="left" vertical="center" wrapText="1"/>
    </xf>
    <xf numFmtId="165" fontId="9" fillId="0" borderId="9" xfId="0" applyNumberFormat="1" applyFont="1" applyFill="1" applyBorder="1" applyAlignment="1">
      <alignment horizontal="center" vertical="center" wrapText="1"/>
    </xf>
    <xf numFmtId="165" fontId="9" fillId="0" borderId="10" xfId="0" applyNumberFormat="1" applyFont="1" applyFill="1" applyBorder="1" applyAlignment="1">
      <alignment horizontal="center" vertical="center" wrapText="1"/>
    </xf>
    <xf numFmtId="165" fontId="9" fillId="0" borderId="2" xfId="0" applyNumberFormat="1" applyFont="1" applyFill="1" applyBorder="1" applyAlignment="1">
      <alignment horizontal="center" vertical="center" wrapText="1"/>
    </xf>
    <xf numFmtId="0" fontId="9" fillId="0" borderId="9" xfId="0" applyFont="1" applyFill="1" applyBorder="1" applyAlignment="1">
      <alignment horizontal="center" vertical="center" wrapText="1"/>
    </xf>
    <xf numFmtId="14" fontId="9" fillId="0" borderId="9" xfId="0" applyNumberFormat="1" applyFont="1" applyFill="1" applyBorder="1" applyAlignment="1">
      <alignment horizontal="center" vertical="center" wrapText="1"/>
    </xf>
    <xf numFmtId="165" fontId="10" fillId="0" borderId="9" xfId="0" applyNumberFormat="1" applyFont="1" applyFill="1" applyBorder="1" applyAlignment="1">
      <alignment horizontal="center" vertical="center" wrapText="1"/>
    </xf>
    <xf numFmtId="0" fontId="9" fillId="0" borderId="10" xfId="0" applyFont="1" applyFill="1" applyBorder="1" applyAlignment="1">
      <alignment horizontal="left"/>
    </xf>
    <xf numFmtId="0" fontId="9" fillId="0" borderId="0" xfId="0" applyFont="1" applyFill="1"/>
    <xf numFmtId="164" fontId="9" fillId="0" borderId="0" xfId="0" applyNumberFormat="1" applyFont="1" applyFill="1"/>
    <xf numFmtId="4" fontId="9" fillId="0" borderId="0" xfId="0" applyNumberFormat="1" applyFont="1" applyFill="1"/>
    <xf numFmtId="2" fontId="10" fillId="0" borderId="0" xfId="0" applyNumberFormat="1" applyFont="1" applyFill="1"/>
    <xf numFmtId="4" fontId="10" fillId="0" borderId="9" xfId="0" applyNumberFormat="1" applyFont="1" applyFill="1" applyBorder="1"/>
    <xf numFmtId="0" fontId="10" fillId="0" borderId="9" xfId="0" applyFont="1" applyFill="1" applyBorder="1" applyAlignment="1">
      <alignment horizontal="left" vertical="top" wrapText="1"/>
    </xf>
    <xf numFmtId="0" fontId="9" fillId="0" borderId="9" xfId="0" applyFont="1" applyFill="1" applyBorder="1" applyAlignment="1">
      <alignment horizontal="left" wrapText="1"/>
    </xf>
    <xf numFmtId="165" fontId="50" fillId="0" borderId="9" xfId="0" applyNumberFormat="1" applyFont="1" applyFill="1" applyBorder="1" applyAlignment="1">
      <alignment horizontal="center" vertical="center" wrapText="1"/>
    </xf>
    <xf numFmtId="177" fontId="10" fillId="0" borderId="9" xfId="0" applyNumberFormat="1" applyFont="1" applyFill="1" applyBorder="1" applyAlignment="1">
      <alignment horizontal="right" vertical="center" wrapText="1"/>
    </xf>
    <xf numFmtId="0" fontId="10" fillId="0" borderId="9" xfId="0" applyFont="1" applyFill="1" applyBorder="1" applyAlignment="1">
      <alignment wrapText="1"/>
    </xf>
    <xf numFmtId="176" fontId="10" fillId="0" borderId="0" xfId="0" applyNumberFormat="1" applyFont="1" applyFill="1"/>
    <xf numFmtId="168" fontId="10" fillId="0" borderId="2" xfId="0" applyNumberFormat="1" applyFont="1" applyFill="1" applyBorder="1" applyAlignment="1">
      <alignment horizontal="right" wrapText="1"/>
    </xf>
    <xf numFmtId="4" fontId="10" fillId="0" borderId="9" xfId="0" applyNumberFormat="1" applyFont="1" applyFill="1" applyBorder="1" applyAlignment="1" applyProtection="1">
      <alignment horizontal="right" vertical="center"/>
      <protection hidden="1"/>
    </xf>
    <xf numFmtId="168" fontId="10" fillId="0" borderId="8" xfId="0" applyNumberFormat="1" applyFont="1" applyFill="1" applyBorder="1" applyAlignment="1">
      <alignment horizontal="right" wrapText="1"/>
    </xf>
    <xf numFmtId="168" fontId="10" fillId="0" borderId="9" xfId="0" applyNumberFormat="1" applyFont="1" applyFill="1" applyBorder="1" applyAlignment="1">
      <alignment vertical="center" wrapText="1"/>
    </xf>
    <xf numFmtId="0" fontId="28" fillId="0" borderId="9" xfId="0" applyFont="1" applyFill="1" applyBorder="1" applyAlignment="1">
      <alignment vertical="top" wrapText="1"/>
    </xf>
    <xf numFmtId="0" fontId="10" fillId="0" borderId="0" xfId="0" applyFont="1" applyFill="1" applyAlignment="1">
      <alignment horizontal="right"/>
    </xf>
    <xf numFmtId="14" fontId="14" fillId="0" borderId="2" xfId="0" applyNumberFormat="1" applyFont="1" applyFill="1" applyBorder="1" applyAlignment="1">
      <alignment horizontal="justify" vertical="top" wrapText="1"/>
    </xf>
    <xf numFmtId="0" fontId="14" fillId="0" borderId="5" xfId="0" applyFont="1" applyFill="1" applyBorder="1" applyAlignment="1">
      <alignment horizontal="justify" vertical="top" wrapText="1"/>
    </xf>
    <xf numFmtId="0" fontId="14" fillId="0" borderId="9" xfId="0" applyFont="1" applyFill="1" applyBorder="1" applyAlignment="1">
      <alignment horizontal="justify" vertical="top" wrapText="1"/>
    </xf>
    <xf numFmtId="0" fontId="36" fillId="0" borderId="9" xfId="0" applyFont="1" applyFill="1" applyBorder="1" applyAlignment="1">
      <alignment wrapText="1"/>
    </xf>
    <xf numFmtId="178" fontId="23" fillId="0" borderId="9" xfId="0" applyNumberFormat="1" applyFont="1" applyBorder="1" applyAlignment="1">
      <alignment horizontal="right" vertical="center" wrapText="1"/>
    </xf>
    <xf numFmtId="178" fontId="23" fillId="0" borderId="9" xfId="0" applyNumberFormat="1" applyFont="1" applyBorder="1" applyAlignment="1">
      <alignment horizontal="center" vertical="center" wrapText="1"/>
    </xf>
    <xf numFmtId="0" fontId="37" fillId="0" borderId="9" xfId="0" applyFont="1" applyFill="1" applyBorder="1" applyAlignment="1">
      <alignment horizontal="left" vertical="distributed" wrapText="1"/>
    </xf>
    <xf numFmtId="0" fontId="36" fillId="0" borderId="8" xfId="0" applyNumberFormat="1" applyFont="1" applyFill="1" applyBorder="1" applyAlignment="1">
      <alignment vertical="center" wrapText="1"/>
    </xf>
    <xf numFmtId="179" fontId="10" fillId="0" borderId="9" xfId="0" applyNumberFormat="1" applyFont="1" applyFill="1" applyBorder="1" applyAlignment="1">
      <alignment horizontal="right" vertical="center" wrapText="1"/>
    </xf>
    <xf numFmtId="168" fontId="9" fillId="8" borderId="9" xfId="0" applyNumberFormat="1" applyFont="1" applyFill="1" applyBorder="1" applyAlignment="1">
      <alignment wrapText="1"/>
    </xf>
    <xf numFmtId="2" fontId="13" fillId="0" borderId="0" xfId="0" applyNumberFormat="1" applyFont="1" applyAlignment="1"/>
    <xf numFmtId="0" fontId="13" fillId="0" borderId="0" xfId="0" applyFont="1" applyAlignment="1"/>
    <xf numFmtId="2" fontId="87" fillId="8" borderId="9" xfId="0" applyNumberFormat="1" applyFont="1" applyFill="1" applyBorder="1" applyAlignment="1">
      <alignment horizontal="right" wrapText="1"/>
    </xf>
    <xf numFmtId="2" fontId="87" fillId="8" borderId="9" xfId="0" applyNumberFormat="1" applyFont="1" applyFill="1" applyBorder="1" applyAlignment="1">
      <alignment horizontal="right" vertical="top" wrapText="1"/>
    </xf>
    <xf numFmtId="167" fontId="9" fillId="11" borderId="9" xfId="0" applyNumberFormat="1" applyFont="1" applyFill="1" applyBorder="1" applyAlignment="1">
      <alignment horizontal="left" vertical="center" wrapText="1"/>
    </xf>
    <xf numFmtId="168" fontId="9" fillId="11" borderId="9" xfId="0" applyNumberFormat="1" applyFont="1" applyFill="1" applyBorder="1" applyAlignment="1">
      <alignment horizontal="right" vertical="center" wrapText="1"/>
    </xf>
    <xf numFmtId="2" fontId="13" fillId="0" borderId="0" xfId="0" applyNumberFormat="1" applyFont="1" applyAlignment="1">
      <alignment vertical="center"/>
    </xf>
    <xf numFmtId="0" fontId="13" fillId="0" borderId="0" xfId="0" applyFont="1" applyAlignment="1">
      <alignment vertical="center"/>
    </xf>
    <xf numFmtId="2" fontId="10" fillId="8" borderId="9" xfId="0" applyNumberFormat="1" applyFont="1" applyFill="1" applyBorder="1" applyAlignment="1">
      <alignment horizontal="right" vertical="top" wrapText="1"/>
    </xf>
    <xf numFmtId="0" fontId="10" fillId="0" borderId="9" xfId="0" applyFont="1" applyFill="1" applyBorder="1" applyAlignment="1">
      <alignment vertical="top" wrapText="1"/>
    </xf>
    <xf numFmtId="165" fontId="10" fillId="0" borderId="9" xfId="0" applyNumberFormat="1" applyFont="1" applyFill="1" applyBorder="1" applyAlignment="1">
      <alignment horizontal="center" vertical="top" wrapText="1"/>
    </xf>
    <xf numFmtId="0" fontId="10" fillId="0" borderId="2" xfId="0" applyFont="1" applyFill="1" applyBorder="1" applyAlignment="1" applyProtection="1">
      <alignment vertical="top" wrapText="1"/>
      <protection locked="0"/>
    </xf>
    <xf numFmtId="0" fontId="13" fillId="0" borderId="0" xfId="0" applyFont="1" applyFill="1" applyAlignment="1">
      <alignment vertical="top"/>
    </xf>
    <xf numFmtId="0" fontId="13" fillId="0" borderId="9" xfId="0" applyFont="1" applyFill="1" applyBorder="1" applyAlignment="1">
      <alignment vertical="top"/>
    </xf>
    <xf numFmtId="168" fontId="9" fillId="0" borderId="9" xfId="0" applyNumberFormat="1" applyFont="1" applyFill="1" applyBorder="1" applyAlignment="1">
      <alignment horizontal="right" vertical="top" wrapText="1"/>
    </xf>
    <xf numFmtId="168" fontId="10" fillId="0" borderId="9" xfId="0" applyNumberFormat="1" applyFont="1" applyFill="1" applyBorder="1" applyAlignment="1">
      <alignment horizontal="right" vertical="top" wrapText="1"/>
    </xf>
    <xf numFmtId="0" fontId="10" fillId="0" borderId="9" xfId="0" applyFont="1" applyFill="1" applyBorder="1" applyAlignment="1">
      <alignment horizontal="justify" vertical="top" wrapText="1"/>
    </xf>
    <xf numFmtId="168" fontId="11" fillId="0" borderId="9" xfId="0" applyNumberFormat="1" applyFont="1" applyFill="1" applyBorder="1" applyAlignment="1">
      <alignment horizontal="right" vertical="top" wrapText="1"/>
    </xf>
    <xf numFmtId="0" fontId="17" fillId="0" borderId="9" xfId="0" applyFont="1" applyFill="1" applyBorder="1" applyAlignment="1">
      <alignment vertical="top" wrapText="1"/>
    </xf>
    <xf numFmtId="0" fontId="10" fillId="0" borderId="2"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8" xfId="0" applyFont="1" applyFill="1" applyBorder="1" applyAlignment="1">
      <alignment horizontal="left" vertical="top" wrapText="1"/>
    </xf>
    <xf numFmtId="0" fontId="13" fillId="0" borderId="0" xfId="0" applyFont="1" applyFill="1" applyAlignment="1">
      <alignment vertical="top" wrapText="1"/>
    </xf>
    <xf numFmtId="4" fontId="10" fillId="0" borderId="9" xfId="0" applyNumberFormat="1" applyFont="1" applyFill="1" applyBorder="1" applyAlignment="1">
      <alignment vertical="top" wrapText="1"/>
    </xf>
    <xf numFmtId="0" fontId="10" fillId="0" borderId="9" xfId="0" applyFont="1" applyFill="1" applyBorder="1" applyAlignment="1">
      <alignment vertical="top"/>
    </xf>
    <xf numFmtId="168" fontId="10" fillId="0" borderId="2" xfId="0" applyNumberFormat="1" applyFont="1" applyFill="1" applyBorder="1" applyAlignment="1">
      <alignment vertical="top" wrapText="1"/>
    </xf>
    <xf numFmtId="0" fontId="9" fillId="0" borderId="9" xfId="0" applyFont="1" applyFill="1" applyBorder="1" applyAlignment="1">
      <alignment vertical="top"/>
    </xf>
    <xf numFmtId="164" fontId="13" fillId="0" borderId="0" xfId="0" applyNumberFormat="1" applyFont="1"/>
    <xf numFmtId="0" fontId="10" fillId="8" borderId="9" xfId="0" applyFont="1" applyFill="1" applyBorder="1" applyAlignment="1">
      <alignment wrapText="1"/>
    </xf>
    <xf numFmtId="0" fontId="10" fillId="0" borderId="9" xfId="0" applyFont="1" applyFill="1" applyBorder="1" applyAlignment="1">
      <alignment horizontal="justify" vertical="center" wrapText="1"/>
    </xf>
    <xf numFmtId="0" fontId="40" fillId="0" borderId="0" xfId="0" applyFont="1" applyAlignment="1">
      <alignment vertical="center" wrapText="1"/>
    </xf>
    <xf numFmtId="169" fontId="10" fillId="9" borderId="9" xfId="0" applyNumberFormat="1" applyFont="1" applyFill="1" applyBorder="1" applyAlignment="1">
      <alignment horizontal="right"/>
    </xf>
    <xf numFmtId="4" fontId="13" fillId="9" borderId="9" xfId="0" applyNumberFormat="1" applyFont="1" applyFill="1" applyBorder="1"/>
    <xf numFmtId="168" fontId="10" fillId="28" borderId="9" xfId="0" applyNumberFormat="1" applyFont="1" applyFill="1" applyBorder="1" applyAlignment="1">
      <alignment horizontal="right" wrapText="1"/>
    </xf>
    <xf numFmtId="168" fontId="9" fillId="12" borderId="9" xfId="0" applyNumberFormat="1" applyFont="1" applyFill="1" applyBorder="1" applyAlignment="1">
      <alignment horizontal="right" wrapText="1"/>
    </xf>
    <xf numFmtId="165" fontId="9" fillId="0" borderId="0" xfId="0" applyNumberFormat="1" applyFont="1" applyAlignment="1" applyProtection="1">
      <alignment horizontal="center" vertical="center" wrapText="1"/>
    </xf>
    <xf numFmtId="165" fontId="49" fillId="0" borderId="1" xfId="24" applyNumberFormat="1"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165" fontId="9" fillId="0" borderId="3" xfId="0" applyNumberFormat="1" applyFont="1" applyBorder="1" applyAlignment="1" applyProtection="1">
      <alignment horizontal="center" vertical="center" wrapText="1"/>
    </xf>
    <xf numFmtId="165" fontId="9" fillId="0" borderId="4" xfId="0" applyNumberFormat="1" applyFont="1" applyBorder="1" applyAlignment="1" applyProtection="1">
      <alignment horizontal="center" vertical="center" wrapText="1"/>
    </xf>
    <xf numFmtId="165" fontId="9" fillId="0" borderId="6" xfId="0" applyNumberFormat="1" applyFont="1" applyBorder="1" applyAlignment="1" applyProtection="1">
      <alignment horizontal="center" vertical="center" wrapText="1"/>
    </xf>
    <xf numFmtId="165" fontId="9" fillId="0" borderId="7" xfId="0" applyNumberFormat="1" applyFont="1" applyBorder="1" applyAlignment="1" applyProtection="1">
      <alignment horizontal="center" vertical="center" wrapText="1"/>
    </xf>
    <xf numFmtId="165" fontId="9" fillId="0" borderId="2" xfId="0" applyNumberFormat="1" applyFont="1" applyBorder="1" applyAlignment="1" applyProtection="1">
      <alignment horizontal="center" vertical="center" wrapText="1"/>
    </xf>
    <xf numFmtId="165" fontId="9" fillId="0" borderId="8" xfId="0" applyNumberFormat="1" applyFont="1" applyBorder="1" applyAlignment="1" applyProtection="1">
      <alignment horizontal="center" vertical="center" wrapText="1"/>
    </xf>
    <xf numFmtId="165" fontId="9" fillId="0" borderId="3" xfId="0" applyNumberFormat="1" applyFont="1" applyBorder="1" applyAlignment="1">
      <alignment horizontal="center" vertical="center" wrapText="1"/>
    </xf>
    <xf numFmtId="165" fontId="9" fillId="0" borderId="4" xfId="0" applyNumberFormat="1" applyFont="1" applyBorder="1" applyAlignment="1">
      <alignment horizontal="center" vertical="center" wrapText="1"/>
    </xf>
    <xf numFmtId="165" fontId="9" fillId="0" borderId="6" xfId="0" applyNumberFormat="1" applyFont="1" applyBorder="1" applyAlignment="1">
      <alignment horizontal="center" vertical="center" wrapText="1"/>
    </xf>
    <xf numFmtId="165" fontId="9" fillId="0" borderId="7" xfId="0" applyNumberFormat="1" applyFont="1" applyBorder="1" applyAlignment="1">
      <alignment horizontal="center" vertical="center" wrapText="1"/>
    </xf>
    <xf numFmtId="165" fontId="9" fillId="0" borderId="0" xfId="0" applyNumberFormat="1" applyFont="1" applyAlignment="1">
      <alignment horizontal="center" vertical="center" wrapText="1"/>
    </xf>
    <xf numFmtId="165" fontId="49" fillId="0" borderId="1" xfId="24"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165" fontId="9" fillId="0" borderId="2" xfId="0" applyNumberFormat="1" applyFont="1" applyBorder="1" applyAlignment="1">
      <alignment horizontal="center" vertical="center" wrapText="1"/>
    </xf>
    <xf numFmtId="165" fontId="9" fillId="0" borderId="8" xfId="0" applyNumberFormat="1" applyFont="1" applyBorder="1" applyAlignment="1">
      <alignment horizontal="center" vertical="center" wrapText="1"/>
    </xf>
    <xf numFmtId="165" fontId="9" fillId="0" borderId="2" xfId="0" applyNumberFormat="1" applyFont="1" applyBorder="1" applyAlignment="1" applyProtection="1">
      <alignment horizontal="center" vertical="center" wrapText="1"/>
      <protection locked="0"/>
    </xf>
    <xf numFmtId="165" fontId="9" fillId="0" borderId="8" xfId="0" applyNumberFormat="1" applyFont="1" applyBorder="1" applyAlignment="1" applyProtection="1">
      <alignment horizontal="center" vertical="center" wrapText="1"/>
      <protection locked="0"/>
    </xf>
    <xf numFmtId="0" fontId="9" fillId="0" borderId="8" xfId="0" applyFont="1" applyBorder="1" applyAlignment="1">
      <alignment horizontal="center" vertical="center" wrapText="1"/>
    </xf>
    <xf numFmtId="165" fontId="9" fillId="0" borderId="3" xfId="0" applyNumberFormat="1" applyFont="1" applyFill="1" applyBorder="1" applyAlignment="1">
      <alignment horizontal="center" vertical="center" wrapText="1"/>
    </xf>
    <xf numFmtId="165" fontId="9" fillId="0" borderId="4" xfId="0" applyNumberFormat="1" applyFont="1" applyFill="1" applyBorder="1" applyAlignment="1">
      <alignment horizontal="center" vertical="center" wrapText="1"/>
    </xf>
    <xf numFmtId="165" fontId="9" fillId="0" borderId="6" xfId="0" applyNumberFormat="1" applyFont="1" applyFill="1" applyBorder="1" applyAlignment="1">
      <alignment horizontal="center" vertical="center" wrapText="1"/>
    </xf>
    <xf numFmtId="165" fontId="9" fillId="0" borderId="7"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2" xfId="0" applyFont="1" applyBorder="1" applyAlignment="1">
      <alignment horizontal="center" vertical="top" wrapText="1"/>
    </xf>
    <xf numFmtId="0" fontId="9" fillId="0" borderId="5" xfId="0" applyFont="1" applyBorder="1" applyAlignment="1">
      <alignment horizontal="center" vertical="top" wrapText="1"/>
    </xf>
    <xf numFmtId="165" fontId="9" fillId="0" borderId="2" xfId="0" applyNumberFormat="1" applyFont="1" applyFill="1" applyBorder="1" applyAlignment="1">
      <alignment horizontal="center" vertical="center" wrapText="1"/>
    </xf>
    <xf numFmtId="165" fontId="9" fillId="0" borderId="8" xfId="0" applyNumberFormat="1" applyFont="1" applyFill="1" applyBorder="1" applyAlignment="1">
      <alignment horizontal="center" vertical="center" wrapText="1"/>
    </xf>
    <xf numFmtId="0" fontId="49" fillId="0" borderId="0" xfId="24" applyFont="1" applyAlignment="1">
      <alignment horizontal="center"/>
    </xf>
    <xf numFmtId="0" fontId="9" fillId="0" borderId="9" xfId="0" applyFont="1" applyBorder="1" applyAlignment="1">
      <alignment horizontal="left" vertical="center" wrapText="1"/>
    </xf>
    <xf numFmtId="165" fontId="9" fillId="0" borderId="10" xfId="0" applyNumberFormat="1" applyFont="1" applyBorder="1" applyAlignment="1">
      <alignment horizontal="center" vertical="center" wrapText="1"/>
    </xf>
    <xf numFmtId="165" fontId="9" fillId="0" borderId="12" xfId="0" applyNumberFormat="1" applyFont="1" applyBorder="1" applyAlignment="1">
      <alignment horizontal="center" vertical="center" wrapText="1"/>
    </xf>
    <xf numFmtId="0" fontId="13" fillId="0" borderId="12" xfId="0" applyFont="1" applyBorder="1" applyAlignment="1">
      <alignment horizontal="center" vertical="center" wrapText="1"/>
    </xf>
    <xf numFmtId="165" fontId="9" fillId="0" borderId="9" xfId="0" applyNumberFormat="1" applyFont="1" applyBorder="1" applyAlignment="1">
      <alignment horizontal="center" vertical="center" wrapText="1"/>
    </xf>
    <xf numFmtId="0" fontId="20" fillId="7" borderId="10" xfId="0" applyFont="1" applyFill="1" applyBorder="1" applyAlignment="1">
      <alignment horizontal="left"/>
    </xf>
    <xf numFmtId="0" fontId="20" fillId="7" borderId="11" xfId="0" applyFont="1" applyFill="1" applyBorder="1" applyAlignment="1">
      <alignment horizontal="left"/>
    </xf>
    <xf numFmtId="0" fontId="20" fillId="7" borderId="12" xfId="0" applyFont="1" applyFill="1" applyBorder="1" applyAlignment="1">
      <alignment horizontal="left"/>
    </xf>
    <xf numFmtId="0" fontId="21" fillId="0" borderId="0" xfId="4" applyFont="1" applyAlignment="1">
      <alignment horizontal="center" vertical="center" wrapText="1"/>
    </xf>
    <xf numFmtId="165" fontId="49" fillId="0" borderId="0" xfId="24" applyNumberFormat="1" applyFont="1" applyAlignment="1">
      <alignment horizontal="center" vertical="center" wrapText="1"/>
    </xf>
    <xf numFmtId="165" fontId="23" fillId="0" borderId="0" xfId="4" applyNumberFormat="1" applyFont="1" applyAlignment="1">
      <alignment horizontal="center" vertical="center" wrapText="1"/>
    </xf>
    <xf numFmtId="0" fontId="9" fillId="7" borderId="10" xfId="0" applyFont="1" applyFill="1" applyBorder="1" applyAlignment="1">
      <alignment horizontal="left" vertical="top" wrapText="1"/>
    </xf>
    <xf numFmtId="0" fontId="9" fillId="7" borderId="11" xfId="0" applyFont="1" applyFill="1" applyBorder="1" applyAlignment="1">
      <alignment horizontal="left" vertical="top" wrapText="1"/>
    </xf>
    <xf numFmtId="0" fontId="9" fillId="7" borderId="12" xfId="0" applyFont="1" applyFill="1" applyBorder="1" applyAlignment="1">
      <alignment horizontal="left" vertical="top" wrapText="1"/>
    </xf>
    <xf numFmtId="0" fontId="9" fillId="7" borderId="10" xfId="0" applyFont="1" applyFill="1" applyBorder="1" applyAlignment="1">
      <alignment horizontal="left"/>
    </xf>
    <xf numFmtId="0" fontId="9" fillId="7" borderId="11" xfId="0" applyFont="1" applyFill="1" applyBorder="1" applyAlignment="1">
      <alignment horizontal="left"/>
    </xf>
    <xf numFmtId="0" fontId="9" fillId="7" borderId="12" xfId="0" applyFont="1" applyFill="1" applyBorder="1" applyAlignment="1">
      <alignment horizontal="left"/>
    </xf>
    <xf numFmtId="0" fontId="9" fillId="7" borderId="10" xfId="0" applyFont="1" applyFill="1" applyBorder="1" applyAlignment="1">
      <alignment horizontal="left" wrapText="1"/>
    </xf>
    <xf numFmtId="165" fontId="9" fillId="13" borderId="10" xfId="0" applyNumberFormat="1" applyFont="1" applyFill="1" applyBorder="1" applyAlignment="1">
      <alignment horizontal="center" vertical="center" wrapText="1"/>
    </xf>
    <xf numFmtId="0" fontId="13" fillId="13" borderId="12" xfId="0" applyFont="1" applyFill="1" applyBorder="1" applyAlignment="1">
      <alignment horizontal="center" vertical="center" wrapText="1"/>
    </xf>
    <xf numFmtId="165" fontId="9" fillId="13" borderId="9" xfId="0" applyNumberFormat="1" applyFont="1" applyFill="1" applyBorder="1" applyAlignment="1">
      <alignment horizontal="center" vertical="center" wrapText="1"/>
    </xf>
    <xf numFmtId="0" fontId="20" fillId="0" borderId="10" xfId="0" applyFont="1" applyFill="1" applyBorder="1" applyAlignment="1">
      <alignment horizontal="left"/>
    </xf>
    <xf numFmtId="0" fontId="20" fillId="0" borderId="11" xfId="0" applyFont="1" applyFill="1" applyBorder="1" applyAlignment="1">
      <alignment horizontal="left"/>
    </xf>
    <xf numFmtId="0" fontId="20" fillId="0" borderId="12" xfId="0" applyFont="1" applyFill="1" applyBorder="1" applyAlignment="1">
      <alignment horizontal="left"/>
    </xf>
    <xf numFmtId="165" fontId="22" fillId="0" borderId="0" xfId="20" applyNumberFormat="1" applyFont="1" applyAlignment="1" applyProtection="1">
      <alignment horizontal="center" vertical="center" wrapText="1"/>
    </xf>
    <xf numFmtId="0" fontId="9" fillId="0" borderId="2" xfId="20" applyFont="1" applyBorder="1" applyAlignment="1" applyProtection="1">
      <alignment horizontal="left" vertical="top" wrapText="1"/>
    </xf>
    <xf numFmtId="0" fontId="9" fillId="0" borderId="5" xfId="20" applyFont="1" applyBorder="1" applyAlignment="1" applyProtection="1">
      <alignment horizontal="left" vertical="top" wrapText="1"/>
    </xf>
    <xf numFmtId="0" fontId="9" fillId="0" borderId="8" xfId="20" applyFont="1" applyBorder="1" applyAlignment="1" applyProtection="1">
      <alignment horizontal="left" vertical="top" wrapText="1"/>
    </xf>
    <xf numFmtId="165" fontId="9" fillId="0" borderId="2" xfId="20" applyNumberFormat="1" applyFont="1" applyBorder="1" applyAlignment="1" applyProtection="1">
      <alignment horizontal="center" vertical="center" wrapText="1"/>
    </xf>
    <xf numFmtId="165" fontId="9" fillId="0" borderId="5" xfId="20" applyNumberFormat="1" applyFont="1" applyBorder="1" applyAlignment="1" applyProtection="1">
      <alignment horizontal="center" vertical="center" wrapText="1"/>
    </xf>
    <xf numFmtId="165" fontId="9" fillId="0" borderId="3" xfId="20" applyNumberFormat="1" applyFont="1" applyBorder="1" applyAlignment="1" applyProtection="1">
      <alignment horizontal="center" vertical="center" wrapText="1"/>
    </xf>
    <xf numFmtId="165" fontId="9" fillId="0" borderId="4" xfId="20" applyNumberFormat="1" applyFont="1" applyBorder="1" applyAlignment="1" applyProtection="1">
      <alignment horizontal="center" vertical="center" wrapText="1"/>
    </xf>
    <xf numFmtId="165" fontId="9" fillId="0" borderId="6" xfId="20" applyNumberFormat="1" applyFont="1" applyBorder="1" applyAlignment="1" applyProtection="1">
      <alignment horizontal="center" vertical="center" wrapText="1"/>
    </xf>
    <xf numFmtId="165" fontId="9" fillId="0" borderId="7" xfId="20" applyNumberFormat="1" applyFont="1" applyBorder="1" applyAlignment="1" applyProtection="1">
      <alignment horizontal="center" vertical="center" wrapText="1"/>
    </xf>
    <xf numFmtId="0" fontId="9" fillId="0" borderId="2" xfId="20" applyFont="1" applyBorder="1" applyAlignment="1" applyProtection="1">
      <alignment horizontal="center" vertical="center" wrapText="1"/>
    </xf>
    <xf numFmtId="0" fontId="9" fillId="0" borderId="5" xfId="20" applyFont="1" applyBorder="1" applyAlignment="1" applyProtection="1">
      <alignment horizontal="center" vertical="center" wrapText="1"/>
    </xf>
    <xf numFmtId="0" fontId="9" fillId="0" borderId="8" xfId="20" applyFont="1" applyBorder="1" applyAlignment="1" applyProtection="1">
      <alignment horizontal="center" vertical="center" wrapText="1"/>
    </xf>
    <xf numFmtId="0" fontId="10" fillId="0" borderId="10" xfId="20" applyFont="1" applyBorder="1" applyAlignment="1" applyProtection="1">
      <alignment horizontal="left" vertical="center" wrapText="1"/>
    </xf>
    <xf numFmtId="0" fontId="10" fillId="0" borderId="11" xfId="20" applyFont="1" applyBorder="1" applyAlignment="1" applyProtection="1">
      <alignment horizontal="left" vertical="center" wrapText="1"/>
    </xf>
    <xf numFmtId="0" fontId="10" fillId="0" borderId="12" xfId="20" applyFont="1" applyBorder="1" applyAlignment="1" applyProtection="1">
      <alignment horizontal="left" vertical="center" wrapText="1"/>
    </xf>
    <xf numFmtId="0" fontId="10" fillId="0" borderId="10" xfId="20" applyFont="1" applyFill="1" applyBorder="1" applyAlignment="1" applyProtection="1">
      <alignment horizontal="left" vertical="center" wrapText="1"/>
    </xf>
    <xf numFmtId="0" fontId="10" fillId="0" borderId="11" xfId="20" applyFont="1" applyFill="1" applyBorder="1" applyAlignment="1" applyProtection="1">
      <alignment horizontal="left" vertical="center" wrapText="1"/>
    </xf>
    <xf numFmtId="0" fontId="10" fillId="0" borderId="12" xfId="20" applyFont="1" applyFill="1" applyBorder="1" applyAlignment="1" applyProtection="1">
      <alignment horizontal="left" vertical="center" wrapText="1"/>
    </xf>
    <xf numFmtId="0" fontId="10" fillId="13" borderId="10" xfId="20" applyFont="1" applyFill="1" applyBorder="1" applyAlignment="1" applyProtection="1">
      <alignment horizontal="left" vertical="center" wrapText="1"/>
    </xf>
    <xf numFmtId="0" fontId="10" fillId="13" borderId="11" xfId="20" applyFont="1" applyFill="1" applyBorder="1" applyAlignment="1" applyProtection="1">
      <alignment horizontal="left" vertical="center" wrapText="1"/>
    </xf>
    <xf numFmtId="0" fontId="10" fillId="13" borderId="12" xfId="20" applyFont="1" applyFill="1" applyBorder="1" applyAlignment="1" applyProtection="1">
      <alignment horizontal="left" vertical="center" wrapText="1"/>
    </xf>
    <xf numFmtId="0" fontId="9" fillId="0" borderId="10" xfId="20" applyFont="1" applyBorder="1" applyAlignment="1" applyProtection="1">
      <alignment horizontal="left" vertical="center" wrapText="1"/>
    </xf>
    <xf numFmtId="0" fontId="9" fillId="0" borderId="11" xfId="20" applyFont="1" applyBorder="1" applyAlignment="1" applyProtection="1">
      <alignment horizontal="left" vertical="center" wrapText="1"/>
    </xf>
    <xf numFmtId="0" fontId="9" fillId="0" borderId="12" xfId="20" applyFont="1" applyBorder="1" applyAlignment="1" applyProtection="1">
      <alignment horizontal="left" vertical="center" wrapText="1"/>
    </xf>
    <xf numFmtId="0" fontId="9" fillId="0" borderId="0" xfId="20" applyFont="1" applyAlignment="1" applyProtection="1">
      <alignment horizontal="left" vertical="center" wrapText="1"/>
    </xf>
    <xf numFmtId="0" fontId="34" fillId="0" borderId="0" xfId="20" applyFont="1" applyAlignment="1">
      <alignment horizontal="center" vertical="top" wrapText="1"/>
    </xf>
    <xf numFmtId="0" fontId="34" fillId="0" borderId="0" xfId="20" applyFont="1" applyAlignment="1">
      <alignment horizontal="center" vertical="top"/>
    </xf>
    <xf numFmtId="0" fontId="49" fillId="0" borderId="0" xfId="24" applyFont="1" applyAlignment="1">
      <alignment horizontal="center" vertical="top" wrapText="1"/>
    </xf>
    <xf numFmtId="0" fontId="49" fillId="0" borderId="0" xfId="24" applyFont="1" applyAlignment="1">
      <alignment horizontal="center" vertical="top"/>
    </xf>
    <xf numFmtId="0" fontId="9" fillId="0" borderId="2" xfId="20" applyFont="1" applyBorder="1" applyAlignment="1">
      <alignment horizontal="center" vertical="center" wrapText="1"/>
    </xf>
    <xf numFmtId="0" fontId="9" fillId="0" borderId="8" xfId="20" applyFont="1" applyBorder="1" applyAlignment="1">
      <alignment horizontal="center" vertical="center" wrapText="1"/>
    </xf>
    <xf numFmtId="165" fontId="9" fillId="0" borderId="2" xfId="20" applyNumberFormat="1" applyFont="1" applyBorder="1" applyAlignment="1">
      <alignment horizontal="center" vertical="center" wrapText="1"/>
    </xf>
    <xf numFmtId="165" fontId="9" fillId="0" borderId="8" xfId="20" applyNumberFormat="1" applyFont="1" applyBorder="1" applyAlignment="1">
      <alignment horizontal="center" vertical="center" wrapText="1"/>
    </xf>
    <xf numFmtId="165" fontId="9" fillId="0" borderId="9" xfId="20" applyNumberFormat="1" applyFont="1" applyBorder="1" applyAlignment="1">
      <alignment horizontal="center" vertical="center" wrapText="1"/>
    </xf>
    <xf numFmtId="0" fontId="10" fillId="15" borderId="10" xfId="20" applyFont="1" applyFill="1" applyBorder="1" applyAlignment="1">
      <alignment horizontal="left" vertical="center" wrapText="1"/>
    </xf>
    <xf numFmtId="0" fontId="10" fillId="15" borderId="11" xfId="20" applyFont="1" applyFill="1" applyBorder="1" applyAlignment="1">
      <alignment horizontal="left" vertical="center" wrapText="1"/>
    </xf>
    <xf numFmtId="0" fontId="10" fillId="15" borderId="12" xfId="20" applyFont="1" applyFill="1" applyBorder="1" applyAlignment="1">
      <alignment horizontal="left" vertical="center" wrapText="1"/>
    </xf>
    <xf numFmtId="0" fontId="10" fillId="13" borderId="10" xfId="20" applyFont="1" applyFill="1" applyBorder="1" applyAlignment="1">
      <alignment horizontal="left" vertical="center" wrapText="1"/>
    </xf>
    <xf numFmtId="0" fontId="10" fillId="13" borderId="11" xfId="20" applyFont="1" applyFill="1" applyBorder="1" applyAlignment="1">
      <alignment horizontal="left" vertical="center" wrapText="1"/>
    </xf>
    <xf numFmtId="0" fontId="10" fillId="13" borderId="12" xfId="20" applyFont="1" applyFill="1" applyBorder="1" applyAlignment="1">
      <alignment horizontal="left" vertical="center" wrapText="1"/>
    </xf>
    <xf numFmtId="0" fontId="27" fillId="0" borderId="10" xfId="20" applyFont="1" applyBorder="1" applyAlignment="1">
      <alignment horizontal="left" vertical="top" wrapText="1"/>
    </xf>
    <xf numFmtId="0" fontId="27" fillId="0" borderId="11" xfId="20" applyFont="1" applyBorder="1" applyAlignment="1">
      <alignment horizontal="left" vertical="top" wrapText="1"/>
    </xf>
    <xf numFmtId="0" fontId="27" fillId="0" borderId="12" xfId="20" applyFont="1" applyBorder="1" applyAlignment="1">
      <alignment horizontal="left" vertical="top" wrapText="1"/>
    </xf>
    <xf numFmtId="0" fontId="83" fillId="0" borderId="2" xfId="20" applyFont="1" applyBorder="1" applyAlignment="1">
      <alignment horizontal="center" wrapText="1"/>
    </xf>
    <xf numFmtId="0" fontId="83" fillId="0" borderId="5" xfId="20" applyFont="1" applyBorder="1" applyAlignment="1">
      <alignment horizontal="center" wrapText="1"/>
    </xf>
    <xf numFmtId="0" fontId="83" fillId="0" borderId="8" xfId="20" applyFont="1" applyBorder="1" applyAlignment="1">
      <alignment horizontal="center" wrapText="1"/>
    </xf>
    <xf numFmtId="0" fontId="36" fillId="0" borderId="9" xfId="20" applyFont="1" applyBorder="1" applyAlignment="1">
      <alignment horizontal="center"/>
    </xf>
    <xf numFmtId="0" fontId="37" fillId="0" borderId="2" xfId="20" applyFont="1" applyBorder="1" applyAlignment="1">
      <alignment horizontal="left" vertical="center" wrapText="1"/>
    </xf>
    <xf numFmtId="0" fontId="37" fillId="0" borderId="5" xfId="20" applyFont="1" applyBorder="1" applyAlignment="1">
      <alignment horizontal="left" vertical="center" wrapText="1"/>
    </xf>
    <xf numFmtId="0" fontId="37" fillId="0" borderId="8" xfId="20" applyFont="1" applyBorder="1" applyAlignment="1">
      <alignment horizontal="left" vertical="center" wrapText="1"/>
    </xf>
    <xf numFmtId="0" fontId="83" fillId="0" borderId="9" xfId="20" applyFont="1" applyBorder="1" applyAlignment="1">
      <alignment horizontal="center"/>
    </xf>
    <xf numFmtId="0" fontId="9" fillId="13" borderId="10" xfId="20" applyFont="1" applyFill="1" applyBorder="1" applyAlignment="1">
      <alignment horizontal="left" vertical="center" wrapText="1"/>
    </xf>
    <xf numFmtId="0" fontId="9" fillId="13" borderId="11" xfId="20" applyFont="1" applyFill="1" applyBorder="1" applyAlignment="1">
      <alignment horizontal="left" vertical="center" wrapText="1"/>
    </xf>
    <xf numFmtId="0" fontId="9" fillId="13" borderId="12" xfId="20" applyFont="1" applyFill="1" applyBorder="1" applyAlignment="1">
      <alignment horizontal="left" vertical="center" wrapText="1"/>
    </xf>
    <xf numFmtId="0" fontId="9" fillId="15" borderId="10" xfId="20" applyFont="1" applyFill="1" applyBorder="1" applyAlignment="1">
      <alignment horizontal="left" vertical="center" wrapText="1"/>
    </xf>
    <xf numFmtId="0" fontId="9" fillId="15" borderId="11" xfId="20" applyFont="1" applyFill="1" applyBorder="1" applyAlignment="1">
      <alignment horizontal="left" vertical="center" wrapText="1"/>
    </xf>
    <xf numFmtId="0" fontId="36" fillId="0" borderId="2" xfId="20" applyFont="1" applyBorder="1" applyAlignment="1">
      <alignment horizontal="left" vertical="top" wrapText="1"/>
    </xf>
    <xf numFmtId="0" fontId="36" fillId="0" borderId="5" xfId="20" applyFont="1" applyBorder="1" applyAlignment="1">
      <alignment horizontal="left" vertical="top" wrapText="1"/>
    </xf>
    <xf numFmtId="0" fontId="36" fillId="0" borderId="8" xfId="20" applyFont="1" applyBorder="1" applyAlignment="1">
      <alignment horizontal="left" vertical="top" wrapText="1"/>
    </xf>
    <xf numFmtId="0" fontId="14" fillId="9" borderId="5" xfId="23" applyFont="1" applyFill="1" applyBorder="1" applyAlignment="1">
      <alignment horizontal="left" vertical="top" wrapText="1"/>
    </xf>
    <xf numFmtId="0" fontId="14" fillId="9" borderId="5" xfId="23" applyFont="1" applyFill="1" applyBorder="1" applyAlignment="1">
      <alignment horizontal="left" vertical="top"/>
    </xf>
    <xf numFmtId="0" fontId="14" fillId="9" borderId="8" xfId="23" applyFont="1" applyFill="1" applyBorder="1" applyAlignment="1">
      <alignment horizontal="left" vertical="top"/>
    </xf>
    <xf numFmtId="0" fontId="14" fillId="9" borderId="2" xfId="23" applyFont="1" applyFill="1" applyBorder="1" applyAlignment="1">
      <alignment horizontal="center"/>
    </xf>
    <xf numFmtId="0" fontId="14" fillId="9" borderId="5" xfId="23" applyFont="1" applyFill="1" applyBorder="1" applyAlignment="1">
      <alignment horizontal="center"/>
    </xf>
    <xf numFmtId="0" fontId="14" fillId="9" borderId="8" xfId="23" applyFont="1" applyFill="1" applyBorder="1" applyAlignment="1">
      <alignment horizontal="center"/>
    </xf>
    <xf numFmtId="0" fontId="14" fillId="0" borderId="2" xfId="23" applyFont="1" applyBorder="1" applyAlignment="1">
      <alignment horizontal="center"/>
    </xf>
    <xf numFmtId="0" fontId="14" fillId="0" borderId="5" xfId="23" applyFont="1" applyBorder="1" applyAlignment="1">
      <alignment horizontal="center"/>
    </xf>
    <xf numFmtId="0" fontId="14" fillId="0" borderId="8" xfId="23" applyFont="1" applyBorder="1" applyAlignment="1">
      <alignment horizontal="center"/>
    </xf>
    <xf numFmtId="0" fontId="14" fillId="9" borderId="8" xfId="23" applyFont="1" applyFill="1" applyBorder="1" applyAlignment="1">
      <alignment horizontal="left" vertical="top" wrapText="1"/>
    </xf>
    <xf numFmtId="0" fontId="14" fillId="0" borderId="5" xfId="23" applyFont="1" applyBorder="1" applyAlignment="1">
      <alignment horizontal="left" vertical="center" wrapText="1"/>
    </xf>
    <xf numFmtId="0" fontId="14" fillId="0" borderId="5" xfId="23" applyFont="1" applyBorder="1" applyAlignment="1">
      <alignment horizontal="center" vertical="center" wrapText="1"/>
    </xf>
    <xf numFmtId="0" fontId="14" fillId="9" borderId="2" xfId="23" applyFont="1" applyFill="1" applyBorder="1" applyAlignment="1">
      <alignment horizontal="left" vertical="top" wrapText="1"/>
    </xf>
    <xf numFmtId="0" fontId="49" fillId="0" borderId="0" xfId="24" applyFont="1" applyAlignment="1">
      <alignment horizontal="left" vertical="center"/>
    </xf>
    <xf numFmtId="0" fontId="29" fillId="0" borderId="2" xfId="23" applyFont="1" applyBorder="1" applyAlignment="1">
      <alignment horizontal="center" vertical="center" wrapText="1"/>
    </xf>
    <xf numFmtId="0" fontId="29" fillId="0" borderId="8" xfId="23" applyFont="1" applyBorder="1" applyAlignment="1">
      <alignment horizontal="center" vertical="center" wrapText="1"/>
    </xf>
    <xf numFmtId="0" fontId="29" fillId="0" borderId="9" xfId="23" applyFont="1" applyBorder="1" applyAlignment="1">
      <alignment horizontal="center" vertical="center" wrapText="1"/>
    </xf>
    <xf numFmtId="165" fontId="29" fillId="0" borderId="10" xfId="23" applyNumberFormat="1" applyFont="1" applyBorder="1" applyAlignment="1">
      <alignment horizontal="center" vertical="center" wrapText="1"/>
    </xf>
    <xf numFmtId="165" fontId="29" fillId="0" borderId="12" xfId="23" applyNumberFormat="1" applyFont="1" applyBorder="1" applyAlignment="1">
      <alignment horizontal="center" vertical="center" wrapText="1"/>
    </xf>
    <xf numFmtId="0" fontId="29" fillId="13" borderId="10" xfId="23" applyFont="1" applyFill="1" applyBorder="1" applyAlignment="1">
      <alignment horizontal="left" vertical="center" wrapText="1"/>
    </xf>
    <xf numFmtId="0" fontId="29" fillId="13" borderId="11" xfId="23" applyFont="1" applyFill="1" applyBorder="1" applyAlignment="1">
      <alignment horizontal="left" vertical="center" wrapText="1"/>
    </xf>
    <xf numFmtId="0" fontId="29" fillId="13" borderId="12" xfId="23" applyFont="1" applyFill="1" applyBorder="1" applyAlignment="1">
      <alignment horizontal="left" vertical="center" wrapText="1"/>
    </xf>
    <xf numFmtId="0" fontId="14" fillId="17" borderId="10" xfId="23" applyFont="1" applyFill="1" applyBorder="1" applyAlignment="1">
      <alignment horizontal="left" vertical="center" wrapText="1"/>
    </xf>
    <xf numFmtId="0" fontId="14" fillId="17" borderId="11" xfId="23" applyFont="1" applyFill="1" applyBorder="1" applyAlignment="1">
      <alignment horizontal="left" vertical="center" wrapText="1"/>
    </xf>
    <xf numFmtId="0" fontId="14" fillId="17" borderId="12" xfId="23" applyFont="1" applyFill="1" applyBorder="1" applyAlignment="1">
      <alignment horizontal="left" vertical="center" wrapText="1"/>
    </xf>
    <xf numFmtId="165" fontId="29" fillId="0" borderId="9" xfId="23" applyNumberFormat="1" applyFont="1" applyBorder="1" applyAlignment="1">
      <alignment horizontal="center" vertical="center" wrapText="1"/>
    </xf>
    <xf numFmtId="0" fontId="14" fillId="12" borderId="10" xfId="23" applyFont="1" applyFill="1" applyBorder="1" applyAlignment="1">
      <alignment horizontal="left" vertical="center" wrapText="1"/>
    </xf>
    <xf numFmtId="0" fontId="14" fillId="12" borderId="11" xfId="23" applyFont="1" applyFill="1" applyBorder="1" applyAlignment="1">
      <alignment horizontal="left" vertical="center" wrapText="1"/>
    </xf>
    <xf numFmtId="0" fontId="14" fillId="12" borderId="12" xfId="23" applyFont="1" applyFill="1" applyBorder="1" applyAlignment="1">
      <alignment horizontal="left" vertical="center" wrapText="1"/>
    </xf>
    <xf numFmtId="0" fontId="29" fillId="9" borderId="2" xfId="23" applyFont="1" applyFill="1" applyBorder="1" applyAlignment="1">
      <alignment horizontal="left" vertical="top" wrapText="1"/>
    </xf>
    <xf numFmtId="0" fontId="29" fillId="0" borderId="2" xfId="23" applyFont="1" applyBorder="1" applyAlignment="1">
      <alignment horizontal="left" vertical="center" wrapText="1"/>
    </xf>
    <xf numFmtId="0" fontId="14" fillId="0" borderId="8" xfId="23" applyFont="1" applyBorder="1" applyAlignment="1">
      <alignment horizontal="left" vertical="center" wrapText="1"/>
    </xf>
    <xf numFmtId="49" fontId="29" fillId="0" borderId="2" xfId="20" applyNumberFormat="1" applyFont="1" applyBorder="1" applyAlignment="1">
      <alignment horizontal="center" vertical="center" wrapText="1"/>
    </xf>
    <xf numFmtId="49" fontId="29" fillId="0" borderId="8" xfId="20" applyNumberFormat="1" applyFont="1" applyBorder="1" applyAlignment="1">
      <alignment horizontal="center" vertical="center" wrapText="1"/>
    </xf>
    <xf numFmtId="165" fontId="29" fillId="0" borderId="10" xfId="20" applyNumberFormat="1" applyFont="1" applyBorder="1" applyAlignment="1">
      <alignment horizontal="center" vertical="center" wrapText="1"/>
    </xf>
    <xf numFmtId="165" fontId="29" fillId="0" borderId="12" xfId="20" applyNumberFormat="1" applyFont="1" applyBorder="1" applyAlignment="1">
      <alignment horizontal="center" vertical="center" wrapText="1"/>
    </xf>
    <xf numFmtId="0" fontId="49" fillId="0" borderId="0" xfId="24" applyFont="1" applyAlignment="1">
      <alignment horizontal="center" vertical="center" wrapText="1"/>
    </xf>
    <xf numFmtId="0" fontId="29" fillId="0" borderId="2" xfId="20" applyFont="1" applyBorder="1" applyAlignment="1">
      <alignment horizontal="center" vertical="center" wrapText="1"/>
    </xf>
    <xf numFmtId="0" fontId="29" fillId="0" borderId="5" xfId="20" applyFont="1" applyBorder="1" applyAlignment="1">
      <alignment horizontal="center" vertical="center" wrapText="1"/>
    </xf>
    <xf numFmtId="0" fontId="29" fillId="0" borderId="8" xfId="20" applyFont="1" applyBorder="1" applyAlignment="1">
      <alignment horizontal="center" vertical="center" wrapText="1"/>
    </xf>
    <xf numFmtId="165" fontId="29" fillId="0" borderId="2" xfId="20" applyNumberFormat="1" applyFont="1" applyBorder="1" applyAlignment="1">
      <alignment horizontal="center" vertical="center" wrapText="1"/>
    </xf>
    <xf numFmtId="165" fontId="29" fillId="0" borderId="5" xfId="20" applyNumberFormat="1" applyFont="1" applyBorder="1" applyAlignment="1">
      <alignment horizontal="center" vertical="center" wrapText="1"/>
    </xf>
    <xf numFmtId="165" fontId="29" fillId="0" borderId="8" xfId="20" applyNumberFormat="1" applyFont="1" applyBorder="1" applyAlignment="1">
      <alignment horizontal="center" vertical="center" wrapText="1"/>
    </xf>
    <xf numFmtId="165" fontId="29" fillId="0" borderId="11" xfId="20" applyNumberFormat="1" applyFont="1" applyBorder="1" applyAlignment="1">
      <alignment horizontal="center" vertical="center" wrapText="1"/>
    </xf>
    <xf numFmtId="0" fontId="14" fillId="0" borderId="10" xfId="20" applyFont="1" applyBorder="1" applyAlignment="1">
      <alignment horizontal="left" vertical="center" wrapText="1"/>
    </xf>
    <xf numFmtId="0" fontId="14" fillId="0" borderId="11" xfId="20" applyFont="1" applyBorder="1" applyAlignment="1">
      <alignment horizontal="left" vertical="center" wrapText="1"/>
    </xf>
    <xf numFmtId="0" fontId="14" fillId="0" borderId="12" xfId="20" applyFont="1" applyBorder="1" applyAlignment="1">
      <alignment horizontal="left" vertical="center" wrapText="1"/>
    </xf>
    <xf numFmtId="49" fontId="29" fillId="0" borderId="4" xfId="20" applyNumberFormat="1" applyFont="1" applyBorder="1" applyAlignment="1">
      <alignment horizontal="center" vertical="center" wrapText="1"/>
    </xf>
    <xf numFmtId="49" fontId="29" fillId="0" borderId="7" xfId="20" applyNumberFormat="1" applyFont="1" applyBorder="1" applyAlignment="1">
      <alignment horizontal="center" vertical="center" wrapText="1"/>
    </xf>
    <xf numFmtId="0" fontId="14" fillId="0" borderId="2" xfId="20" applyFont="1" applyBorder="1" applyAlignment="1">
      <alignment horizontal="center" vertical="center" wrapText="1"/>
    </xf>
    <xf numFmtId="0" fontId="14" fillId="0" borderId="5" xfId="20" applyFont="1" applyBorder="1" applyAlignment="1">
      <alignment horizontal="center" vertical="center" wrapText="1"/>
    </xf>
    <xf numFmtId="0" fontId="14" fillId="0" borderId="8" xfId="20" applyFont="1" applyBorder="1" applyAlignment="1">
      <alignment horizontal="center" vertical="center" wrapText="1"/>
    </xf>
    <xf numFmtId="0" fontId="14" fillId="0" borderId="9" xfId="20" applyFont="1" applyFill="1" applyBorder="1" applyAlignment="1">
      <alignment horizontal="left" wrapText="1"/>
    </xf>
    <xf numFmtId="0" fontId="14" fillId="0" borderId="9" xfId="20" applyFont="1" applyFill="1" applyBorder="1" applyAlignment="1">
      <alignment horizontal="left"/>
    </xf>
    <xf numFmtId="0" fontId="14" fillId="0" borderId="9" xfId="20" applyFont="1" applyBorder="1" applyAlignment="1">
      <alignment horizontal="left" wrapText="1"/>
    </xf>
    <xf numFmtId="0" fontId="14" fillId="0" borderId="9" xfId="20" applyFont="1" applyBorder="1" applyAlignment="1">
      <alignment horizontal="left"/>
    </xf>
    <xf numFmtId="0" fontId="14" fillId="9" borderId="2" xfId="20" applyFont="1" applyFill="1" applyBorder="1" applyAlignment="1">
      <alignment horizontal="left" vertical="top" wrapText="1"/>
    </xf>
    <xf numFmtId="0" fontId="14" fillId="9" borderId="5" xfId="20" applyFont="1" applyFill="1" applyBorder="1" applyAlignment="1">
      <alignment horizontal="left" vertical="top" wrapText="1"/>
    </xf>
    <xf numFmtId="0" fontId="14" fillId="9" borderId="8" xfId="20" applyFont="1" applyFill="1" applyBorder="1" applyAlignment="1">
      <alignment horizontal="left" vertical="top" wrapText="1"/>
    </xf>
    <xf numFmtId="0" fontId="14" fillId="14" borderId="10" xfId="20" applyFont="1" applyFill="1" applyBorder="1" applyAlignment="1">
      <alignment horizontal="left" vertical="center" wrapText="1"/>
    </xf>
    <xf numFmtId="0" fontId="14" fillId="14" borderId="11" xfId="20" applyFont="1" applyFill="1" applyBorder="1" applyAlignment="1">
      <alignment horizontal="left" vertical="center" wrapText="1"/>
    </xf>
    <xf numFmtId="0" fontId="14" fillId="14" borderId="12" xfId="20" applyFont="1" applyFill="1" applyBorder="1" applyAlignment="1">
      <alignment horizontal="left" vertical="center" wrapText="1"/>
    </xf>
    <xf numFmtId="0" fontId="14" fillId="0" borderId="2" xfId="20" applyFont="1" applyBorder="1" applyAlignment="1">
      <alignment horizontal="left" vertical="center" wrapText="1"/>
    </xf>
    <xf numFmtId="0" fontId="14" fillId="0" borderId="5" xfId="20" applyFont="1" applyBorder="1" applyAlignment="1">
      <alignment horizontal="left" vertical="center"/>
    </xf>
    <xf numFmtId="0" fontId="14" fillId="0" borderId="8" xfId="20" applyFont="1" applyBorder="1" applyAlignment="1">
      <alignment horizontal="left" vertical="center"/>
    </xf>
    <xf numFmtId="0" fontId="14" fillId="0" borderId="10" xfId="20" applyFont="1" applyBorder="1" applyAlignment="1">
      <alignment horizontal="left" vertical="center"/>
    </xf>
    <xf numFmtId="0" fontId="14" fillId="0" borderId="11" xfId="20" applyFont="1" applyBorder="1" applyAlignment="1">
      <alignment horizontal="left" vertical="center"/>
    </xf>
    <xf numFmtId="0" fontId="14" fillId="0" borderId="12" xfId="20" applyFont="1" applyBorder="1" applyAlignment="1">
      <alignment horizontal="left" vertical="center"/>
    </xf>
    <xf numFmtId="0" fontId="29" fillId="0" borderId="9" xfId="22" applyFont="1" applyBorder="1" applyAlignment="1">
      <alignment horizontal="center" vertical="center" wrapText="1"/>
    </xf>
    <xf numFmtId="0" fontId="29" fillId="0" borderId="2" xfId="22" applyFont="1" applyBorder="1" applyAlignment="1">
      <alignment horizontal="center" vertical="center" wrapText="1"/>
    </xf>
    <xf numFmtId="0" fontId="29" fillId="0" borderId="8" xfId="22" applyFont="1" applyBorder="1" applyAlignment="1">
      <alignment horizontal="center" vertical="center" wrapText="1"/>
    </xf>
    <xf numFmtId="0" fontId="29" fillId="9" borderId="2" xfId="22" applyFont="1" applyFill="1" applyBorder="1" applyAlignment="1">
      <alignment horizontal="center" vertical="center" wrapText="1"/>
    </xf>
    <xf numFmtId="0" fontId="29" fillId="9" borderId="8" xfId="22" applyFont="1" applyFill="1" applyBorder="1" applyAlignment="1">
      <alignment horizontal="center" vertical="center" wrapText="1"/>
    </xf>
    <xf numFmtId="0" fontId="29" fillId="9" borderId="10" xfId="22" applyFont="1" applyFill="1" applyBorder="1" applyAlignment="1">
      <alignment horizontal="center" vertical="center" wrapText="1"/>
    </xf>
    <xf numFmtId="0" fontId="29" fillId="9" borderId="12" xfId="22" applyFont="1" applyFill="1" applyBorder="1" applyAlignment="1">
      <alignment horizontal="center" vertical="center" wrapText="1"/>
    </xf>
    <xf numFmtId="165" fontId="29" fillId="0" borderId="10" xfId="22" applyNumberFormat="1" applyFont="1" applyBorder="1" applyAlignment="1">
      <alignment horizontal="center" vertical="center" wrapText="1"/>
    </xf>
    <xf numFmtId="165" fontId="29" fillId="0" borderId="12" xfId="22" applyNumberFormat="1" applyFont="1" applyBorder="1" applyAlignment="1">
      <alignment horizontal="center" vertical="center" wrapText="1"/>
    </xf>
    <xf numFmtId="165" fontId="29" fillId="0" borderId="9" xfId="22" applyNumberFormat="1" applyFont="1" applyBorder="1" applyAlignment="1">
      <alignment horizontal="center" vertical="center" wrapText="1"/>
    </xf>
    <xf numFmtId="0" fontId="14" fillId="0" borderId="9" xfId="22" applyFont="1" applyBorder="1" applyAlignment="1">
      <alignment horizontal="center" wrapText="1"/>
    </xf>
    <xf numFmtId="0" fontId="14" fillId="14" borderId="10" xfId="22" applyFont="1" applyFill="1" applyBorder="1" applyAlignment="1">
      <alignment horizontal="left" vertical="center" wrapText="1"/>
    </xf>
    <xf numFmtId="0" fontId="14" fillId="14" borderId="11" xfId="22" applyFont="1" applyFill="1" applyBorder="1" applyAlignment="1">
      <alignment horizontal="left" vertical="center" wrapText="1"/>
    </xf>
    <xf numFmtId="0" fontId="14" fillId="14" borderId="12" xfId="22" applyFont="1" applyFill="1" applyBorder="1" applyAlignment="1">
      <alignment horizontal="left" vertical="center" wrapText="1"/>
    </xf>
    <xf numFmtId="4" fontId="13" fillId="0" borderId="0" xfId="0" applyNumberFormat="1" applyFont="1" applyFill="1" applyAlignment="1"/>
    <xf numFmtId="4" fontId="13" fillId="0" borderId="0" xfId="0" applyNumberFormat="1" applyFont="1" applyFill="1" applyAlignment="1">
      <alignment vertical="center"/>
    </xf>
  </cellXfs>
  <cellStyles count="58">
    <cellStyle name="Гиперссылка" xfId="24" builtinId="8"/>
    <cellStyle name="Обычный" xfId="0" builtinId="0"/>
    <cellStyle name="Обычный 10" xfId="36"/>
    <cellStyle name="Обычный 2" xfId="4"/>
    <cellStyle name="Обычный 2 2" xfId="25"/>
    <cellStyle name="Обычный 2 5" xfId="12"/>
    <cellStyle name="Обычный 3" xfId="20"/>
    <cellStyle name="Обычный 3 2" xfId="13"/>
    <cellStyle name="Обычный 3 2 2" xfId="32"/>
    <cellStyle name="Обычный 3 2 2 2" xfId="54"/>
    <cellStyle name="Обычный 3 2 3" xfId="40"/>
    <cellStyle name="Обычный 3 3" xfId="11"/>
    <cellStyle name="Обычный 3 4" xfId="44"/>
    <cellStyle name="Обычный 4" xfId="7"/>
    <cellStyle name="Обычный 5" xfId="16"/>
    <cellStyle name="Обычный 5 2" xfId="6"/>
    <cellStyle name="Обычный 5 2 2" xfId="30"/>
    <cellStyle name="Обычный 5 2 2 2" xfId="52"/>
    <cellStyle name="Обычный 5 2 3" xfId="38"/>
    <cellStyle name="Обычный 5 3" xfId="22"/>
    <cellStyle name="Обычный 5 3 2" xfId="46"/>
    <cellStyle name="Обычный 5 4" xfId="34"/>
    <cellStyle name="Обычный 5 4 2" xfId="56"/>
    <cellStyle name="Обычный 5 5" xfId="42"/>
    <cellStyle name="Обычный 6" xfId="9"/>
    <cellStyle name="Обычный 6 2" xfId="15"/>
    <cellStyle name="Обычный 6 2 2" xfId="33"/>
    <cellStyle name="Обычный 6 2 2 2" xfId="55"/>
    <cellStyle name="Обычный 6 2 3" xfId="41"/>
    <cellStyle name="Обычный 6 3" xfId="17"/>
    <cellStyle name="Обычный 6 3 2" xfId="35"/>
    <cellStyle name="Обычный 6 3 2 2" xfId="57"/>
    <cellStyle name="Обычный 6 3 3" xfId="43"/>
    <cellStyle name="Обычный 6 4" xfId="23"/>
    <cellStyle name="Обычный 6 4 2" xfId="47"/>
    <cellStyle name="Обычный 6 5" xfId="31"/>
    <cellStyle name="Обычный 6 5 2" xfId="53"/>
    <cellStyle name="Обычный 6 6" xfId="39"/>
    <cellStyle name="Обычный 7" xfId="10"/>
    <cellStyle name="Обычный 8" xfId="14"/>
    <cellStyle name="Обычный 9" xfId="26"/>
    <cellStyle name="Обычный 9 2" xfId="48"/>
    <cellStyle name="Процентный 2" xfId="18"/>
    <cellStyle name="Финансовый" xfId="1" builtinId="3"/>
    <cellStyle name="Финансовый 2" xfId="5"/>
    <cellStyle name="Финансовый 2 2" xfId="21"/>
    <cellStyle name="Финансовый 2 2 2" xfId="45"/>
    <cellStyle name="Финансовый 2 3" xfId="29"/>
    <cellStyle name="Финансовый 2 3 2" xfId="51"/>
    <cellStyle name="Финансовый 3" xfId="3"/>
    <cellStyle name="Финансовый 3 2" xfId="28"/>
    <cellStyle name="Финансовый 3 2 2" xfId="50"/>
    <cellStyle name="Финансовый 3 3" xfId="37"/>
    <cellStyle name="Финансовый 4" xfId="19"/>
    <cellStyle name="Финансовый 5" xfId="2"/>
    <cellStyle name="Финансовый 6" xfId="27"/>
    <cellStyle name="Финансовый 6 2" xfId="49"/>
    <cellStyle name="Финансовый 7" xfId="8"/>
  </cellStyles>
  <dxfs count="0"/>
  <tableStyles count="0" defaultTableStyle="TableStyleMedium2" defaultPivotStyle="PivotStyleMedium9"/>
  <colors>
    <mruColors>
      <color rgb="FF6CF4C0"/>
      <color rgb="FF13EDC3"/>
      <color rgb="FF6CF8CD"/>
      <color rgb="FF00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usernames" Target="revisions/userNam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9;&#1069;/&#1054;&#1058;&#1044;&#1045;&#1051;%20&#1040;&#1053;&#1040;&#1051;&#1048;&#1058;&#1048;&#1050;&#1048;/&#1052;&#1059;&#1053;&#1048;&#1062;&#1048;&#1055;&#1040;&#1051;&#1068;&#1053;&#1067;&#1045;%20&#1080;%20&#1043;&#1054;&#1057;.%20&#1055;&#1056;&#1054;&#1043;&#1056;&#1040;&#1052;&#1052;&#1067;/&#1048;&#1047;&#1052;&#1045;&#1053;&#1045;&#1053;&#1048;&#1071;%20&#1087;&#1086;%20&#1087;&#1088;&#1086;&#1075;&#1088;&#1072;&#1084;&#1084;&#1072;&#1084;%20(&#8470;362-&#1043;&#1044;)%2017.0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quot;Образование&quot;"/>
      <sheetName val="02 &quot;Соерж.объект.гор.хоз.&quot;"/>
      <sheetName val="03 &quot;Формирование ком.гор.ср.&quot;"/>
      <sheetName val="04 &quot;Культурное простр.&quot;"/>
      <sheetName val="05 &quot;Физ.культура&quot;"/>
      <sheetName val="06 &quot;Сод-е занятости&quot;"/>
      <sheetName val="07 &quot;АПК&quot;"/>
      <sheetName val="08 &quot;Развитие жил.сферы&quot;"/>
      <sheetName val="09 &quot;Развитие ЖКХ&quot;"/>
      <sheetName val="10 &quot;Проф.правонар.&quot;"/>
      <sheetName val="11 &quot;Безоп.жизни.&quot;"/>
      <sheetName val="12 &quot;Экологическая безопасность"/>
      <sheetName val="13 &quot;Соц.-экон. развитие&quot;"/>
      <sheetName val="14&quot;Трансп.система&quot;"/>
      <sheetName val="15&quot;Муницип.финансы&quot;"/>
      <sheetName val="16 &quot;Разв.институтов&quot;"/>
      <sheetName val="17 &quot;Муницип. имущество&quot;"/>
      <sheetName val="18 &quot;Укрепление межнац.соглас.&quot;"/>
      <sheetName val="19 &quot;Муницип. служба&quot;"/>
      <sheetName val="свод"/>
    </sheetNames>
    <sheetDataSet>
      <sheetData sheetId="0"/>
      <sheetData sheetId="1"/>
      <sheetData sheetId="2"/>
      <sheetData sheetId="3">
        <row r="8">
          <cell r="C8">
            <v>494514.2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0">
          <cell r="C10">
            <v>158074.99999999997</v>
          </cell>
        </row>
      </sheetData>
      <sheetData sheetId="19"/>
    </sheetDataSet>
  </externalBook>
</externalLink>
</file>

<file path=xl/revisions/_rels/revisionHeaders.xml.rels><?xml version="1.0" encoding="UTF-8" standalone="yes"?>
<Relationships xmlns="http://schemas.openxmlformats.org/package/2006/relationships"><Relationship Id="rId769" Type="http://schemas.openxmlformats.org/officeDocument/2006/relationships/revisionLog" Target="NULL"/><Relationship Id="rId781" Type="http://schemas.openxmlformats.org/officeDocument/2006/relationships/revisionLog" Target="NULL"/><Relationship Id="rId794" Type="http://schemas.openxmlformats.org/officeDocument/2006/relationships/revisionLog" Target="revisionLog11.xml"/><Relationship Id="rId803" Type="http://schemas.openxmlformats.org/officeDocument/2006/relationships/revisionLog" Target="revisionLog21.xml"/><Relationship Id="rId772" Type="http://schemas.openxmlformats.org/officeDocument/2006/relationships/revisionLog" Target="NULL"/><Relationship Id="rId777" Type="http://schemas.openxmlformats.org/officeDocument/2006/relationships/revisionLog" Target="NULL"/><Relationship Id="rId780" Type="http://schemas.openxmlformats.org/officeDocument/2006/relationships/revisionLog" Target="NULL"/><Relationship Id="rId785" Type="http://schemas.openxmlformats.org/officeDocument/2006/relationships/revisionLog" Target="revisionLog2.xml"/><Relationship Id="rId793" Type="http://schemas.openxmlformats.org/officeDocument/2006/relationships/revisionLog" Target="revisionLog10.xml"/><Relationship Id="rId798" Type="http://schemas.openxmlformats.org/officeDocument/2006/relationships/revisionLog" Target="revisionLog16.xml"/><Relationship Id="rId807" Type="http://schemas.openxmlformats.org/officeDocument/2006/relationships/revisionLog" Target="revisionLog25.xml"/><Relationship Id="rId768" Type="http://schemas.openxmlformats.org/officeDocument/2006/relationships/revisionLog" Target="NULL"/><Relationship Id="rId776" Type="http://schemas.openxmlformats.org/officeDocument/2006/relationships/revisionLog" Target="NULL"/><Relationship Id="rId789" Type="http://schemas.openxmlformats.org/officeDocument/2006/relationships/revisionLog" Target="revisionLog6.xml"/><Relationship Id="rId797" Type="http://schemas.openxmlformats.org/officeDocument/2006/relationships/revisionLog" Target="revisionLog15.xml"/><Relationship Id="rId802" Type="http://schemas.openxmlformats.org/officeDocument/2006/relationships/revisionLog" Target="revisionLog20.xml"/><Relationship Id="rId771" Type="http://schemas.openxmlformats.org/officeDocument/2006/relationships/revisionLog" Target="NULL"/><Relationship Id="rId784" Type="http://schemas.openxmlformats.org/officeDocument/2006/relationships/revisionLog" Target="revisionLog1.xml"/><Relationship Id="rId792" Type="http://schemas.openxmlformats.org/officeDocument/2006/relationships/revisionLog" Target="revisionLog9.xml"/><Relationship Id="rId801" Type="http://schemas.openxmlformats.org/officeDocument/2006/relationships/revisionLog" Target="revisionLog19.xml"/><Relationship Id="rId806" Type="http://schemas.openxmlformats.org/officeDocument/2006/relationships/revisionLog" Target="revisionLog24.xml"/><Relationship Id="rId767" Type="http://schemas.openxmlformats.org/officeDocument/2006/relationships/revisionLog" Target="NULL"/><Relationship Id="rId770" Type="http://schemas.openxmlformats.org/officeDocument/2006/relationships/revisionLog" Target="NULL"/><Relationship Id="rId775" Type="http://schemas.openxmlformats.org/officeDocument/2006/relationships/revisionLog" Target="NULL"/><Relationship Id="rId783" Type="http://schemas.openxmlformats.org/officeDocument/2006/relationships/revisionLog" Target="revisionLog14.xml"/><Relationship Id="rId788" Type="http://schemas.openxmlformats.org/officeDocument/2006/relationships/revisionLog" Target="revisionLog5.xml"/><Relationship Id="rId796" Type="http://schemas.openxmlformats.org/officeDocument/2006/relationships/revisionLog" Target="revisionLog13.xml"/><Relationship Id="rId805" Type="http://schemas.openxmlformats.org/officeDocument/2006/relationships/revisionLog" Target="revisionLog23.xml"/><Relationship Id="rId766" Type="http://schemas.openxmlformats.org/officeDocument/2006/relationships/revisionLog" Target="NULL"/><Relationship Id="rId779" Type="http://schemas.openxmlformats.org/officeDocument/2006/relationships/revisionLog" Target="NULL"/><Relationship Id="rId791" Type="http://schemas.openxmlformats.org/officeDocument/2006/relationships/revisionLog" Target="revisionLog8.xml"/><Relationship Id="rId800" Type="http://schemas.openxmlformats.org/officeDocument/2006/relationships/revisionLog" Target="revisionLog18.xml"/><Relationship Id="rId774" Type="http://schemas.openxmlformats.org/officeDocument/2006/relationships/revisionLog" Target="NULL"/><Relationship Id="rId782" Type="http://schemas.openxmlformats.org/officeDocument/2006/relationships/revisionLog" Target="NULL"/><Relationship Id="rId787" Type="http://schemas.openxmlformats.org/officeDocument/2006/relationships/revisionLog" Target="revisionLog4.xml"/><Relationship Id="rId790" Type="http://schemas.openxmlformats.org/officeDocument/2006/relationships/revisionLog" Target="revisionLog7.xml"/><Relationship Id="rId795" Type="http://schemas.openxmlformats.org/officeDocument/2006/relationships/revisionLog" Target="revisionLog12.xml"/><Relationship Id="rId804" Type="http://schemas.openxmlformats.org/officeDocument/2006/relationships/revisionLog" Target="revisionLog22.xml"/><Relationship Id="rId773" Type="http://schemas.openxmlformats.org/officeDocument/2006/relationships/revisionLog" Target="NULL"/><Relationship Id="rId778" Type="http://schemas.openxmlformats.org/officeDocument/2006/relationships/revisionLog" Target="NULL"/><Relationship Id="rId786" Type="http://schemas.openxmlformats.org/officeDocument/2006/relationships/revisionLog" Target="revisionLog3.xml"/><Relationship Id="rId799" Type="http://schemas.openxmlformats.org/officeDocument/2006/relationships/revisionLog" Target="revisionLog1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DD45D21-8C81-416D-B0A3-C6835107D1FC}" diskRevisions="1" revisionId="34066" version="2">
  <header guid="{5CCC4E67-EB25-4B79-BA92-53C2E46A657C}" dateTime="2025-03-14T07:42:37" maxSheetId="25" userName="Харченко Ольга Владимировна" r:id="rId766" minRId="29001" maxRId="29087">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E6CA17A7-27B7-4661-AD9E-7790EB5EC544}" dateTime="2025-03-14T10:09:35" maxSheetId="25" userName="Хамадуллина Анастасия Олеговна" r:id="rId767" minRId="29099" maxRId="29100">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D2C89F09-E96F-4515-A722-5CE8A71C306D}" dateTime="2025-03-14T15:15:42" maxSheetId="25" userName="Тихонова Лариса Анатольевна" r:id="rId768">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B9350FE1-C3E2-4F14-9554-98AB7933A8BD}" dateTime="2025-03-14T16:06:39" maxSheetId="25" userName="Тихонова Лариса Анатольевна" r:id="rId769" minRId="29112" maxRId="29138">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00F5CA15-6A82-452C-92E0-40977DF18BA7}" dateTime="2025-03-17T15:51:16" maxSheetId="25" userName="Тихонова Лариса Анатольевна" r:id="rId770" minRId="29139" maxRId="29192">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ABB91BE6-B0DF-4C28-895C-CD00803515D9}" dateTime="2025-03-17T16:45:57" maxSheetId="25" userName="Тихонова Лариса Анатольевна" r:id="rId771" minRId="29193" maxRId="29205">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46969852-CF0B-4360-8F67-8EDFD140C461}" dateTime="2025-03-31T16:30:33" maxSheetId="25" userName="Тихонова Лариса Анатольевна" r:id="rId772" minRId="29206" maxRId="29241">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AD469CF6-1262-4A68-BA12-E03D65769658}" dateTime="2025-03-31T17:24:16" maxSheetId="25" userName="Степаненко Наталья Алексеевна" r:id="rId773" minRId="29242" maxRId="30127">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D722331F-199D-4514-BDA6-63D64AC20B37}" dateTime="2025-03-31T17:24:50" maxSheetId="25" userName="Степаненко Наталья Алексеевна" r:id="rId774" minRId="30139" maxRId="30432">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88548F14-4936-4C9C-A0A7-3DFC7F56EC31}" dateTime="2025-03-31T17:26:12" maxSheetId="25" userName="Степаненко Наталья Алексеевна" r:id="rId775" minRId="30444" maxRId="30735">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83EC5C3D-569B-44B3-9E49-0679626B4692}" dateTime="2025-03-31T17:32:24" maxSheetId="25" userName="Степаненко Наталья Алексеевна" r:id="rId776">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DDFB7918-BDCB-407C-9BF2-7EC0D3F3094C}" dateTime="2025-03-31T17:36:49" maxSheetId="25" userName="Степаненко Наталья Алексеевна" r:id="rId777" minRId="30747">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5FE42D4C-36DE-4D2A-88FD-AAEF5B6AB4CD}" dateTime="2025-03-31T17:43:13" maxSheetId="25" userName="Степаненко Наталья Алексеевна" r:id="rId778">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F5468FFD-A08D-4DD4-9529-F89252436CD3}" dateTime="2025-03-31T17:55:33" maxSheetId="25" userName="Степаненко Наталья Алексеевна" r:id="rId779">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83BF5828-8B28-4B20-A5D8-531214F71240}" dateTime="2025-04-01T11:12:47" maxSheetId="25" userName="Степаненко Наталья Алексеевна" r:id="rId780" minRId="30748">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E20D4562-0694-4C3D-BBDD-624B32E5B7D1}" dateTime="2025-04-01T11:18:42" maxSheetId="25" userName="Степаненко Наталья Алексеевна" r:id="rId781">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41062F8B-433E-4B6C-B8C0-1C5EBCFF7125}" dateTime="2025-04-01T12:10:32" maxSheetId="25" userName="Степаненко Наталья Алексеевна" r:id="rId782" minRId="30749" maxRId="30760">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259DF92B-C85D-4920-BA33-3F78EADECA1C}" dateTime="2025-04-01T17:00:24" maxSheetId="25" userName="Тихонова Лариса Анатольевна" r:id="rId783" minRId="30772" maxRId="30840">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D2DC16A8-250E-4E4F-A3A3-563E8466E277}" dateTime="2025-04-02T10:29:22" maxSheetId="25" userName="Тихонова Лариса Анатольевна" r:id="rId784" minRId="30841" maxRId="30848">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C80EF953-CE73-4C0C-A0D7-CC5C473C16B9}" dateTime="2025-04-02T12:11:48" maxSheetId="25" userName="Тихонова Лариса Анатольевна" r:id="rId785" minRId="30860" maxRId="31149">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F97E4002-7C57-4D48-A604-3CDCE9B1354B}" dateTime="2025-04-03T10:05:20" maxSheetId="25" userName="Тихонова Лариса Анатольевна" r:id="rId786" minRId="31162" maxRId="31165">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0313175A-DDB6-4551-8039-6807CB3A5429}" dateTime="2025-04-03T11:29:48" maxSheetId="25" userName="Тихонова Лариса Анатольевна" r:id="rId787" minRId="31166">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959F671F-D24F-4C10-AF84-89B0D53C0C0C}" dateTime="2025-04-04T09:15:50" maxSheetId="25" userName="Степаненко Наталья Алексеевна" r:id="rId788" minRId="31179" maxRId="31197">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191A4A98-000C-4C88-AA63-CE5B142475C4}" dateTime="2025-04-04T09:30:16" maxSheetId="25" userName="Степаненко Наталья Алексеевна" r:id="rId789" minRId="31210" maxRId="31242">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1ECFEBFD-F8FC-4E66-B852-EC1309B3DD45}" dateTime="2025-04-04T09:38:45" maxSheetId="25" userName="Степаненко Наталья Алексеевна" r:id="rId790" minRId="31255" maxRId="31328">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5CB29A90-61D8-4245-9496-8625A4DFC02E}" dateTime="2025-04-04T09:51:36" maxSheetId="25" userName="Степаненко Наталья Алексеевна" r:id="rId791" minRId="31340" maxRId="31558">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C765A2B2-C8DE-4A20-BBB3-F9E32A278F70}" dateTime="2025-04-04T10:06:03" maxSheetId="25" userName="Степаненко Наталья Алексеевна" r:id="rId792" minRId="31559" maxRId="31628">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36E626FD-8941-457F-BF62-48976D765502}" dateTime="2025-04-04T10:47:36" maxSheetId="25" userName="Степаненко Наталья Алексеевна" r:id="rId793" minRId="31629" maxRId="31729">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B5CD5978-E85A-4DDB-BBD9-617DD7D2DD44}" dateTime="2025-04-04T11:02:14" maxSheetId="25" userName="Степаненко Наталья Алексеевна" r:id="rId794" minRId="31741" maxRId="31746">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E690F481-4253-4BBB-AB10-E724A4A15A29}" dateTime="2025-04-04T11:11:36" maxSheetId="25" userName="Степаненко Наталья Алексеевна" r:id="rId795" minRId="31747" maxRId="31825">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FE5820D6-6B4E-4014-8119-C5FBBB1C3FD2}" dateTime="2025-04-04T11:27:52" maxSheetId="25" userName="Степаненко Наталья Алексеевна" r:id="rId796" minRId="31826" maxRId="32007">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8A12FE89-7219-4CC2-87AD-052BDD0F5BE2}" dateTime="2025-04-04T11:31:14" maxSheetId="25" userName="Степаненко Наталья Алексеевна" r:id="rId797" minRId="32019" maxRId="32020">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498D9D51-32A2-4419-B9B8-56BD8FFF4356}" dateTime="2025-04-04T11:56:16" maxSheetId="25" userName="Степаненко Наталья Алексеевна" r:id="rId798" minRId="32021" maxRId="32123">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FE58A434-09C3-407E-9CAF-7823FF3DF2F9}" dateTime="2025-04-04T11:57:36" maxSheetId="25" userName="Степаненко Наталья Алексеевна" r:id="rId799" minRId="32124" maxRId="32147">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0B7915E0-AB00-4482-8A33-3D9133C1C655}" dateTime="2025-04-04T12:06:51" maxSheetId="25" userName="Степаненко Наталья Алексеевна" r:id="rId800" minRId="32148" maxRId="32150">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A7B17B10-3174-4425-9BE0-8194F6F3E12B}" dateTime="2025-04-04T12:14:04" maxSheetId="25" userName="Степаненко Наталья Алексеевна" r:id="rId801" minRId="32162" maxRId="32186">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F5900D83-A752-499E-AFA8-796BDCB36BB9}" dateTime="2025-04-04T12:18:52" maxSheetId="25" userName="Степаненко Наталья Алексеевна" r:id="rId802" minRId="32198" maxRId="32285">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776793B2-7987-4B59-AA02-FD081660C4EB}" dateTime="2025-04-04T12:20:08" maxSheetId="25" userName="Степаненко Наталья Алексеевна" r:id="rId803">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ADB12E0C-0119-4CFC-89CC-A0EA5136F835}" dateTime="2025-04-07T11:43:06" maxSheetId="25" userName="Тихонова Лариса Анатольевна" r:id="rId804" minRId="32286" maxRId="32294">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AE95E47F-5ED2-40D8-BF52-88BD6370AEB4}" dateTime="2025-04-07T14:18:50" maxSheetId="25" userName="Тихонова Лариса Анатольевна" r:id="rId805">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A5661289-7322-4612-ABBD-F0056DB66B01}" dateTime="2025-04-07T17:11:27" maxSheetId="25" userName="Тихонова Лариса Анатольевна" r:id="rId806" minRId="32307" maxRId="34055">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 guid="{0DD45D21-8C81-416D-B0A3-C6835107D1FC}" dateTime="2025-04-08T13:50:06" maxSheetId="25" userName="Тихонова Лариса Анатольевна" r:id="rId807">
    <sheetIdMap count="24">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4"/>
      <sheetId val="22"/>
      <sheetId val="2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841" sId="8">
    <oc r="AF164" t="inlineStr">
      <is>
        <r>
          <t xml:space="preserve">Остаток средств в сумме 34,5 т.руб., в том числе: прочие услуги - 34,5 т.руб.,  оплата по факту на основании документов на оплату,  акта выполненных работ, средства будут использованы в декабре.
</t>
        </r>
        <r>
          <rPr>
            <b/>
            <sz val="12"/>
            <color rgb="FFFF0000"/>
            <rFont val="Times New Roman"/>
            <family val="1"/>
            <charset val="204"/>
          </rPr>
          <t xml:space="preserve">ЗДЕСЬ НЕТ ОСТАТКА, ЕСЛИ ФОРМУЛУ ПОПРАВИТЬ, ИСПОЛНЕНИЕ 100% </t>
        </r>
      </is>
    </oc>
    <nc r="AF164"/>
  </rcc>
  <rcc rId="30842" sId="8">
    <oc r="AF170" t="inlineStr">
      <is>
        <r>
          <t xml:space="preserve"> Денежные средства в мае не запланированы. Сформированный остаток  не освоен в связи с переносом мероприятия на неопределенный срок, согласно письма от Управления Федеральной службы по надзору в сфере защиты прав потребителей и благополучия человека по ХМАО-Югре  от 26.03.2024 №438 "О заболеваемости коревой инфекции в г. Когалыме и дополнительных противоэпидемических мероприятий".
</t>
        </r>
        <r>
          <rPr>
            <b/>
            <sz val="12"/>
            <color rgb="FFFF0000"/>
            <rFont val="Times New Roman"/>
            <family val="1"/>
            <charset val="204"/>
          </rPr>
          <t xml:space="preserve">ПОПРАВИТЬ ПОЯСНЕНИЕ, НЕ АКТУАЛЬНО  </t>
        </r>
      </is>
    </oc>
    <nc r="AF170" t="inlineStr">
      <is>
        <t>Денежные средства не освоены в связи с отменой мероприятия, согласно письма от Управления Федеральной службы по надзору в сфере защиты прав потребителей и благополучия человека по ХМАО-Югре  от 26.03.2024 №438 "О заболеваемости коревой инфекции в г. Когалыме и дополнительных противоэпидемических мероприятий". В декабре месяце были возвращены в бюджетгорода Когалыма</t>
      </is>
    </nc>
  </rcc>
  <rcc rId="30843" sId="8">
    <oc r="C192">
      <f>H192+J192+L192+N192+P192+R192+T192+V192+X192+Z192+AB192+AD192</f>
    </oc>
    <nc r="C192">
      <f>H192+J192+L192+N192+P192+R192+T192+V192+X192+Z192+AB192+AD192</f>
    </nc>
  </rcc>
  <rcc rId="30844" sId="8">
    <oc r="C191">
      <f>H191+J191+L191+N191+P191+R191+T191+V191+X191+Z191+AB191+AD191</f>
    </oc>
    <nc r="C191">
      <f>H191+J191+L191+N191+P191+R191+T191+V191+X191+Z191+AB191+AD191</f>
    </nc>
  </rcc>
  <rcc rId="30845" sId="8">
    <oc r="C197">
      <f>H197+J197+L197+N197+P197+R197+T197+V197+X197+Z197+AB197+AD197</f>
    </oc>
    <nc r="C197">
      <f>H197+J197+L197+N197+P197+R197+T197+V197+X197+Z197+AB197+AD197</f>
    </nc>
  </rcc>
  <rcc rId="30846" sId="8">
    <oc r="C203">
      <f>H203+J203+L203+N203+P203+R203+T203+V203+X203+Z203+AB203+AD203</f>
    </oc>
    <nc r="C203">
      <f>H203+J203+L203+N203+P203+R203+T203+V203+X203+Z203+AB203+AD203</f>
    </nc>
  </rcc>
  <rcc rId="30847" sId="8">
    <oc r="C209">
      <f>H209+J209+L209+N209+P209+R209+T209+V209+X209+Z209+AB209+AD209</f>
    </oc>
    <nc r="C209">
      <f>H209+J209+L209+N209+P209+R209+T209+V209+X209+Z209+AB209+AD209</f>
    </nc>
  </rcc>
  <rcc rId="30848" sId="8">
    <oc r="C215">
      <f>SUM(H215)</f>
    </oc>
    <nc r="C215">
      <f>H215+J215+L215+N215+P215+R215+T215+V215+X215+Z215+AB215+AD215</f>
    </nc>
  </rcc>
  <rcv guid="{7C130984-112A-4861-AA43-E2940708E3DC}" action="delete"/>
  <rdn rId="0" localSheetId="2" customView="1" name="Z_7C130984_112A_4861_AA43_E2940708E3DC_.wvu.Rows" hidden="1" oldHidden="1">
    <formula>'1.СЗН'!$70:$74</formula>
    <oldFormula>'1.СЗН'!$70:$74</oldFormula>
  </rdn>
  <rdn rId="0" localSheetId="2" customView="1" name="Z_7C130984_112A_4861_AA43_E2940708E3DC_.wvu.FilterData" hidden="1" oldHidden="1">
    <formula>'1.СЗН'!$A$1:$AF$64</formula>
    <oldFormula>'1.СЗН'!$A$1:$AF$64</oldFormula>
  </rdn>
  <rdn rId="0" localSheetId="3" customView="1" name="Z_7C130984_112A_4861_AA43_E2940708E3DC_.wvu.FilterData" hidden="1" oldHidden="1">
    <formula>'2.АПК'!$A$1:$AF$36</formula>
    <oldFormula>'2.АПК'!$A$1:$AF$36</oldFormula>
  </rdn>
  <rdn rId="0" localSheetId="4" customView="1" name="Z_7C130984_112A_4861_AA43_E2940708E3DC_.wvu.FilterData" hidden="1" oldHidden="1">
    <formula>'3.БЖД'!$A$1:$AF$17</formula>
    <oldFormula>'3.БЖД'!$A$1:$AF$17</oldFormula>
  </rdn>
  <rdn rId="0" localSheetId="5" customView="1" name="Z_7C130984_112A_4861_AA43_E2940708E3DC_.wvu.FilterData" hidden="1" oldHidden="1">
    <formula>'4.УМИ'!$A$1:$AF$11</formula>
    <oldFormula>'4.УМИ'!$A$1:$AF$11</oldFormula>
  </rdn>
  <rdn rId="0" localSheetId="6" customView="1" name="Z_7C130984_112A_4861_AA43_E2940708E3DC_.wvu.FilterData" hidden="1" oldHidden="1">
    <formula>'5.Проф. прав.'!$A$1:$AF$12</formula>
    <oldFormula>'5.Проф. прав.'!$A$1:$AF$12</oldFormula>
  </rdn>
  <rdn rId="0" localSheetId="7" customView="1" name="Z_7C130984_112A_4861_AA43_E2940708E3DC_.wvu.Rows" hidden="1" oldHidden="1">
    <formula>'6.Экстримизм'!$9:$23,'6.Экстримизм'!$30:$38,'6.Экстримизм'!$44:$49,'6.Экстримизм'!$65:$67,'6.Экстримизм'!$71:$76,'6.Экстримизм'!$86:$88,'6.Экстримизм'!$95:$97</formula>
    <oldFormula>'6.Экстримизм'!$9:$23,'6.Экстримизм'!$30:$38,'6.Экстримизм'!$44:$49,'6.Экстримизм'!$65:$67,'6.Экстримизм'!$71:$76,'6.Экстримизм'!$86:$88,'6.Экстримизм'!$95:$97</oldFormula>
  </rdn>
  <rdn rId="0" localSheetId="7" customView="1" name="Z_7C130984_112A_4861_AA43_E2940708E3DC_.wvu.FilterData" hidden="1" oldHidden="1">
    <formula>'6.Экстримизм'!$A$1:$AF$11</formula>
    <oldFormula>'6.Экстримизм'!$A$1:$AF$11</oldFormula>
  </rdn>
  <rdn rId="0" localSheetId="14" customView="1" name="Z_7C130984_112A_4861_AA43_E2940708E3DC_.wvu.FilterData" hidden="1" oldHidden="1">
    <formula>'11.МП РО'!$A$7:$AP$125</formula>
    <oldFormula>'11.МП РО'!$A$7:$AP$125</oldFormula>
  </rdn>
  <rdn rId="0" localSheetId="17" customView="1" name="Z_7C130984_112A_4861_AA43_E2940708E3DC_.wvu.Rows" hidden="1" oldHidden="1">
    <formula>'13.МП РЖС'!$122:$127</formula>
    <oldFormula>'13.МП РЖС'!$122:$127</oldFormula>
  </rdn>
  <rdn rId="0" localSheetId="17" customView="1" name="Z_7C130984_112A_4861_AA43_E2940708E3DC_.wvu.Cols" hidden="1" oldHidden="1">
    <formula>'13.МП РЖС'!$AG:$AG</formula>
    <oldFormula>'13.МП РЖС'!$AG:$AG</oldFormula>
  </rdn>
  <rcv guid="{7C130984-112A-4861-AA43-E2940708E3DC}"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H291:AE291">
    <dxf>
      <fill>
        <patternFill>
          <bgColor rgb="FFFFFF00"/>
        </patternFill>
      </fill>
    </dxf>
  </rfmt>
  <rcc rId="31629" sId="8">
    <oc r="H291">
      <f>H14+H20+H26+H33+H41+H80+H116+H140+H154+H161+H198+H236+H254+H265+H274</f>
    </oc>
    <nc r="H291">
      <f>H14+H20+H26+H33+H41+H80+H116+H140+H154+H161+H198+H236+H254+H266+H274</f>
    </nc>
  </rcc>
  <rcc rId="31630" sId="8">
    <oc r="I291">
      <f>I14+I20+I26+I33+I41+I80+I116+I140+I154+I161+I198+I236+I254+I265+I274</f>
    </oc>
    <nc r="I291">
      <f>I14+I20+I26+I33+I41+I80+I116+I140+I154+I161+I198+I236+I254+I266+I274</f>
    </nc>
  </rcc>
  <rcc rId="31631" sId="8">
    <oc r="J291">
      <f>J14+J20+J26+J33+J41+J80+J116+J140+J154+J161+J198+J236+J254+J265+J274</f>
    </oc>
    <nc r="J291">
      <f>J14+J20+J26+J33+J41+J80+J116+J140+J154+J161+J198+J236+J254+J266+J274</f>
    </nc>
  </rcc>
  <rcc rId="31632" sId="8">
    <oc r="K291">
      <f>K14+K20+K26+K33+K41+K80+K116+K140+K154+K161+K198+K236+K254+K265+K274</f>
    </oc>
    <nc r="K291">
      <f>K14+K20+K26+K33+K41+K80+K116+K140+K154+K161+K198+K236+K254+K266+K274</f>
    </nc>
  </rcc>
  <rcc rId="31633" sId="8">
    <oc r="L291">
      <f>L14+L20+L26+L33+L41+L80+L116+L140+L154+L161+L198+L236+L254+L265+L274</f>
    </oc>
    <nc r="L291">
      <f>L14+L20+L26+L33+L41+L80+L116+L140+L154+L161+L198+L236+L254+L266+L274</f>
    </nc>
  </rcc>
  <rcc rId="31634" sId="8">
    <oc r="M291">
      <f>M14+M20+M26+M33+M41+M80+M116+M140+M154+M161+M198+M236+M254+M265+M274</f>
    </oc>
    <nc r="M291">
      <f>M14+M20+M26+M33+M41+M80+M116+M140+M154+M161+M198+M236+M254+M266+M274</f>
    </nc>
  </rcc>
  <rcc rId="31635" sId="8">
    <oc r="N291">
      <f>N14+N20+N26+N33+N41+N80+N116+N140+N154+N161+N198+N236+N254+N265+N274</f>
    </oc>
    <nc r="N291">
      <f>N14+N20+N26+N33+N41+N80+N116+N140+N154+N161+N198+N236+N254+N266+N274</f>
    </nc>
  </rcc>
  <rcc rId="31636" sId="8">
    <oc r="O291">
      <f>O14+O20+O26+O33+O41+O80+O116+O140+O154+O161+O198+O236+O254+O265+O274</f>
    </oc>
    <nc r="O291">
      <f>O14+O20+O26+O33+O41+O80+O116+O140+O154+O161+O198+O236+O254+O266+O274</f>
    </nc>
  </rcc>
  <rcc rId="31637" sId="8">
    <oc r="P291">
      <f>P14+P20+P26+P33+P41+P80+P116+P140+P154+P161+P198+P236+P254+P265+P274</f>
    </oc>
    <nc r="P291">
      <f>P14+P20+P26+P33+P41+P80+P116+P140+P154+P161+P198+P236+P254+P266+P274</f>
    </nc>
  </rcc>
  <rcc rId="31638" sId="8">
    <oc r="Q291">
      <f>Q14+Q20+Q26+Q33+Q41+Q80+Q116+Q140+Q154+Q161+Q198+Q236+Q254+Q265+Q274</f>
    </oc>
    <nc r="Q291">
      <f>Q14+Q20+Q26+Q33+Q41+Q80+Q116+Q140+Q154+Q161+Q198+Q236+Q254+Q266+Q274</f>
    </nc>
  </rcc>
  <rcc rId="31639" sId="8">
    <oc r="R291">
      <f>R14+R20+R26+R33+R41+R80+R116+R140+R154+R161+R198+R236+R254+R265+R274</f>
    </oc>
    <nc r="R291">
      <f>R14+R20+R26+R33+R41+R80+R116+R140+R154+R161+R198+R236+R254+R266+R274</f>
    </nc>
  </rcc>
  <rcc rId="31640" sId="8">
    <oc r="S291">
      <f>S14+S20+S26+S33+S41+S80+S116+S140+S154+S161+S198+S236+S254+S265+S274</f>
    </oc>
    <nc r="S291">
      <f>S14+S20+S26+S33+S41+S80+S116+S140+S154+S161+S198+S236+S254+S266+S274</f>
    </nc>
  </rcc>
  <rcc rId="31641" sId="8">
    <oc r="T291">
      <f>T14+T20+T26+T33+T41+T80+T116+T140+T154+T161+T198+T236+T254+T265+T274</f>
    </oc>
    <nc r="T291">
      <f>T14+T20+T26+T33+T41+T80+T116+T140+T154+T161+T198+T236+T254+T266+T274</f>
    </nc>
  </rcc>
  <rcc rId="31642" sId="8">
    <oc r="U291">
      <f>U14+U20+U26+U33+U41+U80+U116+U140+U154+U161+U198+U236+U254+U265+U274</f>
    </oc>
    <nc r="U291">
      <f>U14+U20+U26+U33+U41+U80+U116+U140+U154+U161+U198+U236+U254+U266+U274</f>
    </nc>
  </rcc>
  <rcc rId="31643" sId="8">
    <oc r="V291">
      <f>V14+V20+V26+V33+V41+V80+V116+V140+V154+V161+V198+V236+V254+V265+V274</f>
    </oc>
    <nc r="V291">
      <f>V14+V20+V26+V33+V41+V80+V116+V140+V154+V161+V198+V236+V254+V266+V274</f>
    </nc>
  </rcc>
  <rcc rId="31644" sId="8">
    <oc r="W291">
      <f>W14+W20+W26+W33+W41+W80+W116+W140+W154+W161+W198+W236+W254+W265+W274</f>
    </oc>
    <nc r="W291">
      <f>W14+W20+W26+W33+W41+W80+W116+W140+W154+W161+W198+W236+W254+W266+W274</f>
    </nc>
  </rcc>
  <rcc rId="31645" sId="8">
    <oc r="X291">
      <f>X14+X20+X26+X33+X41+X80+X116+X140+X154+X161+X198+X236+X254+X265+X274</f>
    </oc>
    <nc r="X291">
      <f>X14+X20+X26+X33+X41+X80+X116+X140+X154+X161+X198+X236+X254+X266+X274</f>
    </nc>
  </rcc>
  <rcc rId="31646" sId="8">
    <oc r="Y291">
      <f>Y14+Y20+Y26+Y33+Y41+Y80+Y116+Y140+Y154+Y161+Y198+Y236+Y254+Y265+Y274</f>
    </oc>
    <nc r="Y291">
      <f>Y14+Y20+Y26+Y33+Y41+Y80+Y116+Y140+Y154+Y161+Y198+Y236+Y254+Y266+Y274</f>
    </nc>
  </rcc>
  <rcc rId="31647" sId="8">
    <oc r="Z291">
      <f>Z14+Z20+Z26+Z33+Z41+Z80+Z116+Z140+Z154+Z161+Z198+Z236+Z254+Z265+Z274</f>
    </oc>
    <nc r="Z291">
      <f>Z14+Z20+Z26+Z33+Z41+Z80+Z116+Z140+Z154+Z161+Z198+Z236+Z254+Z266+Z274</f>
    </nc>
  </rcc>
  <rcc rId="31648" sId="8">
    <oc r="AA291">
      <f>AA14+AA20+AA26+AA33+AA41+AA80+AA116+AA140+AA154+AA161+AA198+AA236+AA254+AA265+AA274</f>
    </oc>
    <nc r="AA291">
      <f>AA14+AA20+AA26+AA33+AA41+AA80+AA116+AA140+AA154+AA161+AA198+AA236+AA254+AA266+AA274</f>
    </nc>
  </rcc>
  <rcc rId="31649" sId="8">
    <oc r="AB291">
      <f>AB14+AB20+AB26+AB33+AB41+AB80+AB116+AB140+AB154+AB161+AB198+AB236+AB254+AB265+AB274</f>
    </oc>
    <nc r="AB291">
      <f>AB14+AB20+AB26+AB33+AB41+AB80+AB116+AB140+AB154+AB161+AB198+AB236+AB254+AB266+AB274</f>
    </nc>
  </rcc>
  <rcc rId="31650" sId="8">
    <oc r="AC291">
      <f>AC14+AC20+AC26+AC33+AC41+AC80+AC116+AC140+AC154+AC161+AC198+AC236+AC254+AC265+AC274</f>
    </oc>
    <nc r="AC291">
      <f>AC14+AC20+AC26+AC33+AC41+AC80+AC116+AC140+AC154+AC161+AC198+AC236+AC254+AC266+AC274</f>
    </nc>
  </rcc>
  <rcc rId="31651" sId="8">
    <oc r="AD291">
      <f>AD14+AD20+AD26+AD33+AD41+AD80+AD116+AD140+AD154+AD161+AD198+AD236+AD254+AD265+AD274</f>
    </oc>
    <nc r="AD291">
      <f>AD14+AD20+AD26+AD33+AD41+AD80+AD116+AD140+AD154+AD161+AD198+AD236+AD254+AD266+AD274</f>
    </nc>
  </rcc>
  <rcc rId="31652" sId="8">
    <oc r="AE291">
      <f>AE14+AE20+AE26+AE33+AE41+AE80+AE116+AE140+AE154+AE161+AE198+AE236+AE254+AE265+AE274</f>
    </oc>
    <nc r="AE291">
      <f>AE14+AE20+AE26+AE33+AE41+AE80+AE116+AE140+AE154+AE161+AE198+AE236+AE254+AE266+AE274</f>
    </nc>
  </rcc>
  <rcc rId="31653" sId="8" odxf="1" dxf="1">
    <nc r="B3">
      <f>B14+B20+B26+B33+B41+B80+B116+B140+B154+B161+B198+B236+B254+B266+B274</f>
    </nc>
    <odxf>
      <numFmt numFmtId="0" formatCode="General"/>
    </odxf>
    <ndxf>
      <numFmt numFmtId="4" formatCode="#,##0.00"/>
    </ndxf>
  </rcc>
  <rcc rId="31654" sId="8" numFmtId="4">
    <oc r="H118">
      <f>H124+H130+H136</f>
    </oc>
    <nc r="H118">
      <v>0</v>
    </nc>
  </rcc>
  <rcc rId="31655" sId="8" numFmtId="4">
    <oc r="I118">
      <f>I124+I130+I136</f>
    </oc>
    <nc r="I118">
      <v>0</v>
    </nc>
  </rcc>
  <rcc rId="31656" sId="8" numFmtId="4">
    <oc r="J118">
      <f>J124+J130+J136</f>
    </oc>
    <nc r="J118">
      <v>0</v>
    </nc>
  </rcc>
  <rcc rId="31657" sId="8" numFmtId="4">
    <oc r="K118">
      <f>K124+K130+K136</f>
    </oc>
    <nc r="K118">
      <v>0</v>
    </nc>
  </rcc>
  <rcc rId="31658" sId="8" numFmtId="4">
    <oc r="L118">
      <f>L124+L130+L136</f>
    </oc>
    <nc r="L118">
      <v>0</v>
    </nc>
  </rcc>
  <rcc rId="31659" sId="8" numFmtId="4">
    <oc r="M118">
      <f>M124+M130+M136</f>
    </oc>
    <nc r="M118">
      <v>0</v>
    </nc>
  </rcc>
  <rcc rId="31660" sId="8" numFmtId="4">
    <oc r="N118">
      <f>N124+N130+N136</f>
    </oc>
    <nc r="N118">
      <v>0</v>
    </nc>
  </rcc>
  <rcc rId="31661" sId="8" numFmtId="4">
    <oc r="O118">
      <f>O124+O130+O136</f>
    </oc>
    <nc r="O118">
      <v>0</v>
    </nc>
  </rcc>
  <rcc rId="31662" sId="8" numFmtId="4">
    <oc r="P118">
      <f>P124+P130+P136</f>
    </oc>
    <nc r="P118">
      <v>0</v>
    </nc>
  </rcc>
  <rcc rId="31663" sId="8" numFmtId="4">
    <oc r="Q118">
      <f>Q124+Q130+Q136</f>
    </oc>
    <nc r="Q118">
      <v>0</v>
    </nc>
  </rcc>
  <rcc rId="31664" sId="8" numFmtId="4">
    <oc r="R118">
      <f>R124+R130+R136</f>
    </oc>
    <nc r="R118">
      <v>0</v>
    </nc>
  </rcc>
  <rcc rId="31665" sId="8" numFmtId="4">
    <oc r="S118">
      <f>S124+S130+S136</f>
    </oc>
    <nc r="S118">
      <v>0</v>
    </nc>
  </rcc>
  <rcc rId="31666" sId="8" numFmtId="4">
    <oc r="T118">
      <f>T124+T130+T136</f>
    </oc>
    <nc r="T118">
      <v>0</v>
    </nc>
  </rcc>
  <rcc rId="31667" sId="8" numFmtId="4">
    <oc r="U118">
      <f>U124+U130+U136</f>
    </oc>
    <nc r="U118">
      <v>0</v>
    </nc>
  </rcc>
  <rcc rId="31668" sId="8" numFmtId="4">
    <oc r="V118">
      <f>V124+V130+V136</f>
    </oc>
    <nc r="V118">
      <v>0</v>
    </nc>
  </rcc>
  <rcc rId="31669" sId="8" numFmtId="4">
    <oc r="W118">
      <f>W124+W130+W136</f>
    </oc>
    <nc r="W118">
      <v>0</v>
    </nc>
  </rcc>
  <rcc rId="31670" sId="8" numFmtId="4">
    <oc r="X118">
      <f>X124+X130+X136</f>
    </oc>
    <nc r="X118">
      <v>105.28</v>
    </nc>
  </rcc>
  <rcc rId="31671" sId="8" numFmtId="4">
    <oc r="Y118">
      <f>Y124+Y130+Y136</f>
    </oc>
    <nc r="Y118">
      <v>0</v>
    </nc>
  </rcc>
  <rcc rId="31672" sId="8" numFmtId="4">
    <oc r="Z118">
      <f>Z124+Z130+Z136</f>
    </oc>
    <nc r="Z118">
      <v>0</v>
    </nc>
  </rcc>
  <rcc rId="31673" sId="8" numFmtId="4">
    <oc r="AA118">
      <f>AA124+AA130+AA136</f>
    </oc>
    <nc r="AA118">
      <v>0</v>
    </nc>
  </rcc>
  <rcc rId="31674" sId="8" numFmtId="4">
    <oc r="AB118">
      <f>AB124+AB130+AB136</f>
    </oc>
    <nc r="AB118">
      <v>0</v>
    </nc>
  </rcc>
  <rcc rId="31675" sId="8" numFmtId="4">
    <oc r="AC118">
      <f>AC124+AC130+AC136</f>
    </oc>
    <nc r="AC118">
      <v>0</v>
    </nc>
  </rcc>
  <rcc rId="31676" sId="8" numFmtId="4">
    <oc r="AD118">
      <f>AD124+AD130+AD136</f>
    </oc>
    <nc r="AD118">
      <v>0</v>
    </nc>
  </rcc>
  <rcc rId="31677" sId="8" numFmtId="4">
    <oc r="AE118">
      <f>AE124+AE130+AE136</f>
    </oc>
    <nc r="AE118">
      <v>105.28</v>
    </nc>
  </rcc>
  <rcc rId="31678" sId="8">
    <oc r="H116">
      <f>H122+H128+H134</f>
    </oc>
    <nc r="H116"/>
  </rcc>
  <rcc rId="31679" sId="8">
    <oc r="I116">
      <f>I122+I128+I134</f>
    </oc>
    <nc r="I116"/>
  </rcc>
  <rcc rId="31680" sId="8">
    <oc r="J116">
      <f>J122+J128+J134</f>
    </oc>
    <nc r="J116"/>
  </rcc>
  <rcc rId="31681" sId="8">
    <oc r="K116">
      <f>K122+K128+K134</f>
    </oc>
    <nc r="K116"/>
  </rcc>
  <rcc rId="31682" sId="8">
    <oc r="L116">
      <f>L122+L128+L134</f>
    </oc>
    <nc r="L116"/>
  </rcc>
  <rcc rId="31683" sId="8">
    <oc r="M116">
      <f>M122+M128+M134</f>
    </oc>
    <nc r="M116"/>
  </rcc>
  <rcc rId="31684" sId="8">
    <oc r="N116">
      <f>N122+N128+N134</f>
    </oc>
    <nc r="N116"/>
  </rcc>
  <rcc rId="31685" sId="8">
    <oc r="O116">
      <f>O122+O128+O134</f>
    </oc>
    <nc r="O116"/>
  </rcc>
  <rcc rId="31686" sId="8">
    <oc r="P116">
      <f>P122+P128+P134</f>
    </oc>
    <nc r="P116"/>
  </rcc>
  <rcc rId="31687" sId="8">
    <oc r="Q116">
      <f>Q122+Q128+Q134</f>
    </oc>
    <nc r="Q116"/>
  </rcc>
  <rcc rId="31688" sId="8">
    <oc r="R116">
      <f>R122+R128+R134</f>
    </oc>
    <nc r="R116"/>
  </rcc>
  <rcc rId="31689" sId="8">
    <oc r="S116">
      <f>S122+S128+S134</f>
    </oc>
    <nc r="S116"/>
  </rcc>
  <rcc rId="31690" sId="8">
    <oc r="T116">
      <f>T122+T128+T134</f>
    </oc>
    <nc r="T116"/>
  </rcc>
  <rcc rId="31691" sId="8">
    <oc r="U116">
      <f>U122+U128+U134</f>
    </oc>
    <nc r="U116"/>
  </rcc>
  <rcc rId="31692" sId="8">
    <oc r="V116">
      <f>V122+V128+V134</f>
    </oc>
    <nc r="V116"/>
  </rcc>
  <rcc rId="31693" sId="8">
    <oc r="W116">
      <f>W122+W128+W134</f>
    </oc>
    <nc r="W116"/>
  </rcc>
  <rcc rId="31694" sId="8">
    <oc r="X116">
      <f>X122+X128+X134</f>
    </oc>
    <nc r="X116"/>
  </rcc>
  <rcc rId="31695" sId="8">
    <oc r="Y116">
      <f>Y122+Y128+Y134</f>
    </oc>
    <nc r="Y116"/>
  </rcc>
  <rcc rId="31696" sId="8">
    <oc r="Z116">
      <f>Z122+Z128+Z134</f>
    </oc>
    <nc r="Z116"/>
  </rcc>
  <rcc rId="31697" sId="8">
    <oc r="AA116">
      <f>AA122+AA128+AA134</f>
    </oc>
    <nc r="AA116"/>
  </rcc>
  <rcc rId="31698" sId="8">
    <oc r="AB116">
      <f>AB122+AB128+AB134</f>
    </oc>
    <nc r="AB116"/>
  </rcc>
  <rcc rId="31699" sId="8">
    <oc r="AC116">
      <f>AC122+AC128+AC134</f>
    </oc>
    <nc r="AC116"/>
  </rcc>
  <rcc rId="31700" sId="8">
    <oc r="AD116">
      <f>AD122+AD128+AD134</f>
    </oc>
    <nc r="AD116"/>
  </rcc>
  <rcc rId="31701" sId="8">
    <oc r="AE116">
      <f>AE122+AE128+AE134</f>
    </oc>
    <nc r="AE116"/>
  </rcc>
  <rm rId="31702" sheetId="8" source="X122:AE122" destination="X124:AE124" sourceSheetId="8">
    <undo index="23" exp="ref" v="1" dr="Z124" r="Z319" sId="8"/>
    <undo index="23" exp="ref" v="1" dr="AD124" r="AD319" sId="8"/>
    <undo index="23" exp="ref" v="1" dr="AB124" r="AB319" sId="8"/>
    <undo index="23" exp="ref" v="1" dr="X124" r="X319" sId="8"/>
    <undo index="23" exp="ref" v="1" dr="AE124" r="AE319" sId="8"/>
    <undo index="23" exp="ref" v="1" dr="AA124" r="AA319" sId="8"/>
    <undo index="23" exp="ref" v="1" dr="AC124" r="AC319" sId="8"/>
    <undo index="23" exp="ref" v="1" dr="Y124" r="Y319" sId="8"/>
    <undo index="5" exp="ref" v="1" dr="X124" r="X120" sId="8"/>
    <undo index="5" exp="ref" v="1" dr="Y124" r="Y120" sId="8"/>
    <undo index="5" exp="ref" v="1" dr="Z124" r="Z120" sId="8"/>
    <undo index="5" exp="ref" v="1" dr="AA124" r="AA120" sId="8"/>
    <undo index="5" exp="ref" v="1" dr="AB124" r="AB120" sId="8"/>
    <undo index="5" exp="ref" v="1" dr="AC124" r="AC120" sId="8"/>
    <undo index="5" exp="ref" v="1" dr="AD124" r="AD120" sId="8"/>
    <undo index="5" exp="ref" v="1" dr="AE124" r="AE120" sId="8"/>
    <undo index="23" exp="ref" v="1" dr="AD124" r="AG124" sId="8"/>
    <undo index="21" exp="ref" v="1" dr="AB124" r="AG124" sId="8"/>
    <undo index="19" exp="ref" v="1" dr="Z124" r="AG124" sId="8"/>
    <undo index="17" exp="ref" v="1" dr="X124" r="AG124" sId="8"/>
    <undo index="16" exp="ref" v="1" dr="Z124" r="Z305" sId="8"/>
    <undo index="16" exp="ref" v="1" dr="AD124" r="AD305" sId="8"/>
    <undo index="16" exp="ref" v="1" dr="Y124" r="Y305" sId="8"/>
    <undo index="16" exp="ref" v="1" dr="AA124" r="AA305" sId="8"/>
    <undo index="16" exp="ref" v="1" dr="AC124" r="AC305" sId="8"/>
    <undo index="16" exp="ref" v="1" dr="AE124" r="AE305" sId="8"/>
    <undo index="16" exp="ref" v="1" dr="X124" r="X305" sId="8"/>
    <undo index="16" exp="ref" v="1" dr="AB124" r="AB305" sId="8"/>
    <undo index="21" exp="ref" v="1" dr="AE124" r="AJ124" sId="8"/>
    <undo index="19" exp="ref" v="1" dr="AC124" r="AJ124" sId="8"/>
    <undo index="17" exp="ref" v="1" dr="AA124" r="AJ124" sId="8"/>
    <undo index="15" exp="ref" v="1" dr="Y124" r="AJ124" sId="8"/>
    <undo index="21" exp="ref" v="1" dr="AD124" r="AH124" sId="8"/>
    <undo index="19" exp="ref" v="1" dr="AB124" r="AH124" sId="8"/>
    <undo index="17" exp="ref" v="1" dr="Z124" r="AH124" sId="8"/>
    <undo index="15" exp="ref" v="1" dr="X124" r="AH124" sId="8"/>
    <rfmt sheetId="8" sqref="X124" start="0" length="0">
      <dxf>
        <font>
          <sz val="14"/>
          <color theme="1"/>
          <name val="Times New Roman"/>
          <scheme val="none"/>
        </font>
        <numFmt numFmtId="4" formatCode="#,##0.00"/>
        <border outline="0">
          <left style="thin">
            <color indexed="64"/>
          </left>
          <right style="thin">
            <color indexed="64"/>
          </right>
          <top style="thin">
            <color indexed="64"/>
          </top>
          <bottom style="thin">
            <color indexed="64"/>
          </bottom>
        </border>
      </dxf>
    </rfmt>
    <rfmt sheetId="8" sqref="Y124" start="0" length="0">
      <dxf>
        <font>
          <sz val="14"/>
          <color theme="1"/>
          <name val="Times New Roman"/>
          <scheme val="none"/>
        </font>
        <numFmt numFmtId="4" formatCode="#,##0.00"/>
        <border outline="0">
          <left style="thin">
            <color indexed="64"/>
          </left>
          <right style="thin">
            <color indexed="64"/>
          </right>
          <top style="thin">
            <color indexed="64"/>
          </top>
          <bottom style="thin">
            <color indexed="64"/>
          </bottom>
        </border>
      </dxf>
    </rfmt>
    <rfmt sheetId="8" sqref="Z124" start="0" length="0">
      <dxf>
        <font>
          <sz val="14"/>
          <color theme="1"/>
          <name val="Times New Roman"/>
          <scheme val="none"/>
        </font>
        <numFmt numFmtId="4" formatCode="#,##0.00"/>
        <border outline="0">
          <left style="thin">
            <color indexed="64"/>
          </left>
          <right style="thin">
            <color indexed="64"/>
          </right>
          <top style="thin">
            <color indexed="64"/>
          </top>
          <bottom style="thin">
            <color indexed="64"/>
          </bottom>
        </border>
      </dxf>
    </rfmt>
    <rfmt sheetId="8" sqref="AA124" start="0" length="0">
      <dxf>
        <font>
          <sz val="14"/>
          <color theme="1"/>
          <name val="Times New Roman"/>
          <scheme val="none"/>
        </font>
        <numFmt numFmtId="4" formatCode="#,##0.00"/>
        <border outline="0">
          <left style="thin">
            <color indexed="64"/>
          </left>
          <right style="thin">
            <color indexed="64"/>
          </right>
          <top style="thin">
            <color indexed="64"/>
          </top>
          <bottom style="thin">
            <color indexed="64"/>
          </bottom>
        </border>
      </dxf>
    </rfmt>
    <rfmt sheetId="8" sqref="AB124" start="0" length="0">
      <dxf>
        <font>
          <sz val="14"/>
          <color theme="1"/>
          <name val="Times New Roman"/>
          <scheme val="none"/>
        </font>
        <numFmt numFmtId="4" formatCode="#,##0.00"/>
        <border outline="0">
          <left style="thin">
            <color indexed="64"/>
          </left>
          <right style="thin">
            <color indexed="64"/>
          </right>
          <top style="thin">
            <color indexed="64"/>
          </top>
          <bottom style="thin">
            <color indexed="64"/>
          </bottom>
        </border>
      </dxf>
    </rfmt>
    <rfmt sheetId="8" sqref="AC124" start="0" length="0">
      <dxf>
        <font>
          <sz val="14"/>
          <color theme="1"/>
          <name val="Times New Roman"/>
          <scheme val="none"/>
        </font>
        <numFmt numFmtId="4" formatCode="#,##0.00"/>
        <border outline="0">
          <left style="thin">
            <color indexed="64"/>
          </left>
          <right style="thin">
            <color indexed="64"/>
          </right>
          <top style="thin">
            <color indexed="64"/>
          </top>
          <bottom style="thin">
            <color indexed="64"/>
          </bottom>
        </border>
      </dxf>
    </rfmt>
    <rfmt sheetId="8" sqref="AD124" start="0" length="0">
      <dxf>
        <font>
          <sz val="14"/>
          <color theme="1"/>
          <name val="Times New Roman"/>
          <scheme val="none"/>
        </font>
        <numFmt numFmtId="4" formatCode="#,##0.00"/>
        <border outline="0">
          <left style="thin">
            <color indexed="64"/>
          </left>
          <right style="thin">
            <color indexed="64"/>
          </right>
          <top style="thin">
            <color indexed="64"/>
          </top>
          <bottom style="thin">
            <color indexed="64"/>
          </bottom>
        </border>
      </dxf>
    </rfmt>
    <rfmt sheetId="8" sqref="AE124" start="0" length="0">
      <dxf>
        <font>
          <sz val="14"/>
          <color theme="1"/>
          <name val="Times New Roman"/>
          <scheme val="none"/>
        </font>
        <numFmt numFmtId="4" formatCode="#,##0.00"/>
        <border outline="0">
          <left style="thin">
            <color indexed="64"/>
          </left>
          <right style="thin">
            <color indexed="64"/>
          </right>
          <top style="thin">
            <color indexed="64"/>
          </top>
          <bottom style="thin">
            <color indexed="64"/>
          </bottom>
        </border>
      </dxf>
    </rfmt>
  </rm>
  <rfmt sheetId="8" sqref="X124:AE124">
    <dxf>
      <fill>
        <patternFill patternType="solid">
          <bgColor rgb="FFFFFF00"/>
        </patternFill>
      </fill>
    </dxf>
  </rfmt>
  <rcc rId="31703" sId="8">
    <oc r="W120">
      <f>W122+W123+W121+W124</f>
    </oc>
    <nc r="W120">
      <f>W122+W123+W121+W124</f>
    </nc>
  </rcc>
  <rcc rId="31704" sId="8">
    <oc r="X120">
      <f>X124+X123+X121+#REF!</f>
    </oc>
    <nc r="X120">
      <f>X122+X123+X121+X124</f>
    </nc>
  </rcc>
  <rcc rId="31705" sId="8">
    <oc r="Y120">
      <f>Y124+Y123+Y121+#REF!</f>
    </oc>
    <nc r="Y120">
      <f>Y122+Y123+Y121+Y124</f>
    </nc>
  </rcc>
  <rcc rId="31706" sId="8">
    <oc r="Z120">
      <f>Z124+Z123+Z121+#REF!</f>
    </oc>
    <nc r="Z120">
      <f>Z122+Z123+Z121+Z124</f>
    </nc>
  </rcc>
  <rcc rId="31707" sId="8">
    <oc r="AA120">
      <f>AA124+AA123+AA121+#REF!</f>
    </oc>
    <nc r="AA120">
      <f>AA122+AA123+AA121+AA124</f>
    </nc>
  </rcc>
  <rcc rId="31708" sId="8">
    <oc r="AB120">
      <f>AB124+AB123+AB121+#REF!</f>
    </oc>
    <nc r="AB120">
      <f>AB122+AB123+AB121+AB124</f>
    </nc>
  </rcc>
  <rcc rId="31709" sId="8">
    <oc r="AC120">
      <f>AC124+AC123+AC121+#REF!</f>
    </oc>
    <nc r="AC120">
      <f>AC122+AC123+AC121+AC124</f>
    </nc>
  </rcc>
  <rcc rId="31710" sId="8">
    <oc r="AD120">
      <f>AD124+AD123+AD121+#REF!</f>
    </oc>
    <nc r="AD120">
      <f>AD122+AD123+AD121+AD124</f>
    </nc>
  </rcc>
  <rcc rId="31711" sId="8">
    <oc r="AE120">
      <f>AE124+AE123+AE121+#REF!</f>
    </oc>
    <nc r="AE120">
      <f>AE122+AE123+AE121+AE124</f>
    </nc>
  </rcc>
  <rcc rId="31712" sId="8">
    <nc r="B124">
      <f>J124+L124+N124+P124+R124+T124+V124+X124+Z124+AB124+AD124+H124</f>
    </nc>
  </rcc>
  <rcc rId="31713" sId="8" odxf="1" dxf="1">
    <nc r="C124">
      <f>H124+J124+L124+N124+P124+R124+T124+V124+X124+Z124+AB124+AD124</f>
    </nc>
    <odxf/>
    <ndxf/>
  </rcc>
  <rfmt sheetId="8" sqref="D124" start="0" length="0">
    <dxf/>
  </rfmt>
  <rcc rId="31714" sId="8">
    <nc r="E124">
      <f>SUM(I124,K124,M124,O124,Q124,S124,U124,W124,Y124,AA124,AC124,AE124)</f>
    </nc>
  </rcc>
  <rcc rId="31715" sId="8">
    <nc r="F124">
      <f>IFERROR(E124/B124*100,0)</f>
    </nc>
  </rcc>
  <rcc rId="31716" sId="8">
    <nc r="G124">
      <f>IFERROR(E124/C124*100,0)</f>
    </nc>
  </rcc>
  <rfmt sheetId="8" sqref="X122" start="0" length="0">
    <dxf>
      <numFmt numFmtId="4" formatCode="#,##0.00"/>
      <border outline="0">
        <left style="thin">
          <color indexed="64"/>
        </left>
        <right style="thin">
          <color indexed="64"/>
        </right>
        <top style="thin">
          <color indexed="64"/>
        </top>
        <bottom style="thin">
          <color indexed="64"/>
        </bottom>
      </border>
    </dxf>
  </rfmt>
  <rfmt sheetId="8" sqref="Y122" start="0" length="0">
    <dxf>
      <numFmt numFmtId="4" formatCode="#,##0.00"/>
      <border outline="0">
        <left style="thin">
          <color indexed="64"/>
        </left>
        <right style="thin">
          <color indexed="64"/>
        </right>
        <top style="thin">
          <color indexed="64"/>
        </top>
        <bottom style="thin">
          <color indexed="64"/>
        </bottom>
      </border>
    </dxf>
  </rfmt>
  <rfmt sheetId="8" sqref="Z122" start="0" length="0">
    <dxf>
      <numFmt numFmtId="4" formatCode="#,##0.00"/>
      <border outline="0">
        <left style="thin">
          <color indexed="64"/>
        </left>
        <right style="thin">
          <color indexed="64"/>
        </right>
        <top style="thin">
          <color indexed="64"/>
        </top>
        <bottom style="thin">
          <color indexed="64"/>
        </bottom>
      </border>
    </dxf>
  </rfmt>
  <rfmt sheetId="8" sqref="AA122" start="0" length="0">
    <dxf>
      <numFmt numFmtId="4" formatCode="#,##0.00"/>
      <border outline="0">
        <left style="thin">
          <color indexed="64"/>
        </left>
        <right style="thin">
          <color indexed="64"/>
        </right>
        <top style="thin">
          <color indexed="64"/>
        </top>
        <bottom style="thin">
          <color indexed="64"/>
        </bottom>
      </border>
    </dxf>
  </rfmt>
  <rfmt sheetId="8" sqref="AB122" start="0" length="0">
    <dxf>
      <numFmt numFmtId="4" formatCode="#,##0.00"/>
      <border outline="0">
        <left style="thin">
          <color indexed="64"/>
        </left>
        <right style="thin">
          <color indexed="64"/>
        </right>
        <top style="thin">
          <color indexed="64"/>
        </top>
        <bottom style="thin">
          <color indexed="64"/>
        </bottom>
      </border>
    </dxf>
  </rfmt>
  <rfmt sheetId="8" sqref="AC122" start="0" length="0">
    <dxf>
      <numFmt numFmtId="4" formatCode="#,##0.00"/>
      <border outline="0">
        <left style="thin">
          <color indexed="64"/>
        </left>
        <right style="thin">
          <color indexed="64"/>
        </right>
        <top style="thin">
          <color indexed="64"/>
        </top>
        <bottom style="thin">
          <color indexed="64"/>
        </bottom>
      </border>
    </dxf>
  </rfmt>
  <rfmt sheetId="8" sqref="AD122" start="0" length="0">
    <dxf>
      <numFmt numFmtId="4" formatCode="#,##0.00"/>
      <border outline="0">
        <left style="thin">
          <color indexed="64"/>
        </left>
        <right style="thin">
          <color indexed="64"/>
        </right>
        <top style="thin">
          <color indexed="64"/>
        </top>
        <bottom style="thin">
          <color indexed="64"/>
        </bottom>
      </border>
    </dxf>
  </rfmt>
  <rfmt sheetId="8" sqref="AE122" start="0" length="0">
    <dxf>
      <numFmt numFmtId="4" formatCode="#,##0.00"/>
      <border outline="0">
        <left style="thin">
          <color indexed="64"/>
        </left>
        <right style="thin">
          <color indexed="64"/>
        </right>
        <top style="thin">
          <color indexed="64"/>
        </top>
        <bottom style="thin">
          <color indexed="64"/>
        </bottom>
      </border>
    </dxf>
  </rfmt>
  <rcc rId="31717" sId="8">
    <oc r="B122">
      <f>X124</f>
    </oc>
    <nc r="B122">
      <f>J122+L122+N122+P122+R122+T122+V122+X122+Z122+AB122+AD122+H122</f>
    </nc>
  </rcc>
  <rcc rId="31718" sId="8">
    <oc r="C122">
      <f>H122+J122+L122+N122+P122+R122+T122+V122+X124+Z124+AB124+AD124</f>
    </oc>
    <nc r="C122">
      <f>H122+J122+L122+N122+P122+R122+T122+V122+X122+Z122+AB122+AD122</f>
    </nc>
  </rcc>
  <rcc rId="31719" sId="8">
    <oc r="E122">
      <f>AE124</f>
    </oc>
    <nc r="E122">
      <f>SUM(I122,K122,M122,O122,Q122,S122,U122,W122,Y122,AA122,AC122,AE122)</f>
    </nc>
  </rcc>
  <rcc rId="31720" sId="8">
    <oc r="F122">
      <f>IFERROR(E122/B122*100,0)</f>
    </oc>
    <nc r="F122">
      <f>IFERROR(E122/B122*100,0)</f>
    </nc>
  </rcc>
  <rcc rId="31721" sId="8">
    <oc r="G122">
      <f>IFERROR(E122/C122*100,0)</f>
    </oc>
    <nc r="G122">
      <f>IFERROR(E122/C122*100,0)</f>
    </nc>
  </rcc>
  <rcc rId="31722" sId="8" numFmtId="4">
    <oc r="D122">
      <v>105.28</v>
    </oc>
    <nc r="D122">
      <v>0</v>
    </nc>
  </rcc>
  <rcc rId="31723" sId="8" numFmtId="4">
    <oc r="B118">
      <f>B124+B130+B136</f>
    </oc>
    <nc r="B118">
      <f>B124+B130+B136</f>
    </nc>
  </rcc>
  <rcc rId="31724" sId="8" numFmtId="4">
    <nc r="C118">
      <f>C124+C130+C136</f>
    </nc>
  </rcc>
  <rcc rId="31725" sId="8" numFmtId="4">
    <nc r="D118">
      <f>D124+D130+D136</f>
    </nc>
  </rcc>
  <rcc rId="31726" sId="8" numFmtId="4">
    <nc r="E118">
      <f>E124+E130+E136</f>
    </nc>
  </rcc>
  <rcc rId="31727" sId="8">
    <nc r="F118">
      <f>IFERROR(E118/B118*100,0)</f>
    </nc>
  </rcc>
  <rcc rId="31728" sId="8">
    <nc r="G118">
      <f>IFERROR(E118/C118*100,0)</f>
    </nc>
  </rcc>
  <rcc rId="31729" sId="8">
    <nc r="D124">
      <f>E124</f>
    </nc>
  </rcc>
  <rfmt sheetId="8" sqref="B116:G116">
    <dxf>
      <fill>
        <patternFill>
          <bgColor rgb="FFFFFF00"/>
        </patternFill>
      </fill>
    </dxf>
  </rfmt>
  <rfmt sheetId="8" sqref="B118:G118">
    <dxf>
      <fill>
        <patternFill>
          <bgColor rgb="FFFFFF00"/>
        </patternFill>
      </fill>
    </dxf>
  </rfmt>
  <rcmt sheetId="8" cell="B116" guid="{B0B86D3C-376B-4CD1-8800-DED9218A140C}" author="Степаненко Наталья Алексеевна" newLength="99"/>
  <rcmt sheetId="8" cell="C243" guid="{0803726E-8A9E-4DAD-BA4A-F4312248F726}" author="Степаненко Наталья Алексеевна" newLength="92"/>
  <rcv guid="{533DC55B-6AD4-4674-9488-685EF2039F3E}" action="delete"/>
  <rdn rId="0" localSheetId="2" customView="1" name="Z_533DC55B_6AD4_4674_9488_685EF2039F3E_.wvu.Rows" hidden="1" oldHidden="1">
    <formula>'1.СЗН'!$70:$74</formula>
    <oldFormula>'1.СЗН'!$70:$74</oldFormula>
  </rdn>
  <rdn rId="0" localSheetId="2" customView="1" name="Z_533DC55B_6AD4_4674_9488_685EF2039F3E_.wvu.FilterData" hidden="1" oldHidden="1">
    <formula>'1.СЗН'!$A$1:$AF$64</formula>
    <oldFormula>'1.СЗН'!$A$1:$AF$64</oldFormula>
  </rdn>
  <rdn rId="0" localSheetId="3" customView="1" name="Z_533DC55B_6AD4_4674_9488_685EF2039F3E_.wvu.FilterData" hidden="1" oldHidden="1">
    <formula>'2.АПК'!$A$1:$AF$36</formula>
    <oldFormula>'2.АПК'!$A$1:$AF$36</oldFormula>
  </rdn>
  <rdn rId="0" localSheetId="4" customView="1" name="Z_533DC55B_6AD4_4674_9488_685EF2039F3E_.wvu.FilterData" hidden="1" oldHidden="1">
    <formula>'3.БЖД'!$A$1:$AF$17</formula>
    <oldFormula>'3.БЖД'!$A$1:$AF$17</oldFormula>
  </rdn>
  <rdn rId="0" localSheetId="5" customView="1" name="Z_533DC55B_6AD4_4674_9488_685EF2039F3E_.wvu.FilterData" hidden="1" oldHidden="1">
    <formula>'4.УМИ'!$A$1:$AF$11</formula>
    <oldFormula>'4.УМИ'!$A$1:$AF$11</oldFormula>
  </rdn>
  <rdn rId="0" localSheetId="6" customView="1" name="Z_533DC55B_6AD4_4674_9488_685EF2039F3E_.wvu.FilterData" hidden="1" oldHidden="1">
    <formula>'5.Проф. прав.'!$A$1:$AF$12</formula>
    <oldFormula>'5.Проф. прав.'!$A$1:$AF$12</oldFormula>
  </rdn>
  <rdn rId="0" localSheetId="7" customView="1" name="Z_533DC55B_6AD4_4674_9488_685EF2039F3E_.wvu.Rows" hidden="1" oldHidden="1">
    <formula>'6.Экстримизм'!$9:$23,'6.Экстримизм'!$30:$38,'6.Экстримизм'!$44:$49,'6.Экстримизм'!$65:$67,'6.Экстримизм'!$71:$76,'6.Экстримизм'!$86:$88,'6.Экстримизм'!$95:$97</formula>
    <oldFormula>'6.Экстримизм'!$9:$23,'6.Экстримизм'!$30:$38,'6.Экстримизм'!$44:$49,'6.Экстримизм'!$65:$67,'6.Экстримизм'!$71:$76,'6.Экстримизм'!$86:$88,'6.Экстримизм'!$95:$97</oldFormula>
  </rdn>
  <rdn rId="0" localSheetId="7" customView="1" name="Z_533DC55B_6AD4_4674_9488_685EF2039F3E_.wvu.FilterData" hidden="1" oldHidden="1">
    <formula>'6.Экстримизм'!$A$1:$AF$11</formula>
    <oldFormula>'6.Экстримизм'!$A$1:$AF$11</oldFormula>
  </rdn>
  <rdn rId="0" localSheetId="14" customView="1" name="Z_533DC55B_6AD4_4674_9488_685EF2039F3E_.wvu.FilterData" hidden="1" oldHidden="1">
    <formula>'11.МП РО'!$A$7:$AP$125</formula>
    <oldFormula>'11.МП РО'!$A$7:$AP$125</oldFormula>
  </rdn>
  <rdn rId="0" localSheetId="17" customView="1" name="Z_533DC55B_6AD4_4674_9488_685EF2039F3E_.wvu.Rows" hidden="1" oldHidden="1">
    <formula>'13.МП РЖС'!$122:$127</formula>
    <oldFormula>'13.МП РЖС'!$122:$127</oldFormula>
  </rdn>
  <rdn rId="0" localSheetId="17" customView="1" name="Z_533DC55B_6AD4_4674_9488_685EF2039F3E_.wvu.Cols" hidden="1" oldHidden="1">
    <formula>'13.МП РЖС'!$AG:$AG</formula>
    <oldFormula>'13.МП РЖС'!$AG:$AG</oldFormula>
  </rdn>
  <rcv guid="{533DC55B-6AD4-4674-9488-685EF2039F3E}"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8" cell="B291" guid="{00000000-0000-0000-0000-000000000000}" action="delete" author="Степаненко Наталья Алексеевна"/>
  <rfmt sheetId="8" sqref="B291" start="0" length="2147483647">
    <dxf>
      <font>
        <color auto="1"/>
      </font>
    </dxf>
  </rfmt>
  <rcmt sheetId="8" cell="C291" guid="{00000000-0000-0000-0000-000000000000}" action="delete" author="Степаненко Наталья Алексеевна"/>
  <rfmt sheetId="8" sqref="B291:C291">
    <dxf>
      <fill>
        <patternFill>
          <bgColor rgb="FFFFFF00"/>
        </patternFill>
      </fill>
    </dxf>
  </rfmt>
  <rcmt sheetId="8" cell="D291" guid="{00000000-0000-0000-0000-000000000000}" action="delete" author="Степаненко Наталья Алексеевна"/>
  <rfmt sheetId="8" sqref="D291" start="0" length="2147483647">
    <dxf>
      <font>
        <color auto="1"/>
      </font>
    </dxf>
  </rfmt>
  <rfmt sheetId="8" sqref="D291">
    <dxf>
      <fill>
        <patternFill>
          <bgColor rgb="FFFFFF00"/>
        </patternFill>
      </fill>
    </dxf>
  </rfmt>
  <rfmt sheetId="8" sqref="B292" start="0" length="2147483647">
    <dxf>
      <font>
        <color rgb="FFFF0000"/>
      </font>
    </dxf>
  </rfmt>
  <rfmt sheetId="8" sqref="D292" start="0" length="2147483647">
    <dxf>
      <font>
        <color rgb="FFFF0000"/>
      </font>
    </dxf>
  </rfmt>
  <rcc rId="31741" sId="8" numFmtId="4">
    <oc r="P243">
      <v>1329.998</v>
    </oc>
    <nc r="P243">
      <v>1102.01</v>
    </nc>
  </rcc>
  <rfmt sheetId="8" sqref="P243" start="0" length="2147483647">
    <dxf>
      <font>
        <color auto="1"/>
      </font>
    </dxf>
  </rfmt>
  <rfmt sheetId="8" sqref="P243">
    <dxf>
      <fill>
        <patternFill patternType="solid">
          <bgColor rgb="FFFFFF00"/>
        </patternFill>
      </fill>
    </dxf>
  </rfmt>
  <rcc rId="31742" sId="8" odxf="1" dxf="1" numFmtId="4">
    <oc r="B243">
      <v>13516.79</v>
    </oc>
    <nc r="B243">
      <f>H243+J243+L243+N243+P243+R243+T243+V243+X243+Z243+AB243+AD243</f>
    </nc>
    <odxf>
      <fill>
        <patternFill>
          <bgColor rgb="FFFF0000"/>
        </patternFill>
      </fill>
    </odxf>
    <ndxf>
      <fill>
        <patternFill>
          <bgColor rgb="FFFFFF00"/>
        </patternFill>
      </fill>
    </ndxf>
  </rcc>
  <rcmt sheetId="8" cell="B243" guid="{00000000-0000-0000-0000-000000000000}" action="delete" author="Степаненко Наталья Алексеевна"/>
  <rfmt sheetId="8" sqref="A243" start="0" length="2147483647">
    <dxf>
      <font>
        <color auto="1"/>
      </font>
    </dxf>
  </rfmt>
  <rfmt sheetId="8" sqref="A243:XFD243" start="0" length="2147483647">
    <dxf>
      <font>
        <color auto="1"/>
      </font>
    </dxf>
  </rfmt>
  <rcc rId="31743" sId="8" odxf="1" dxf="1">
    <oc r="F242">
      <f>IFERROR(E242/B242*100,0)</f>
    </oc>
    <nc r="F242">
      <f>IFERROR(E242/B242*100,0)</f>
    </nc>
    <odxf>
      <font>
        <sz val="14"/>
        <color rgb="FFFF0000"/>
        <name val="Times New Roman"/>
        <scheme val="none"/>
      </font>
    </odxf>
    <ndxf>
      <font>
        <sz val="14"/>
        <color auto="1"/>
        <name val="Times New Roman"/>
        <scheme val="none"/>
      </font>
    </ndxf>
  </rcc>
  <rcc rId="31744" sId="8" odxf="1" dxf="1">
    <oc r="G242">
      <f>IFERROR(E242/C242*100,0)</f>
    </oc>
    <nc r="G242">
      <f>IFERROR(E242/C242*100,0)</f>
    </nc>
    <odxf>
      <font>
        <sz val="14"/>
        <color rgb="FFFF0000"/>
        <name val="Times New Roman"/>
        <scheme val="none"/>
      </font>
    </odxf>
    <ndxf>
      <font>
        <sz val="14"/>
        <color auto="1"/>
        <name val="Times New Roman"/>
        <scheme val="none"/>
      </font>
    </ndxf>
  </rcc>
  <rcc rId="31745" sId="8" odxf="1" dxf="1" numFmtId="4">
    <nc r="Q242">
      <v>227.99</v>
    </nc>
    <odxf>
      <fill>
        <patternFill>
          <bgColor rgb="FFFFC000"/>
        </patternFill>
      </fill>
    </odxf>
    <ndxf>
      <fill>
        <patternFill>
          <bgColor rgb="FFFFFF00"/>
        </patternFill>
      </fill>
    </ndxf>
  </rcc>
  <rfmt sheetId="8" sqref="C242:E243">
    <dxf>
      <fill>
        <patternFill>
          <bgColor rgb="FFFFFF00"/>
        </patternFill>
      </fill>
    </dxf>
  </rfmt>
  <rcmt sheetId="8" cell="C243" guid="{00000000-0000-0000-0000-000000000000}" action="delete" author="Степаненко Наталья Алексеевна"/>
  <rfmt sheetId="8" sqref="A242:A243">
    <dxf>
      <fill>
        <patternFill>
          <bgColor rgb="FFFFFF00"/>
        </patternFill>
      </fill>
    </dxf>
  </rfmt>
  <rcc rId="31746" sId="8" numFmtId="4">
    <oc r="D243">
      <f>E243</f>
    </oc>
    <nc r="D243">
      <v>13092.753000000001</v>
    </nc>
  </rcc>
  <rfmt sheetId="8" sqref="E243">
    <dxf>
      <fill>
        <patternFill>
          <bgColor rgb="FFFF0000"/>
        </patternFill>
      </fill>
    </dxf>
  </rfmt>
  <rfmt sheetId="8" sqref="E243">
    <dxf>
      <fill>
        <patternFill>
          <bgColor rgb="FFFFC000"/>
        </patternFill>
      </fill>
    </dxf>
  </rfmt>
  <rcmt sheetId="8" cell="C243" guid="{34DB1451-91C8-4C89-B859-C4E7272939D9}" author="Степаненко Наталья Алексеевна" newLength="68"/>
  <rcmt sheetId="8" cell="D243" guid="{63DF8A09-B7CC-44F1-8E49-A5F9FAC94E39}" author="Степаненко Наталья Алексеевна" newLength="72"/>
  <rcmt sheetId="8" cell="E243" guid="{CFA23A88-3411-4177-8FA3-7AD8BFBBF710}" author="Степаненко Наталья Алексеевна" newLength="112"/>
  <rcmt sheetId="8" cell="B292" guid="{635776F9-78A2-4EDB-BEF5-A2D130A6287B}" author="Степаненко Наталья Алексеевна" newLength="41"/>
  <rcmt sheetId="8" cell="D292" guid="{7414939C-8928-42C3-9AEA-1B0339F72258}" author="Степаненко Наталья Алексеевна" newLength="41"/>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747" sId="8">
    <oc r="B301">
      <f>B302+B303+B304+B305</f>
    </oc>
    <nc r="B301">
      <f>B302+B303+B304+B305</f>
    </nc>
  </rcc>
  <rcc rId="31748" sId="8">
    <oc r="B305">
      <f>J305+L305+N305+P305+R305+T305+V305+X305+Z305+AB305+AD305+H305</f>
    </oc>
    <nc r="B305">
      <f>J305+L305+N305+P305+R305+T305+V305+X305+Z305+AB305+AD305+H305</f>
    </nc>
  </rcc>
  <rcc rId="31749" sId="8">
    <oc r="I305">
      <f>I49+I56+I62+I68++I88+I94+I100+I106+I112+I124+I130+I136+I169+I194+I206+I212+I218+I224+I230+I244+I250+I262+I268+I282+I148+I288+I75</f>
    </oc>
    <nc r="I305">
      <f>I49+I56+I62+I68++I88+I94+I100+I106+I112+I124+I130+I136+I169+I194+I206+I212+I218+I224+I230+I244+I250+I262+I268+I282+I148+I288+I75</f>
    </nc>
  </rcc>
  <rcc rId="31750" sId="8">
    <oc r="J305">
      <f>J49+J56+J62+J68++J88+J94+J100+J106+J112+J124+J130+J136+J169+J194+J206+J212+J218+J224+J230+J244+J250+J262+J268+J282+J148+J288+J75</f>
    </oc>
    <nc r="J305">
      <f>J49+J56+J62+J68++J88+J94+J100+J106+J112+J124+J130+J136+J169+J194+J206+J212+J218+J224+J230+J244+J250+J262+J268+J282+J148+J288+J75</f>
    </nc>
  </rcc>
  <rcc rId="31751" sId="8">
    <oc r="K305">
      <f>K49+K56+K62+K68++K88+K94+K100+K106+K112+K124+K130+K136+K169+K194+K206+K212+K218+K224+K230+K244+K250+K262+K268+K282+K148+K288+K75</f>
    </oc>
    <nc r="K305">
      <f>K49+K56+K62+K68++K88+K94+K100+K106+K112+K124+K130+K136+K169+K194+K206+K212+K218+K224+K230+K244+K250+K262+K268+K282+K148+K288+K75</f>
    </nc>
  </rcc>
  <rcc rId="31752" sId="8">
    <oc r="L305">
      <f>L56+L62+L69++L88+L94+L100+L106+L112+L124+L130+L136+L169+L194+L206+L212+L218+L224+L230+L244+L250+L262+L268+L282+L148+L288+L75</f>
    </oc>
    <nc r="L305">
      <f>L49+L56+L62+L68++L88+L94+L100+L106+L112+L124+L130+L136+L169+L194+L206+L212+L218+L224+L230+L244+L250+L262+L268+L282+L148+L288+L75</f>
    </nc>
  </rcc>
  <rcc rId="31753" sId="8">
    <oc r="M305">
      <f>M56+M62+M69++M88+M94+M100+M106+M112+M124+M130+M136+M169+M194+M206+M212+M218+M224+M230+M244+M250+M262+M268+M282+M148+M288+M75</f>
    </oc>
    <nc r="M305">
      <f>M49+M56+M62+M68++M88+M94+M100+M106+M112+M124+M130+M136+M169+M194+M206+M212+M218+M224+M230+M244+M250+M262+M268+M282+M148+M288+M75</f>
    </nc>
  </rcc>
  <rcc rId="31754" sId="8">
    <oc r="N305">
      <f>N56+N62+N69++N88+N94+N100+N106+N112+N124+N130+N136+N169+N194+N206+N212+N218+N224+N230+N244+N250+N262+N268+N282+N148+N288+N75</f>
    </oc>
    <nc r="N305">
      <f>N49+N56+N62+N68++N88+N94+N100+N106+N112+N124+N130+N136+N169+N194+N206+N212+N218+N224+N230+N244+N250+N262+N268+N282+N148+N288+N75</f>
    </nc>
  </rcc>
  <rcc rId="31755" sId="8">
    <oc r="O305">
      <f>O56+O62+O69++O88+O94+O100+O106+O112+O124+O130+O136+O169+O194+O206+O212+O218+O224+O230+O244+O250+O262+O268+O282+O148+O288+O75</f>
    </oc>
    <nc r="O305">
      <f>O49+O56+O62+O68++O88+O94+O100+O106+O112+O124+O130+O136+O169+O194+O206+O212+O218+O224+O230+O244+O250+O262+O268+O282+O148+O288+O75</f>
    </nc>
  </rcc>
  <rcc rId="31756" sId="8">
    <oc r="P305">
      <f>P56+P62+P69++P88+P94+P100+P106+P112+P124+P130+P136+P169+P194+P206+P212+P218+P224+P230+P244+P250+P262+P268+P282+P148+P288+P75</f>
    </oc>
    <nc r="P305">
      <f>P49+P56+P62+P68++P88+P94+P100+P106+P112+P124+P130+P136+P169+P194+P206+P212+P218+P224+P230+P244+P250+P262+P268+P282+P148+P288+P75</f>
    </nc>
  </rcc>
  <rcc rId="31757" sId="8">
    <oc r="Q305">
      <f>Q56+Q62+Q69++Q88+Q94+Q100+Q106+Q112+Q124+Q130+Q136+Q169+Q194+Q206+Q212+Q218+Q224+Q230+Q244+Q250+Q262+Q268+Q282+Q148+Q288+Q75</f>
    </oc>
    <nc r="Q305">
      <f>Q49+Q56+Q62+Q68++Q88+Q94+Q100+Q106+Q112+Q124+Q130+Q136+Q169+Q194+Q206+Q212+Q218+Q224+Q230+Q244+Q250+Q262+Q268+Q282+Q148+Q288+Q75</f>
    </nc>
  </rcc>
  <rcc rId="31758" sId="8">
    <oc r="R305">
      <f>R56+R62+R69++R88+R94+R100+R106+R112+R124+R130+R136+R169+R194+R206+R212+R218+R224+R230+R244+R250+R262+R268+R282+R148+R288+R75</f>
    </oc>
    <nc r="R305">
      <f>R49+R56+R62+R68++R88+R94+R100+R106+R112+R124+R130+R136+R169+R194+R206+R212+R218+R224+R230+R244+R250+R262+R268+R282+R148+R288+R75</f>
    </nc>
  </rcc>
  <rcc rId="31759" sId="8">
    <oc r="S305">
      <f>S56+S62+S69++S88+S94+S100+S106+S112+S124+S130+S136+S169+S194+S206+S212+S218+S224+S230+S244+S250+S262+S268+S282+S148+S288+S75</f>
    </oc>
    <nc r="S305">
      <f>S49+S56+S62+S68++S88+S94+S100+S106+S112+S124+S130+S136+S169+S194+S206+S212+S218+S224+S230+S244+S250+S262+S268+S282+S148+S288+S75</f>
    </nc>
  </rcc>
  <rcc rId="31760" sId="8">
    <oc r="T305">
      <f>T56+T62+T69++T88+T94+T100+T106+T112+T124+T130+T136+T169+T194+T206+T212+T218+T224+T230+T244+T250+T262+T268+T282+T148+T288+T75</f>
    </oc>
    <nc r="T305">
      <f>T49+T56+T62+T68++T88+T94+T100+T106+T112+T124+T130+T136+T169+T194+T206+T212+T218+T224+T230+T244+T250+T262+T268+T282+T148+T288+T75</f>
    </nc>
  </rcc>
  <rcc rId="31761" sId="8">
    <oc r="U305">
      <f>U56+U62+U69++U88+U94+U100+U106+U112+U124+U130+U136+U169+U194+U206+U212+U218+U224+U230+U244+U250+U262+U268+U282+U148+U288+U75</f>
    </oc>
    <nc r="U305">
      <f>U49+U56+U62+U68++U88+U94+U100+U106+U112+U124+U130+U136+U169+U194+U206+U212+U218+U224+U230+U244+U250+U262+U268+U282+U148+U288+U75</f>
    </nc>
  </rcc>
  <rcc rId="31762" sId="8">
    <oc r="V305">
      <f>V56+V62+V69++V88+V94+V100+V106+V112+V124+V130+V136+V169+V194+V206+V212+V218+V224+V230+V244+V250+V262+V268+V282+V148+V288+V75</f>
    </oc>
    <nc r="V305">
      <f>V49+V56+V62+V68++V88+V94+V100+V106+V112+V124+V130+V136+V169+V194+V206+V212+V218+V224+V230+V244+V250+V262+V268+V282+V148+V288+V75</f>
    </nc>
  </rcc>
  <rcc rId="31763" sId="8">
    <oc r="W305">
      <f>W56+W62+W69++W88+W94+W100+W106+W112+W124+W130+W136+W169+W194+W206+W212+W218+W224+W230+W244+W250+W262+W268+W282+W148+W288+W75</f>
    </oc>
    <nc r="W305">
      <f>W49+W56+W62+W68++W88+W94+W100+W106+W112+W124+W130+W136+W169+W194+W206+W212+W218+W224+W230+W244+W250+W262+W268+W282+W148+W288+W75</f>
    </nc>
  </rcc>
  <rcc rId="31764" sId="8">
    <oc r="X305">
      <f>X56+X62+X69++X88+X94+X100+X106+X112+#REF!+X130+X136+X169+X194+X206+X212+X218+X224+X230+X244+X250+X262+X268+X282+X148+X288+X75</f>
    </oc>
    <nc r="X305">
      <f>X49+X56+X62+X68++X88+X94+X100+X106+X112+X124+X130+X136+X169+X194+X206+X212+X218+X224+X230+X244+X250+X262+X268+X282+X148+X288+X75</f>
    </nc>
  </rcc>
  <rcc rId="31765" sId="8">
    <oc r="Y305">
      <f>Y56+Y62+Y69++Y88+Y94+Y100+Y106+Y112+#REF!+Y130+Y136+Y169+Y194+Y206+Y212+Y218+Y224+Y230+Y244+Y250+Y262+Y268+Y282+Y148+Y288+Y75</f>
    </oc>
    <nc r="Y305">
      <f>Y49+Y56+Y62+Y68++Y88+Y94+Y100+Y106+Y112+Y124+Y130+Y136+Y169+Y194+Y206+Y212+Y218+Y224+Y230+Y244+Y250+Y262+Y268+Y282+Y148+Y288+Y75</f>
    </nc>
  </rcc>
  <rcc rId="31766" sId="8">
    <oc r="Z305">
      <f>Z56+Z62+Z69++Z88+Z94+Z100+Z106+Z112+#REF!+Z130+Z136+Z169+Z194+Z206+Z212+Z218+Z224+Z230+Z244+Z250+Z262+Z268+Z282+Z148+Z288+Z75</f>
    </oc>
    <nc r="Z305">
      <f>Z49+Z56+Z62+Z68++Z88+Z94+Z100+Z106+Z112+Z124+Z130+Z136+Z169+Z194+Z206+Z212+Z218+Z224+Z230+Z244+Z250+Z262+Z268+Z282+Z148+Z288+Z75</f>
    </nc>
  </rcc>
  <rcc rId="31767" sId="8">
    <oc r="AA305">
      <f>AA56+AA62+AA69++AA88+AA94+AA100+AA106+AA112+#REF!+AA130+AA136+AA169+AA194+AA206+AA212+AA218+AA224+AA230+AA244+AA250+AA262+AA268+AA282+AA148+AA288+AA75</f>
    </oc>
    <nc r="AA305">
      <f>AA49+AA56+AA62+AA68++AA88+AA94+AA100+AA106+AA112+AA124+AA130+AA136+AA169+AA194+AA206+AA212+AA218+AA224+AA230+AA244+AA250+AA262+AA268+AA282+AA148+AA288+AA75</f>
    </nc>
  </rcc>
  <rcc rId="31768" sId="8">
    <oc r="AB305">
      <f>AB56+AB62+AB69++AB88+AB94+AB100+AB106+AB112+#REF!+AB130+AB136+AB169+AB194+AB206+AB212+AB218+AB224+AB230+AB244+AB250+AB262+AB268+AB282+AB148+AB288+AB75</f>
    </oc>
    <nc r="AB305">
      <f>AB49+AB56+AB62+AB68++AB88+AB94+AB100+AB106+AB112+AB124+AB130+AB136+AB169+AB194+AB206+AB212+AB218+AB224+AB230+AB244+AB250+AB262+AB268+AB282+AB148+AB288+AB75</f>
    </nc>
  </rcc>
  <rcc rId="31769" sId="8">
    <oc r="AC305">
      <f>AC56+AC62+AC69++AC88+AC94+AC100+AC106+AC112+#REF!+AC130+AC136+AC169+AC194+AC206+AC212+AC218+AC224+AC230+AC244+AC250+AC262+AC268+AC282+AC148+AC288+AC75</f>
    </oc>
    <nc r="AC305">
      <f>AC49+AC56+AC62+AC68++AC88+AC94+AC100+AC106+AC112+AC124+AC130+AC136+AC169+AC194+AC206+AC212+AC218+AC224+AC230+AC244+AC250+AC262+AC268+AC282+AC148+AC288+AC75</f>
    </nc>
  </rcc>
  <rcc rId="31770" sId="8">
    <oc r="AD305">
      <f>AD56+AD62+AD69++AD88+AD94+AD100+AD106+AD112+#REF!+AD130+AD136+AD169+AD194+AD206+AD212+AD218+AD224+AD230+AD244+AD250+AD262+AD268+AD282+AD148+AD288+AD75</f>
    </oc>
    <nc r="AD305">
      <f>AD49+AD56+AD62+AD68++AD88+AD94+AD100+AD106+AD112+AD124+AD130+AD136+AD169+AD194+AD206+AD212+AD218+AD224+AD230+AD244+AD250+AD262+AD268+AD282+AD148+AD288+AD75</f>
    </nc>
  </rcc>
  <rcc rId="31771" sId="8">
    <oc r="AE305">
      <f>AE56+AE62+AE69++AE88+AE94+AE100+AE106+AE112+#REF!+AE130+AE136+AE169+AE194+AE206+AE212+AE218+AE224+AE230+AE244+AE250+AE262+AE268+AE282+AE148+AE288+AE75</f>
    </oc>
    <nc r="AE305">
      <f>AE49+AE56+AE62+AE68++AE88+AE94+AE100+AE106+AE112+AE124+AE130+AE136+AE169+AE194+AE206+AE212+AE218+AE224+AE230+AE244+AE250+AE262+AE268+AE282+AE148+AE288+AE75</f>
    </nc>
  </rcc>
  <rcc rId="31772" sId="8">
    <oc r="I293">
      <f>I43+I82+I118+I163+I200+I238+I256+I268+I276+I156+I142+I22+I16</f>
    </oc>
    <nc r="I293">
      <f>I43+I82+I118+I163+I200+I238+I256+I268+I276+I156+I142+I22+I16</f>
    </nc>
  </rcc>
  <rcc rId="31773" sId="8">
    <oc r="J293">
      <f>J43+J82+J118+J163+J200+J238+J256+J268+J276+J156+J142+J22+J16</f>
    </oc>
    <nc r="J293">
      <f>J43+J82+J118+J163+J200+J238+J256+J268+J276+J156+J142+J22+J16</f>
    </nc>
  </rcc>
  <rcc rId="31774" sId="8">
    <oc r="K293">
      <f>K43+K82+K118+K163+K200+K238+K256+K268+K276+K156+K142+K22+K16</f>
    </oc>
    <nc r="K293">
      <f>K43+K82+K118+K163+K200+K238+K256+K268+K276+K156+K142+K22+K16</f>
    </nc>
  </rcc>
  <rcc rId="31775" sId="8">
    <oc r="L293">
      <f>L43+L82+L118+L163+L200+L238+L256+L268+L276+L156+L142+L22+L16</f>
    </oc>
    <nc r="L293">
      <f>L43+L82+L118+L163+L200+L238+L256+L268+L276+L156+L142+L22+L16</f>
    </nc>
  </rcc>
  <rcc rId="31776" sId="8">
    <oc r="M293">
      <f>M43+M82+M118+M163+M200+M238+M256+M268+M276+M156+M142+M22+M16</f>
    </oc>
    <nc r="M293">
      <f>M43+M82+M118+M163+M200+M238+M256+M268+M276+M156+M142+M22+M16</f>
    </nc>
  </rcc>
  <rcc rId="31777" sId="8">
    <oc r="N293">
      <f>N43+N82+N118+N163+N200+N238+N256+N268+N276+N156+N142+N22+N16</f>
    </oc>
    <nc r="N293">
      <f>N43+N82+N118+N163+N200+N238+N256+N268+N276+N156+N142+N22+N16</f>
    </nc>
  </rcc>
  <rcc rId="31778" sId="8">
    <oc r="O293">
      <f>O43+O82+O118+O163+O200+O238+O256+O268+O276+O156+O142+O22+O16</f>
    </oc>
    <nc r="O293">
      <f>O43+O82+O118+O163+O200+O238+O256+O268+O276+O156+O142+O22+O16</f>
    </nc>
  </rcc>
  <rcc rId="31779" sId="8">
    <oc r="P293">
      <f>P43+P82+P118+P163+P200+P238+P256+P268+P276+P156+P142+P22+P16</f>
    </oc>
    <nc r="P293">
      <f>P43+P82+P118+P163+P200+P238+P256+P268+P276+P156+P142+P22+P16</f>
    </nc>
  </rcc>
  <rcc rId="31780" sId="8">
    <oc r="Q293">
      <f>Q43+Q82+Q118+Q163+Q200+Q238+Q256+Q268+Q276+Q156+Q142+Q22+Q16</f>
    </oc>
    <nc r="Q293">
      <f>Q43+Q82+Q118+Q163+Q200+Q238+Q256+Q268+Q276+Q156+Q142+Q22+Q16</f>
    </nc>
  </rcc>
  <rcc rId="31781" sId="8">
    <oc r="R293">
      <f>R43+R82+R118+R163+R200+R238+R256+R268+R276+R156+R142+R22+R16</f>
    </oc>
    <nc r="R293">
      <f>R43+R82+R118+R163+R200+R238+R256+R268+R276+R156+R142+R22+R16</f>
    </nc>
  </rcc>
  <rcc rId="31782" sId="8">
    <oc r="S293">
      <f>S43+S82+S118+S163+S200+S238+S256+S268+S276+S156+S142+S22+S16</f>
    </oc>
    <nc r="S293">
      <f>S43+S82+S118+S163+S200+S238+S256+S268+S276+S156+S142+S22+S16</f>
    </nc>
  </rcc>
  <rcc rId="31783" sId="8">
    <oc r="T293">
      <f>T43+T82+T118+T163+T200+T238+T256+T268+T276+T156+T142+T22+T16</f>
    </oc>
    <nc r="T293">
      <f>T43+T82+T118+T163+T200+T238+T256+T268+T276+T156+T142+T22+T16</f>
    </nc>
  </rcc>
  <rcc rId="31784" sId="8">
    <oc r="U293">
      <f>U43+U82+U118+U163+U200+U238+U256+U268+U276+U156+U142+U22+U16</f>
    </oc>
    <nc r="U293">
      <f>U43+U82+U118+U163+U200+U238+U256+U268+U276+U156+U142+U22+U16</f>
    </nc>
  </rcc>
  <rcc rId="31785" sId="8">
    <oc r="V293">
      <f>V43+V82+V118+V163+V200+V238+V256+V268+V276+V156+V142+V22+V16</f>
    </oc>
    <nc r="V293">
      <f>V43+V82+V118+V163+V200+V238+V256+V268+V276+V156+V142+V22+V16</f>
    </nc>
  </rcc>
  <rcc rId="31786" sId="8">
    <oc r="W293">
      <f>W43+W82+W118+W163+W200+W238+W256+W268+W276+W156+W142+W22+W16</f>
    </oc>
    <nc r="W293">
      <f>W43+W82+W118+W163+W200+W238+W256+W268+W276+W156+W142+W22+W16</f>
    </nc>
  </rcc>
  <rcc rId="31787" sId="8">
    <oc r="X293">
      <f>X43+X82+X118+X163+X200+X238+X256+X268+X276+X156+X142+X22+X16</f>
    </oc>
    <nc r="X293">
      <f>X43+X82+X118+X163+X200+X238+X256+X268+X276+X156+X142+X22+X16</f>
    </nc>
  </rcc>
  <rcc rId="31788" sId="8">
    <oc r="Y293">
      <f>Y43+Y82+Y118+Y163+Y200+Y238+Y256+Y268+Y276+Y156+Y142+Y22+Y16</f>
    </oc>
    <nc r="Y293">
      <f>Y43+Y82+Y118+Y163+Y200+Y238+Y256+Y268+Y276+Y156+Y142+Y22+Y16</f>
    </nc>
  </rcc>
  <rcc rId="31789" sId="8">
    <oc r="Z293">
      <f>Z43+Z82+Z118+Z163+Z200+Z238+Z256+Z268+Z276+Z156+Z142+Z22+Z16</f>
    </oc>
    <nc r="Z293">
      <f>Z43+Z82+Z118+Z163+Z200+Z238+Z256+Z268+Z276+Z156+Z142+Z22+Z16</f>
    </nc>
  </rcc>
  <rcc rId="31790" sId="8">
    <oc r="AA293">
      <f>AA43+AA82+AA118+AA163+AA200+AA238+AA256+AA268+AA276+AA156+AA142+AA22+AA16</f>
    </oc>
    <nc r="AA293">
      <f>AA43+AA82+AA118+AA163+AA200+AA238+AA256+AA268+AA276+AA156+AA142+AA22+AA16</f>
    </nc>
  </rcc>
  <rcc rId="31791" sId="8">
    <oc r="AB293">
      <f>AB43+AB82+AB118+AB163+AB200+AB238+AB256+AB268+AB276+AB156+AB142+AB22+AB16</f>
    </oc>
    <nc r="AB293">
      <f>AB43+AB82+AB118+AB163+AB200+AB238+AB256+AB268+AB276+AB156+AB142+AB22+AB16</f>
    </nc>
  </rcc>
  <rcc rId="31792" sId="8">
    <oc r="AC293">
      <f>AC43+AC82+AC118+AC163+AC200+AC238+AC256+AC268+AC276+AC156+AC142+AC22+AC16</f>
    </oc>
    <nc r="AC293">
      <f>AC43+AC82+AC118+AC163+AC200+AC238+AC256+AC268+AC276+AC156+AC142+AC22+AC16</f>
    </nc>
  </rcc>
  <rcc rId="31793" sId="8">
    <oc r="AD293">
      <f>AD43+AD82+AD118+AD163+AD200+AD238+AD256+AD268+AD276+AD156+AD142+AD22+AD16</f>
    </oc>
    <nc r="AD293">
      <f>AD43+AD82+AD118+AD163+AD200+AD238+AD256+AD268+AD276+AD156+AD142+AD22+AD16</f>
    </nc>
  </rcc>
  <rcc rId="31794" sId="8">
    <oc r="AE293">
      <f>AE43+AE82+AE118+AE163+AE200+AE238+AE256+AE268+AE276+AE156+AE142+AE22+AE16</f>
    </oc>
    <nc r="AE293">
      <f>AE43+AE82+AE118+AE163+AE200+AE238+AE256+AE268+AE276+AE156+AE142+AE22+AE16</f>
    </nc>
  </rcc>
  <rcc rId="31795" sId="8" odxf="1" dxf="1">
    <nc r="C2">
      <f>B2-D292-D293</f>
    </nc>
    <odxf>
      <numFmt numFmtId="0" formatCode="General"/>
    </odxf>
    <ndxf>
      <numFmt numFmtId="4" formatCode="#,##0.00"/>
    </ndxf>
  </rcc>
  <rcc rId="31796" sId="8">
    <oc r="D292">
      <f>D42+D81+D117+D162+D199+D237+D255+D267+D275+D155+D141+D21+D15</f>
    </oc>
    <nc r="D292">
      <f>D42+D81+D117+D162+D199+D237+D255+D267+D275+D155+D141+D21+D15+D27+D34</f>
    </nc>
  </rcc>
  <rcc rId="31797" sId="8" odxf="1" dxf="1">
    <oc r="H292">
      <f>H42+H81+H117+H162+H199+H237+H255+H267+H275+H155+H141+H21+H15+H27+H34</f>
    </oc>
    <nc r="H292">
      <f>H42+H81+H117+H162+H199+H237+H255+H267+H275+H155+H141+H21+H15+H27+H34</f>
    </nc>
    <odxf>
      <font>
        <sz val="14"/>
        <color auto="1"/>
        <name val="Times New Roman"/>
        <scheme val="none"/>
      </font>
    </odxf>
    <ndxf>
      <font>
        <sz val="14"/>
        <color rgb="FFFF0000"/>
        <name val="Times New Roman"/>
        <scheme val="none"/>
      </font>
    </ndxf>
  </rcc>
  <rcmt sheetId="8" cell="H292" guid="{00000000-0000-0000-0000-000000000000}" action="delete" author="Степаненко Наталья Алексеевна"/>
  <rcc rId="31798" sId="8" odxf="1" dxf="1">
    <oc r="I292">
      <f>I42+I81+I117+I162+I199+I237+I255+I267+I275+I155+I141+I21+I15+I27+I34</f>
    </oc>
    <nc r="I292">
      <f>I42+I81+I117+I162+I199+I237+I255+I267+I275+I155+I141+I21+I15+I27+I34</f>
    </nc>
    <odxf>
      <font>
        <sz val="14"/>
        <color auto="1"/>
        <name val="Times New Roman"/>
        <scheme val="none"/>
      </font>
    </odxf>
    <ndxf>
      <font>
        <sz val="14"/>
        <color rgb="FFFF0000"/>
        <name val="Times New Roman"/>
        <scheme val="none"/>
      </font>
    </ndxf>
  </rcc>
  <rcc rId="31799" sId="8" odxf="1" dxf="1">
    <oc r="J292">
      <f>J42+J81+J117+J162+J199+J237+J255+J267+J275+J155+J141+J21+J15+J27+J34</f>
    </oc>
    <nc r="J292">
      <f>J42+J81+J117+J162+J199+J237+J255+J267+J275+J155+J141+J21+J15+J27+J34</f>
    </nc>
    <odxf>
      <font>
        <sz val="14"/>
        <color auto="1"/>
        <name val="Times New Roman"/>
        <scheme val="none"/>
      </font>
    </odxf>
    <ndxf>
      <font>
        <sz val="14"/>
        <color rgb="FFFF0000"/>
        <name val="Times New Roman"/>
        <scheme val="none"/>
      </font>
    </ndxf>
  </rcc>
  <rcc rId="31800" sId="8" odxf="1" dxf="1">
    <oc r="K292">
      <f>K42+K81+K117+K162+K199+K237+K255+K267+K275+K155+K141+K21+K15+K27+K34</f>
    </oc>
    <nc r="K292">
      <f>K42+K81+K117+K162+K199+K237+K255+K267+K275+K155+K141+K21+K15+K27+K34</f>
    </nc>
    <odxf>
      <font>
        <sz val="14"/>
        <color auto="1"/>
        <name val="Times New Roman"/>
        <scheme val="none"/>
      </font>
    </odxf>
    <ndxf>
      <font>
        <sz val="14"/>
        <color rgb="FFFF0000"/>
        <name val="Times New Roman"/>
        <scheme val="none"/>
      </font>
    </ndxf>
  </rcc>
  <rcc rId="31801" sId="8" odxf="1" dxf="1">
    <oc r="L292">
      <f>L42+L81+L117+L162+L199+L237+L255+L267+L275+L155+L141+L21+L15+L27+L34</f>
    </oc>
    <nc r="L292">
      <f>L42+L81+L117+L162+L199+L237+L255+L267+L275+L155+L141+L21+L15+L27+L34</f>
    </nc>
    <odxf>
      <font>
        <sz val="14"/>
        <color auto="1"/>
        <name val="Times New Roman"/>
        <scheme val="none"/>
      </font>
    </odxf>
    <ndxf>
      <font>
        <sz val="14"/>
        <color rgb="FFFF0000"/>
        <name val="Times New Roman"/>
        <scheme val="none"/>
      </font>
    </ndxf>
  </rcc>
  <rcc rId="31802" sId="8" odxf="1" dxf="1">
    <oc r="M292">
      <f>M42+M81+M117+M162+M199+M237+M255+M267+M275+M155+M141+M21+M15+M27+M34</f>
    </oc>
    <nc r="M292">
      <f>M42+M81+M117+M162+M199+M237+M255+M267+M275+M155+M141+M21+M15+M27+M34</f>
    </nc>
    <odxf>
      <font>
        <sz val="14"/>
        <color auto="1"/>
        <name val="Times New Roman"/>
        <scheme val="none"/>
      </font>
    </odxf>
    <ndxf>
      <font>
        <sz val="14"/>
        <color rgb="FFFF0000"/>
        <name val="Times New Roman"/>
        <scheme val="none"/>
      </font>
    </ndxf>
  </rcc>
  <rcc rId="31803" sId="8" odxf="1" dxf="1">
    <oc r="N292">
      <f>N42+N81+N117+N162+N199+N237+N255+N267+N275+N155+N141+N21+N15+N27+N34</f>
    </oc>
    <nc r="N292">
      <f>N42+N81+N117+N162+N199+N237+N255+N267+N275+N155+N141+N21+N15+N27+N34</f>
    </nc>
    <odxf>
      <font>
        <sz val="14"/>
        <color auto="1"/>
        <name val="Times New Roman"/>
        <scheme val="none"/>
      </font>
    </odxf>
    <ndxf>
      <font>
        <sz val="14"/>
        <color rgb="FFFF0000"/>
        <name val="Times New Roman"/>
        <scheme val="none"/>
      </font>
    </ndxf>
  </rcc>
  <rcc rId="31804" sId="8" odxf="1" dxf="1">
    <oc r="O292">
      <f>O42+O81+O117+O162+O199+O237+O255+O267+O275+O155+O141+O21+O15+O27+O34</f>
    </oc>
    <nc r="O292">
      <f>O42+O81+O117+O162+O199+O237+O255+O267+O275+O155+O141+O21+O15+O27+O34</f>
    </nc>
    <odxf>
      <font>
        <sz val="14"/>
        <color auto="1"/>
        <name val="Times New Roman"/>
        <scheme val="none"/>
      </font>
    </odxf>
    <ndxf>
      <font>
        <sz val="14"/>
        <color rgb="FFFF0000"/>
        <name val="Times New Roman"/>
        <scheme val="none"/>
      </font>
    </ndxf>
  </rcc>
  <rcc rId="31805" sId="8" odxf="1" dxf="1">
    <oc r="P292">
      <f>P42+P81+P117+P162+P199+P237+P255+P267+P275+P155+P141+P21+P15+P27+P34</f>
    </oc>
    <nc r="P292">
      <f>P42+P81+P117+P162+P199+P237+P255+P267+P275+P155+P141+P21+P15+P27+P34</f>
    </nc>
    <odxf>
      <font>
        <sz val="14"/>
        <color auto="1"/>
        <name val="Times New Roman"/>
        <scheme val="none"/>
      </font>
    </odxf>
    <ndxf>
      <font>
        <sz val="14"/>
        <color rgb="FFFF0000"/>
        <name val="Times New Roman"/>
        <scheme val="none"/>
      </font>
    </ndxf>
  </rcc>
  <rcc rId="31806" sId="8" odxf="1" dxf="1">
    <oc r="Q292">
      <f>Q42+Q81+Q117+Q162+Q199+Q237+Q255+Q267+Q275+Q155+Q141+Q21+Q15+Q27+Q34</f>
    </oc>
    <nc r="Q292">
      <f>Q42+Q81+Q117+Q162+Q199+Q237+Q255+Q267+Q275+Q155+Q141+Q21+Q15+Q27+Q34</f>
    </nc>
    <odxf>
      <font>
        <sz val="14"/>
        <color auto="1"/>
        <name val="Times New Roman"/>
        <scheme val="none"/>
      </font>
    </odxf>
    <ndxf>
      <font>
        <sz val="14"/>
        <color rgb="FFFF0000"/>
        <name val="Times New Roman"/>
        <scheme val="none"/>
      </font>
    </ndxf>
  </rcc>
  <rcc rId="31807" sId="8" odxf="1" dxf="1">
    <oc r="R292">
      <f>R42+R81+R117+R162+R199+R237+R255+R267+R275+R155+R141+R21+R15+R27+R34</f>
    </oc>
    <nc r="R292">
      <f>R42+R81+R117+R162+R199+R237+R255+R267+R275+R155+R141+R21+R15+R27+R34</f>
    </nc>
    <odxf>
      <font>
        <sz val="14"/>
        <color auto="1"/>
        <name val="Times New Roman"/>
        <scheme val="none"/>
      </font>
    </odxf>
    <ndxf>
      <font>
        <sz val="14"/>
        <color rgb="FFFF0000"/>
        <name val="Times New Roman"/>
        <scheme val="none"/>
      </font>
    </ndxf>
  </rcc>
  <rcc rId="31808" sId="8" odxf="1" dxf="1">
    <oc r="S292">
      <f>S42+S81+S117+S162+S199+S237+S255+S267+S275+S155+S141+S21+S15+S27+S34</f>
    </oc>
    <nc r="S292">
      <f>S42+S81+S117+S162+S199+S237+S255+S267+S275+S155+S141+S21+S15+S27+S34</f>
    </nc>
    <odxf>
      <font>
        <sz val="14"/>
        <color auto="1"/>
        <name val="Times New Roman"/>
        <scheme val="none"/>
      </font>
    </odxf>
    <ndxf>
      <font>
        <sz val="14"/>
        <color rgb="FFFF0000"/>
        <name val="Times New Roman"/>
        <scheme val="none"/>
      </font>
    </ndxf>
  </rcc>
  <rcc rId="31809" sId="8" odxf="1" dxf="1">
    <oc r="T292">
      <f>T42+T81+T117+T162+T199+T237+T255+T267+T275+T155+T141+T21+T15+T27+T34</f>
    </oc>
    <nc r="T292">
      <f>T42+T81+T117+T162+T199+T237+T255+T267+T275+T155+T141+T21+T15+T27+T34</f>
    </nc>
    <odxf>
      <font>
        <sz val="14"/>
        <color auto="1"/>
        <name val="Times New Roman"/>
        <scheme val="none"/>
      </font>
    </odxf>
    <ndxf>
      <font>
        <sz val="14"/>
        <color rgb="FFFF0000"/>
        <name val="Times New Roman"/>
        <scheme val="none"/>
      </font>
    </ndxf>
  </rcc>
  <rcc rId="31810" sId="8" odxf="1" dxf="1">
    <oc r="U292">
      <f>U42+U81+U117+U162+U199+U237+U255+U267+U275+U155+U141+U21+U15+U27+U34</f>
    </oc>
    <nc r="U292">
      <f>U42+U81+U117+U162+U199+U237+U255+U267+U275+U155+U141+U21+U15+U27+U34</f>
    </nc>
    <odxf>
      <font>
        <sz val="14"/>
        <color auto="1"/>
        <name val="Times New Roman"/>
        <scheme val="none"/>
      </font>
    </odxf>
    <ndxf>
      <font>
        <sz val="14"/>
        <color rgb="FFFF0000"/>
        <name val="Times New Roman"/>
        <scheme val="none"/>
      </font>
    </ndxf>
  </rcc>
  <rcc rId="31811" sId="8" odxf="1" dxf="1">
    <oc r="V292">
      <f>V42+V81+V117+V162+V199+V237+V255+V267+V275+V155+V141+V21+V15+V27+V34</f>
    </oc>
    <nc r="V292">
      <f>V42+V81+V117+V162+V199+V237+V255+V267+V275+V155+V141+V21+V15+V27+V34</f>
    </nc>
    <odxf>
      <font>
        <sz val="14"/>
        <color auto="1"/>
        <name val="Times New Roman"/>
        <scheme val="none"/>
      </font>
    </odxf>
    <ndxf>
      <font>
        <sz val="14"/>
        <color rgb="FFFF0000"/>
        <name val="Times New Roman"/>
        <scheme val="none"/>
      </font>
    </ndxf>
  </rcc>
  <rcc rId="31812" sId="8" odxf="1" dxf="1">
    <oc r="W292">
      <f>W42+W81+W117+W162+W199+W237+W255+W267+W275+W155+W141+W21+W15+W27+W34</f>
    </oc>
    <nc r="W292">
      <f>W42+W81+W117+W162+W199+W237+W255+W267+W275+W155+W141+W21+W15+W27+W34</f>
    </nc>
    <odxf>
      <font>
        <sz val="14"/>
        <color auto="1"/>
        <name val="Times New Roman"/>
        <scheme val="none"/>
      </font>
    </odxf>
    <ndxf>
      <font>
        <sz val="14"/>
        <color rgb="FFFF0000"/>
        <name val="Times New Roman"/>
        <scheme val="none"/>
      </font>
    </ndxf>
  </rcc>
  <rcc rId="31813" sId="8" odxf="1" dxf="1">
    <oc r="X292">
      <f>X42+X81+X117+X162+X199+X237+X255+X267+X275+X155+X141+X21+X15+X27+X34</f>
    </oc>
    <nc r="X292">
      <f>X42+X81+X117+X162+X199+X237+X255+X267+X275+X155+X141+X21+X15+X27+X34</f>
    </nc>
    <odxf>
      <font>
        <sz val="14"/>
        <color auto="1"/>
        <name val="Times New Roman"/>
        <scheme val="none"/>
      </font>
    </odxf>
    <ndxf>
      <font>
        <sz val="14"/>
        <color rgb="FFFF0000"/>
        <name val="Times New Roman"/>
        <scheme val="none"/>
      </font>
    </ndxf>
  </rcc>
  <rcc rId="31814" sId="8" odxf="1" dxf="1">
    <oc r="Y292">
      <f>Y42+Y81+Y117+Y162+Y199+Y237+Y255+Y267+Y275+Y155+Y141+Y21+Y15+Y27+Y34</f>
    </oc>
    <nc r="Y292">
      <f>Y42+Y81+Y117+Y162+Y199+Y237+Y255+Y267+Y275+Y155+Y141+Y21+Y15+Y27+Y34</f>
    </nc>
    <odxf>
      <font>
        <sz val="14"/>
        <color auto="1"/>
        <name val="Times New Roman"/>
        <scheme val="none"/>
      </font>
    </odxf>
    <ndxf>
      <font>
        <sz val="14"/>
        <color rgb="FFFF0000"/>
        <name val="Times New Roman"/>
        <scheme val="none"/>
      </font>
    </ndxf>
  </rcc>
  <rcc rId="31815" sId="8" odxf="1" dxf="1">
    <oc r="Z292">
      <f>Z42+Z81+Z117+Z162+Z199+Z237+Z255+Z267+Z275+Z155+Z141+Z21+Z15+Z27+Z34</f>
    </oc>
    <nc r="Z292">
      <f>Z42+Z81+Z117+Z162+Z199+Z237+Z255+Z267+Z275+Z155+Z141+Z21+Z15+Z27+Z34</f>
    </nc>
    <odxf>
      <font>
        <sz val="14"/>
        <color auto="1"/>
        <name val="Times New Roman"/>
        <scheme val="none"/>
      </font>
    </odxf>
    <ndxf>
      <font>
        <sz val="14"/>
        <color rgb="FFFF0000"/>
        <name val="Times New Roman"/>
        <scheme val="none"/>
      </font>
    </ndxf>
  </rcc>
  <rcc rId="31816" sId="8" odxf="1" dxf="1">
    <oc r="AA292">
      <f>AA42+AA81+AA117+AA162+AA199+AA237+AA255+AA267+AA275+AA155+AA141+AA21+AA15+AA27+AA34</f>
    </oc>
    <nc r="AA292">
      <f>AA42+AA81+AA117+AA162+AA199+AA237+AA255+AA267+AA275+AA155+AA141+AA21+AA15+AA27+AA34</f>
    </nc>
    <odxf>
      <font>
        <sz val="14"/>
        <color auto="1"/>
        <name val="Times New Roman"/>
        <scheme val="none"/>
      </font>
    </odxf>
    <ndxf>
      <font>
        <sz val="14"/>
        <color rgb="FFFF0000"/>
        <name val="Times New Roman"/>
        <scheme val="none"/>
      </font>
    </ndxf>
  </rcc>
  <rcc rId="31817" sId="8" odxf="1" dxf="1">
    <oc r="AB292">
      <f>AB42+AB81+AB117+AB162+AB199+AB237+AB255+AB267+AB275+AB155+AB141+AB21+AB15+AB27+AB34</f>
    </oc>
    <nc r="AB292">
      <f>AB42+AB81+AB117+AB162+AB199+AB237+AB255+AB267+AB275+AB155+AB141+AB21+AB15+AB27+AB34</f>
    </nc>
    <odxf>
      <font>
        <sz val="14"/>
        <color auto="1"/>
        <name val="Times New Roman"/>
        <scheme val="none"/>
      </font>
    </odxf>
    <ndxf>
      <font>
        <sz val="14"/>
        <color rgb="FFFF0000"/>
        <name val="Times New Roman"/>
        <scheme val="none"/>
      </font>
    </ndxf>
  </rcc>
  <rcc rId="31818" sId="8" odxf="1" dxf="1">
    <oc r="AC292">
      <f>AC42+AC81+AC117+AC162+AC199+AC237+AC255+AC267+AC275+AC155+AC141+AC21+AC15+AC27+AC34</f>
    </oc>
    <nc r="AC292">
      <f>AC42+AC81+AC117+AC162+AC199+AC237+AC255+AC267+AC275+AC155+AC141+AC21+AC15+AC27+AC34</f>
    </nc>
    <odxf>
      <font>
        <sz val="14"/>
        <color auto="1"/>
        <name val="Times New Roman"/>
        <scheme val="none"/>
      </font>
    </odxf>
    <ndxf>
      <font>
        <sz val="14"/>
        <color rgb="FFFF0000"/>
        <name val="Times New Roman"/>
        <scheme val="none"/>
      </font>
    </ndxf>
  </rcc>
  <rcc rId="31819" sId="8" odxf="1" dxf="1">
    <oc r="AD292">
      <f>AD42+AD81+AD117+AD162+AD199+AD237+AD255+AD267+AD275+AD155+AD141+AD21+AD15+AD27+AD34</f>
    </oc>
    <nc r="AD292">
      <f>AD42+AD81+AD117+AD162+AD199+AD237+AD255+AD267+AD275+AD155+AD141+AD21+AD15+AD27+AD34</f>
    </nc>
    <odxf>
      <font>
        <sz val="14"/>
        <color auto="1"/>
        <name val="Times New Roman"/>
        <scheme val="none"/>
      </font>
    </odxf>
    <ndxf>
      <font>
        <sz val="14"/>
        <color rgb="FFFF0000"/>
        <name val="Times New Roman"/>
        <scheme val="none"/>
      </font>
    </ndxf>
  </rcc>
  <rcc rId="31820" sId="8" odxf="1" dxf="1">
    <oc r="AE292">
      <f>AE42+AE81+AE117+AE162+AE199+AE237+AE255+AE267+AE275+AE155+AE141+AE21+AE15+AE27+AE34</f>
    </oc>
    <nc r="AE292">
      <f>AE42+AE81+AE117+AE162+AE199+AE237+AE255+AE267+AE275+AE155+AE141+AE21+AE15+AE27+AE34</f>
    </nc>
    <odxf>
      <font>
        <sz val="14"/>
        <color auto="1"/>
        <name val="Times New Roman"/>
        <scheme val="none"/>
      </font>
    </odxf>
    <ndxf>
      <font>
        <sz val="14"/>
        <color rgb="FFFF0000"/>
        <name val="Times New Roman"/>
        <scheme val="none"/>
      </font>
    </ndxf>
  </rcc>
  <rfmt sheetId="8" sqref="H292:AE292" start="0" length="2147483647">
    <dxf>
      <font>
        <color auto="1"/>
      </font>
    </dxf>
  </rfmt>
  <rfmt sheetId="8" sqref="H292:AE292">
    <dxf>
      <fill>
        <patternFill>
          <bgColor rgb="FFFFFF00"/>
        </patternFill>
      </fill>
    </dxf>
  </rfmt>
  <rcc rId="31821" sId="8">
    <nc r="B2">
      <v>544460.6</v>
    </nc>
  </rcc>
  <rcmt sheetId="8" cell="D292" guid="{00000000-0000-0000-0000-000000000000}" action="delete" author="Степаненко Наталья Алексеевна"/>
  <rfmt sheetId="8" sqref="C292:C293">
    <dxf>
      <fill>
        <patternFill>
          <bgColor rgb="FFFFFF00"/>
        </patternFill>
      </fill>
    </dxf>
  </rfmt>
  <rfmt sheetId="8" sqref="B292:B293" start="0" length="2147483647">
    <dxf>
      <font>
        <color auto="1"/>
      </font>
    </dxf>
  </rfmt>
  <rcmt sheetId="8" cell="B292" guid="{00000000-0000-0000-0000-000000000000}" action="delete" author="Степаненко Наталья Алексеевна"/>
  <rfmt sheetId="8" sqref="B292:B293">
    <dxf>
      <fill>
        <patternFill>
          <bgColor rgb="FFFFFF00"/>
        </patternFill>
      </fill>
    </dxf>
  </rfmt>
  <rfmt sheetId="8" sqref="D292:D293" start="0" length="2147483647">
    <dxf>
      <font>
        <color auto="1"/>
      </font>
    </dxf>
  </rfmt>
  <rfmt sheetId="8" sqref="D292:D293">
    <dxf>
      <fill>
        <patternFill>
          <bgColor rgb="FFFFFF00"/>
        </patternFill>
      </fill>
    </dxf>
  </rfmt>
  <rfmt sheetId="8" sqref="C289" start="0" length="2147483647">
    <dxf>
      <font/>
    </dxf>
  </rfmt>
  <rcmt sheetId="8" cell="B289" guid="{00000000-0000-0000-0000-000000000000}" action="delete" author="Степаненко Наталья Алексеевна"/>
  <rcc rId="31822" sId="8" odxf="1" dxf="1">
    <oc r="C289">
      <f>C290+C291+C292+C293</f>
    </oc>
    <nc r="C289">
      <f>C290+C291+C292+C293</f>
    </nc>
    <odxf>
      <fill>
        <patternFill>
          <bgColor rgb="FFFF0000"/>
        </patternFill>
      </fill>
    </odxf>
    <ndxf>
      <fill>
        <patternFill>
          <bgColor theme="5" tint="0.59999389629810485"/>
        </patternFill>
      </fill>
    </ndxf>
  </rcc>
  <rcmt sheetId="8" cell="C289" guid="{00000000-0000-0000-0000-000000000000}" action="delete" author="Степаненко Наталья Алексеевна"/>
  <rcmt sheetId="8" cell="B294" guid="{00000000-0000-0000-0000-000000000000}" action="delete" author="Степаненко Наталья Алексеевна"/>
  <rcmt sheetId="8" cell="D289" guid="{00000000-0000-0000-0000-000000000000}" action="delete" author="Степаненко Наталья Алексеевна"/>
  <rfmt sheetId="8" sqref="D289" start="0" length="2147483647">
    <dxf>
      <font>
        <color auto="1"/>
      </font>
    </dxf>
  </rfmt>
  <rcmt sheetId="8" cell="E289" guid="{00000000-0000-0000-0000-000000000000}" action="delete" author="Степаненко Наталья Алексеевна"/>
  <rfmt sheetId="8" sqref="E289:E293" start="0" length="2147483647">
    <dxf>
      <font>
        <color auto="1"/>
      </font>
    </dxf>
  </rfmt>
  <rcc rId="31823" sId="8" odxf="1" dxf="1">
    <oc r="E291">
      <f>SUM(I291,K291,M291,O291,Q291,S291,U291,W291,Y291,AA291,AC291,AE291)</f>
    </oc>
    <nc r="E291">
      <f>SUM(I291,K291,M291,O291,Q291,S291,U291,W291,Y291,AA291,AC291,AE291)</f>
    </nc>
    <odxf>
      <fill>
        <patternFill>
          <bgColor rgb="FFFF0000"/>
        </patternFill>
      </fill>
    </odxf>
    <ndxf>
      <fill>
        <patternFill>
          <bgColor theme="9" tint="0.79998168889431442"/>
        </patternFill>
      </fill>
    </ndxf>
  </rcc>
  <rcc rId="31824" sId="8" odxf="1" dxf="1">
    <oc r="E292">
      <f>SUM(I292,K292,M292,O292,Q292,S292,U292,W292,Y292,AA292,AC292,AE292)</f>
    </oc>
    <nc r="E292">
      <f>SUM(I292,K292,M292,O292,Q292,S292,U292,W292,Y292,AA292,AC292,AE292)</f>
    </nc>
    <odxf>
      <fill>
        <patternFill>
          <bgColor rgb="FFFF0000"/>
        </patternFill>
      </fill>
    </odxf>
    <ndxf>
      <fill>
        <patternFill>
          <bgColor theme="9" tint="0.79998168889431442"/>
        </patternFill>
      </fill>
    </ndxf>
  </rcc>
  <rcc rId="31825" sId="8" odxf="1" dxf="1">
    <oc r="E293">
      <f>SUM(I293,K293,M293,O293,Q293,S293,U293,W293,Y293,AA293,AC293,AE293)</f>
    </oc>
    <nc r="E293">
      <f>SUM(I293,K293,M293,O293,Q293,S293,U293,W293,Y293,AA293,AC293,AE293)</f>
    </nc>
    <odxf>
      <fill>
        <patternFill>
          <bgColor rgb="FFFF0000"/>
        </patternFill>
      </fill>
    </odxf>
    <ndxf>
      <fill>
        <patternFill>
          <bgColor theme="9" tint="0.79998168889431442"/>
        </patternFill>
      </fill>
    </ndxf>
  </rcc>
  <rfmt sheetId="8" sqref="E291:E293">
    <dxf>
      <fill>
        <patternFill>
          <bgColor rgb="FFFFC000"/>
        </patternFill>
      </fill>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826" sId="8" odxf="1" dxf="1">
    <oc r="C301">
      <f>C302+C303+C304+C305</f>
    </oc>
    <nc r="C301">
      <f>C302+C303+C304+C305</f>
    </nc>
    <odxf>
      <fill>
        <patternFill>
          <bgColor rgb="FFFF0000"/>
        </patternFill>
      </fill>
    </odxf>
    <ndxf>
      <fill>
        <patternFill>
          <bgColor theme="5" tint="0.59999389629810485"/>
        </patternFill>
      </fill>
    </ndxf>
  </rcc>
  <rcc rId="31827" sId="8" odxf="1" dxf="1">
    <oc r="D301">
      <f>D302+D303+D304+D305</f>
    </oc>
    <nc r="D301">
      <f>D302+D303+D304+D305</f>
    </nc>
    <odxf>
      <font>
        <sz val="14"/>
        <color rgb="FFFF0000"/>
        <name val="Times New Roman"/>
        <scheme val="none"/>
      </font>
    </odxf>
    <ndxf>
      <font>
        <sz val="14"/>
        <color auto="1"/>
        <name val="Times New Roman"/>
        <scheme val="none"/>
      </font>
    </ndxf>
  </rcc>
  <rcc rId="31828" sId="8" odxf="1" dxf="1">
    <oc r="E301">
      <f>E302+E303+E304+E305</f>
    </oc>
    <nc r="E301">
      <f>E302+E303+E304+E305</f>
    </nc>
    <odxf>
      <fill>
        <patternFill>
          <bgColor rgb="FFFF0000"/>
        </patternFill>
      </fill>
    </odxf>
    <ndxf>
      <fill>
        <patternFill>
          <bgColor theme="5" tint="0.59999389629810485"/>
        </patternFill>
      </fill>
    </ndxf>
  </rcc>
  <rfmt sheetId="8" sqref="C303" start="0" length="0">
    <dxf>
      <fill>
        <patternFill>
          <bgColor theme="9" tint="0.79998168889431442"/>
        </patternFill>
      </fill>
    </dxf>
  </rfmt>
  <rfmt sheetId="8" sqref="E303" start="0" length="0">
    <dxf>
      <fill>
        <patternFill>
          <bgColor theme="9" tint="0.79998168889431442"/>
        </patternFill>
      </fill>
    </dxf>
  </rfmt>
  <rfmt sheetId="8" sqref="C304" start="0" length="0">
    <dxf>
      <fill>
        <patternFill>
          <bgColor theme="9" tint="0.79998168889431442"/>
        </patternFill>
      </fill>
    </dxf>
  </rfmt>
  <rfmt sheetId="8" sqref="E304" start="0" length="0">
    <dxf>
      <fill>
        <patternFill>
          <bgColor theme="9" tint="0.79998168889431442"/>
        </patternFill>
      </fill>
    </dxf>
  </rfmt>
  <rfmt sheetId="8" sqref="C305" start="0" length="0">
    <dxf>
      <fill>
        <patternFill>
          <bgColor theme="9" tint="0.79998168889431442"/>
        </patternFill>
      </fill>
    </dxf>
  </rfmt>
  <rfmt sheetId="8" sqref="E305" start="0" length="0">
    <dxf>
      <fill>
        <patternFill>
          <bgColor theme="9" tint="0.79998168889431442"/>
        </patternFill>
      </fill>
    </dxf>
  </rfmt>
  <rfmt sheetId="8" sqref="B296:E299">
    <dxf>
      <fill>
        <patternFill>
          <bgColor rgb="FFFF0000"/>
        </patternFill>
      </fill>
    </dxf>
  </rfmt>
  <rfmt sheetId="8" sqref="B302:E305">
    <dxf>
      <fill>
        <patternFill>
          <bgColor rgb="FFFF0000"/>
        </patternFill>
      </fill>
    </dxf>
  </rfmt>
  <rfmt sheetId="8" sqref="B11:G28" start="0" length="2147483647">
    <dxf>
      <font>
        <color rgb="FF0070C0"/>
      </font>
    </dxf>
  </rfmt>
  <rfmt sheetId="8" sqref="B30:G35" start="0" length="2147483647">
    <dxf>
      <font>
        <color rgb="FF0070C0"/>
      </font>
    </dxf>
  </rfmt>
  <rfmt sheetId="8" sqref="B151:E156" start="0" length="2147483647">
    <dxf>
      <font>
        <color rgb="FF0070C0"/>
      </font>
    </dxf>
  </rfmt>
  <rcc rId="31829" sId="8">
    <oc r="B296">
      <f>B13+B19+B153</f>
    </oc>
    <nc r="B296">
      <f>B13+B19+B153+B25+B32</f>
    </nc>
  </rcc>
  <rcc rId="31830" sId="8">
    <oc r="C296">
      <f>C13+C19+C153</f>
    </oc>
    <nc r="C296">
      <f>C13+C19+C153+C25+C32</f>
    </nc>
  </rcc>
  <rcc rId="31831" sId="8">
    <oc r="D296">
      <f>D13+D19+D153</f>
    </oc>
    <nc r="D296">
      <f>D13+D19+D153+D25+D32</f>
    </nc>
  </rcc>
  <rcc rId="31832" sId="8">
    <oc r="E296">
      <f>E13+E19+E153</f>
    </oc>
    <nc r="E296">
      <f>E13+E19+E153+E25+E32</f>
    </nc>
  </rcc>
  <rcc rId="31833" sId="8">
    <oc r="B297">
      <f>B14+B20+B154</f>
    </oc>
    <nc r="B297">
      <f>B14+B20+B154+B26+B33</f>
    </nc>
  </rcc>
  <rcc rId="31834" sId="8">
    <oc r="C298">
      <f>C15+C21+C155</f>
    </oc>
    <nc r="C298">
      <f>C15+C21+C155</f>
    </nc>
  </rcc>
  <rcc rId="31835" sId="8">
    <oc r="D298">
      <f>D15+D21+D155</f>
    </oc>
    <nc r="D298">
      <f>D15+D21+D155</f>
    </nc>
  </rcc>
  <rcc rId="31836" sId="8">
    <oc r="E298">
      <f>E15+E21+E155</f>
    </oc>
    <nc r="E298">
      <f>E15+E21+E155</f>
    </nc>
  </rcc>
  <rcc rId="31837" sId="8">
    <oc r="B299">
      <f>B16+B22+B156</f>
    </oc>
    <nc r="B299">
      <f>B16+B22+B156+B28+B35</f>
    </nc>
  </rcc>
  <rcc rId="31838" sId="8">
    <oc r="C299">
      <f>C16+C22+C156</f>
    </oc>
    <nc r="C299">
      <f>C16+C22+C156+C28+C35</f>
    </nc>
  </rcc>
  <rcc rId="31839" sId="8">
    <oc r="D299">
      <f>D16+D22+D156</f>
    </oc>
    <nc r="D299">
      <f>D16+D22+D156+D28+D35</f>
    </nc>
  </rcc>
  <rcc rId="31840" sId="8">
    <oc r="E299">
      <f>E16+E22+E156</f>
    </oc>
    <nc r="E299">
      <f>E16+E22+E156+E28+E35</f>
    </nc>
  </rcc>
  <rfmt sheetId="8" sqref="B296:E299">
    <dxf>
      <fill>
        <patternFill>
          <bgColor rgb="FFFFFF00"/>
        </patternFill>
      </fill>
    </dxf>
  </rfmt>
  <rcc rId="31841" sId="8">
    <oc r="F298">
      <f>IFERROR(E298/B298*100,0)</f>
    </oc>
    <nc r="F298">
      <f>IFERROR(E298/B298*100,0)</f>
    </nc>
  </rcc>
  <rfmt sheetId="8" sqref="H297" start="0" length="0">
    <dxf>
      <fill>
        <patternFill>
          <bgColor rgb="FFFFFF00"/>
        </patternFill>
      </fill>
    </dxf>
  </rfmt>
  <rcc rId="31842" sId="8" odxf="1" dxf="1">
    <oc r="H298">
      <f>H15+H21+H155</f>
    </oc>
    <nc r="H298">
      <f>H15+H21+H155</f>
    </nc>
    <odxf>
      <fill>
        <patternFill>
          <bgColor theme="9" tint="0.79998168889431442"/>
        </patternFill>
      </fill>
    </odxf>
    <ndxf>
      <fill>
        <patternFill>
          <bgColor rgb="FFFFFF00"/>
        </patternFill>
      </fill>
    </ndxf>
  </rcc>
  <rfmt sheetId="8" sqref="I297" start="0" length="0">
    <dxf>
      <fill>
        <patternFill>
          <bgColor rgb="FFFFFF00"/>
        </patternFill>
      </fill>
    </dxf>
  </rfmt>
  <rfmt sheetId="8" sqref="J297" start="0" length="0">
    <dxf>
      <fill>
        <patternFill>
          <bgColor rgb="FFFFFF00"/>
        </patternFill>
      </fill>
    </dxf>
  </rfmt>
  <rfmt sheetId="8" sqref="K297" start="0" length="0">
    <dxf>
      <fill>
        <patternFill>
          <bgColor rgb="FFFFFF00"/>
        </patternFill>
      </fill>
    </dxf>
  </rfmt>
  <rfmt sheetId="8" sqref="L297" start="0" length="0">
    <dxf>
      <fill>
        <patternFill>
          <bgColor rgb="FFFFFF00"/>
        </patternFill>
      </fill>
    </dxf>
  </rfmt>
  <rfmt sheetId="8" sqref="M297" start="0" length="0">
    <dxf>
      <fill>
        <patternFill>
          <bgColor rgb="FFFFFF00"/>
        </patternFill>
      </fill>
    </dxf>
  </rfmt>
  <rcc rId="31843" sId="8" odxf="1" dxf="1">
    <oc r="I298">
      <f>I15+I21+I155</f>
    </oc>
    <nc r="I298">
      <f>I15+I21+I155</f>
    </nc>
    <odxf>
      <fill>
        <patternFill>
          <bgColor theme="9" tint="0.79998168889431442"/>
        </patternFill>
      </fill>
    </odxf>
    <ndxf>
      <fill>
        <patternFill>
          <bgColor rgb="FFFFFF00"/>
        </patternFill>
      </fill>
    </ndxf>
  </rcc>
  <rcc rId="31844" sId="8" odxf="1" dxf="1">
    <oc r="J298">
      <f>J15+J21+J155</f>
    </oc>
    <nc r="J298">
      <f>J15+J21+J155</f>
    </nc>
    <odxf>
      <fill>
        <patternFill>
          <bgColor theme="9" tint="0.79998168889431442"/>
        </patternFill>
      </fill>
    </odxf>
    <ndxf>
      <fill>
        <patternFill>
          <bgColor rgb="FFFFFF00"/>
        </patternFill>
      </fill>
    </ndxf>
  </rcc>
  <rcc rId="31845" sId="8" odxf="1" dxf="1">
    <oc r="K298">
      <f>K15+K21+K155</f>
    </oc>
    <nc r="K298">
      <f>K15+K21+K155</f>
    </nc>
    <odxf>
      <fill>
        <patternFill>
          <bgColor theme="9" tint="0.79998168889431442"/>
        </patternFill>
      </fill>
    </odxf>
    <ndxf>
      <fill>
        <patternFill>
          <bgColor rgb="FFFFFF00"/>
        </patternFill>
      </fill>
    </ndxf>
  </rcc>
  <rcc rId="31846" sId="8" odxf="1" dxf="1">
    <oc r="L298">
      <f>L15+L21+L155</f>
    </oc>
    <nc r="L298">
      <f>L15+L21+L155</f>
    </nc>
    <odxf>
      <fill>
        <patternFill>
          <bgColor theme="9" tint="0.79998168889431442"/>
        </patternFill>
      </fill>
    </odxf>
    <ndxf>
      <fill>
        <patternFill>
          <bgColor rgb="FFFFFF00"/>
        </patternFill>
      </fill>
    </ndxf>
  </rcc>
  <rcc rId="31847" sId="8" odxf="1" dxf="1">
    <oc r="M298">
      <f>M15+M21+M155</f>
    </oc>
    <nc r="M298">
      <f>M15+M21+M155</f>
    </nc>
    <odxf>
      <fill>
        <patternFill>
          <bgColor theme="9" tint="0.79998168889431442"/>
        </patternFill>
      </fill>
    </odxf>
    <ndxf>
      <fill>
        <patternFill>
          <bgColor rgb="FFFFFF00"/>
        </patternFill>
      </fill>
    </ndxf>
  </rcc>
  <rfmt sheetId="8" sqref="N297" start="0" length="0">
    <dxf>
      <fill>
        <patternFill>
          <bgColor rgb="FFFFFF00"/>
        </patternFill>
      </fill>
    </dxf>
  </rfmt>
  <rfmt sheetId="8" sqref="O297" start="0" length="0">
    <dxf>
      <fill>
        <patternFill>
          <bgColor rgb="FFFFFF00"/>
        </patternFill>
      </fill>
    </dxf>
  </rfmt>
  <rcc rId="31848" sId="8" odxf="1" dxf="1">
    <oc r="N298">
      <f>N15+N21+N155</f>
    </oc>
    <nc r="N298">
      <f>N15+N21+N155</f>
    </nc>
    <odxf>
      <fill>
        <patternFill>
          <bgColor theme="9" tint="0.79998168889431442"/>
        </patternFill>
      </fill>
    </odxf>
    <ndxf>
      <fill>
        <patternFill>
          <bgColor rgb="FFFFFF00"/>
        </patternFill>
      </fill>
    </ndxf>
  </rcc>
  <rcc rId="31849" sId="8" odxf="1" dxf="1">
    <oc r="O298">
      <f>O15+O21+O155</f>
    </oc>
    <nc r="O298">
      <f>O15+O21+O155</f>
    </nc>
    <odxf>
      <fill>
        <patternFill>
          <bgColor theme="9" tint="0.79998168889431442"/>
        </patternFill>
      </fill>
    </odxf>
    <ndxf>
      <fill>
        <patternFill>
          <bgColor rgb="FFFFFF00"/>
        </patternFill>
      </fill>
    </ndxf>
  </rcc>
  <rfmt sheetId="8" sqref="P297" start="0" length="0">
    <dxf>
      <fill>
        <patternFill>
          <bgColor rgb="FFFFFF00"/>
        </patternFill>
      </fill>
    </dxf>
  </rfmt>
  <rfmt sheetId="8" sqref="Q297" start="0" length="0">
    <dxf>
      <fill>
        <patternFill>
          <bgColor rgb="FFFFFF00"/>
        </patternFill>
      </fill>
    </dxf>
  </rfmt>
  <rcc rId="31850" sId="8" odxf="1" dxf="1">
    <oc r="P298">
      <f>P15+P21+P155</f>
    </oc>
    <nc r="P298">
      <f>P15+P21+P155</f>
    </nc>
    <odxf>
      <fill>
        <patternFill>
          <bgColor theme="9" tint="0.79998168889431442"/>
        </patternFill>
      </fill>
    </odxf>
    <ndxf>
      <fill>
        <patternFill>
          <bgColor rgb="FFFFFF00"/>
        </patternFill>
      </fill>
    </ndxf>
  </rcc>
  <rcc rId="31851" sId="8" odxf="1" dxf="1">
    <oc r="Q298">
      <f>Q15+Q21+Q155</f>
    </oc>
    <nc r="Q298">
      <f>Q15+Q21+Q155</f>
    </nc>
    <odxf>
      <fill>
        <patternFill>
          <bgColor theme="9" tint="0.79998168889431442"/>
        </patternFill>
      </fill>
    </odxf>
    <ndxf>
      <fill>
        <patternFill>
          <bgColor rgb="FFFFFF00"/>
        </patternFill>
      </fill>
    </ndxf>
  </rcc>
  <rfmt sheetId="8" sqref="R297" start="0" length="0">
    <dxf>
      <fill>
        <patternFill>
          <bgColor rgb="FFFFFF00"/>
        </patternFill>
      </fill>
    </dxf>
  </rfmt>
  <rfmt sheetId="8" sqref="S297" start="0" length="0">
    <dxf>
      <fill>
        <patternFill>
          <bgColor rgb="FFFFFF00"/>
        </patternFill>
      </fill>
    </dxf>
  </rfmt>
  <rfmt sheetId="8" sqref="T297" start="0" length="0">
    <dxf>
      <fill>
        <patternFill>
          <bgColor rgb="FFFFFF00"/>
        </patternFill>
      </fill>
    </dxf>
  </rfmt>
  <rfmt sheetId="8" sqref="U297" start="0" length="0">
    <dxf>
      <fill>
        <patternFill>
          <bgColor rgb="FFFFFF00"/>
        </patternFill>
      </fill>
    </dxf>
  </rfmt>
  <rfmt sheetId="8" sqref="V297" start="0" length="0">
    <dxf>
      <fill>
        <patternFill>
          <bgColor rgb="FFFFFF00"/>
        </patternFill>
      </fill>
    </dxf>
  </rfmt>
  <rfmt sheetId="8" sqref="W297" start="0" length="0">
    <dxf>
      <fill>
        <patternFill>
          <bgColor rgb="FFFFFF00"/>
        </patternFill>
      </fill>
    </dxf>
  </rfmt>
  <rfmt sheetId="8" sqref="X297" start="0" length="0">
    <dxf>
      <fill>
        <patternFill>
          <bgColor rgb="FFFFFF00"/>
        </patternFill>
      </fill>
    </dxf>
  </rfmt>
  <rfmt sheetId="8" sqref="Y297" start="0" length="0">
    <dxf>
      <fill>
        <patternFill>
          <bgColor rgb="FFFFFF00"/>
        </patternFill>
      </fill>
    </dxf>
  </rfmt>
  <rcc rId="31852" sId="8" odxf="1" dxf="1">
    <oc r="R298">
      <f>R15+R21+R155</f>
    </oc>
    <nc r="R298">
      <f>R15+R21+R155</f>
    </nc>
    <odxf>
      <fill>
        <patternFill>
          <bgColor theme="9" tint="0.79998168889431442"/>
        </patternFill>
      </fill>
    </odxf>
    <ndxf>
      <fill>
        <patternFill>
          <bgColor rgb="FFFFFF00"/>
        </patternFill>
      </fill>
    </ndxf>
  </rcc>
  <rcc rId="31853" sId="8" odxf="1" dxf="1">
    <oc r="S298">
      <f>S15+S21+S155</f>
    </oc>
    <nc r="S298">
      <f>S15+S21+S155</f>
    </nc>
    <odxf>
      <fill>
        <patternFill>
          <bgColor theme="9" tint="0.79998168889431442"/>
        </patternFill>
      </fill>
    </odxf>
    <ndxf>
      <fill>
        <patternFill>
          <bgColor rgb="FFFFFF00"/>
        </patternFill>
      </fill>
    </ndxf>
  </rcc>
  <rcc rId="31854" sId="8" odxf="1" dxf="1">
    <oc r="T298">
      <f>T15+T21+T155</f>
    </oc>
    <nc r="T298">
      <f>T15+T21+T155</f>
    </nc>
    <odxf>
      <fill>
        <patternFill>
          <bgColor theme="9" tint="0.79998168889431442"/>
        </patternFill>
      </fill>
    </odxf>
    <ndxf>
      <fill>
        <patternFill>
          <bgColor rgb="FFFFFF00"/>
        </patternFill>
      </fill>
    </ndxf>
  </rcc>
  <rcc rId="31855" sId="8" odxf="1" dxf="1">
    <oc r="U298">
      <f>U15+U21+U155</f>
    </oc>
    <nc r="U298">
      <f>U15+U21+U155</f>
    </nc>
    <odxf>
      <fill>
        <patternFill>
          <bgColor theme="9" tint="0.79998168889431442"/>
        </patternFill>
      </fill>
    </odxf>
    <ndxf>
      <fill>
        <patternFill>
          <bgColor rgb="FFFFFF00"/>
        </patternFill>
      </fill>
    </ndxf>
  </rcc>
  <rcc rId="31856" sId="8" odxf="1" dxf="1">
    <oc r="V298">
      <f>V15+V21+V155</f>
    </oc>
    <nc r="V298">
      <f>V15+V21+V155</f>
    </nc>
    <odxf>
      <fill>
        <patternFill>
          <bgColor theme="9" tint="0.79998168889431442"/>
        </patternFill>
      </fill>
    </odxf>
    <ndxf>
      <fill>
        <patternFill>
          <bgColor rgb="FFFFFF00"/>
        </patternFill>
      </fill>
    </ndxf>
  </rcc>
  <rcc rId="31857" sId="8" odxf="1" dxf="1">
    <oc r="W298">
      <f>W15+W21+W155</f>
    </oc>
    <nc r="W298">
      <f>W15+W21+W155</f>
    </nc>
    <odxf>
      <fill>
        <patternFill>
          <bgColor theme="9" tint="0.79998168889431442"/>
        </patternFill>
      </fill>
    </odxf>
    <ndxf>
      <fill>
        <patternFill>
          <bgColor rgb="FFFFFF00"/>
        </patternFill>
      </fill>
    </ndxf>
  </rcc>
  <rcc rId="31858" sId="8" odxf="1" dxf="1">
    <oc r="X298">
      <f>X15+X21+X155</f>
    </oc>
    <nc r="X298">
      <f>X15+X21+X155</f>
    </nc>
    <odxf>
      <fill>
        <patternFill>
          <bgColor theme="9" tint="0.79998168889431442"/>
        </patternFill>
      </fill>
    </odxf>
    <ndxf>
      <fill>
        <patternFill>
          <bgColor rgb="FFFFFF00"/>
        </patternFill>
      </fill>
    </ndxf>
  </rcc>
  <rcc rId="31859" sId="8" odxf="1" dxf="1">
    <oc r="Y298">
      <f>Y15+Y21+Y155</f>
    </oc>
    <nc r="Y298">
      <f>Y15+Y21+Y155</f>
    </nc>
    <odxf>
      <fill>
        <patternFill>
          <bgColor theme="9" tint="0.79998168889431442"/>
        </patternFill>
      </fill>
    </odxf>
    <ndxf>
      <fill>
        <patternFill>
          <bgColor rgb="FFFFFF00"/>
        </patternFill>
      </fill>
    </ndxf>
  </rcc>
  <rfmt sheetId="8" sqref="Z297" start="0" length="0">
    <dxf>
      <fill>
        <patternFill>
          <bgColor rgb="FFFFFF00"/>
        </patternFill>
      </fill>
    </dxf>
  </rfmt>
  <rfmt sheetId="8" sqref="AA297" start="0" length="0">
    <dxf>
      <fill>
        <patternFill>
          <bgColor rgb="FFFFFF00"/>
        </patternFill>
      </fill>
    </dxf>
  </rfmt>
  <rfmt sheetId="8" sqref="AB297" start="0" length="0">
    <dxf>
      <fill>
        <patternFill>
          <bgColor rgb="FFFFFF00"/>
        </patternFill>
      </fill>
    </dxf>
  </rfmt>
  <rfmt sheetId="8" sqref="AC297" start="0" length="0">
    <dxf>
      <fill>
        <patternFill>
          <bgColor rgb="FFFFFF00"/>
        </patternFill>
      </fill>
    </dxf>
  </rfmt>
  <rfmt sheetId="8" sqref="AD297" start="0" length="0">
    <dxf>
      <fill>
        <patternFill>
          <bgColor rgb="FFFFFF00"/>
        </patternFill>
      </fill>
    </dxf>
  </rfmt>
  <rfmt sheetId="8" sqref="AE297" start="0" length="0">
    <dxf>
      <fill>
        <patternFill>
          <bgColor rgb="FFFFFF00"/>
        </patternFill>
      </fill>
    </dxf>
  </rfmt>
  <rcc rId="31860" sId="8" odxf="1" dxf="1">
    <oc r="Z298">
      <f>Z15+Z21+Z155</f>
    </oc>
    <nc r="Z298">
      <f>Z15+Z21+Z155</f>
    </nc>
    <odxf>
      <fill>
        <patternFill>
          <bgColor theme="9" tint="0.79998168889431442"/>
        </patternFill>
      </fill>
    </odxf>
    <ndxf>
      <fill>
        <patternFill>
          <bgColor rgb="FFFFFF00"/>
        </patternFill>
      </fill>
    </ndxf>
  </rcc>
  <rcc rId="31861" sId="8" odxf="1" dxf="1">
    <oc r="AA298">
      <f>AA15+AA21+AA155</f>
    </oc>
    <nc r="AA298">
      <f>AA15+AA21+AA155</f>
    </nc>
    <odxf>
      <fill>
        <patternFill>
          <bgColor theme="9" tint="0.79998168889431442"/>
        </patternFill>
      </fill>
    </odxf>
    <ndxf>
      <fill>
        <patternFill>
          <bgColor rgb="FFFFFF00"/>
        </patternFill>
      </fill>
    </ndxf>
  </rcc>
  <rcc rId="31862" sId="8" odxf="1" dxf="1">
    <oc r="AB298">
      <f>AB15+AB21+AB155</f>
    </oc>
    <nc r="AB298">
      <f>AB15+AB21+AB155</f>
    </nc>
    <odxf>
      <fill>
        <patternFill>
          <bgColor theme="9" tint="0.79998168889431442"/>
        </patternFill>
      </fill>
    </odxf>
    <ndxf>
      <fill>
        <patternFill>
          <bgColor rgb="FFFFFF00"/>
        </patternFill>
      </fill>
    </ndxf>
  </rcc>
  <rcc rId="31863" sId="8" odxf="1" dxf="1">
    <oc r="AC298">
      <f>AC15+AC21+AC155</f>
    </oc>
    <nc r="AC298">
      <f>AC15+AC21+AC155</f>
    </nc>
    <odxf>
      <fill>
        <patternFill>
          <bgColor theme="9" tint="0.79998168889431442"/>
        </patternFill>
      </fill>
    </odxf>
    <ndxf>
      <fill>
        <patternFill>
          <bgColor rgb="FFFFFF00"/>
        </patternFill>
      </fill>
    </ndxf>
  </rcc>
  <rcc rId="31864" sId="8" odxf="1" dxf="1">
    <oc r="AD298">
      <f>AD15+AD21+AD155</f>
    </oc>
    <nc r="AD298">
      <f>AD15+AD21+AD155</f>
    </nc>
    <odxf>
      <fill>
        <patternFill>
          <bgColor theme="9" tint="0.79998168889431442"/>
        </patternFill>
      </fill>
    </odxf>
    <ndxf>
      <fill>
        <patternFill>
          <bgColor rgb="FFFFFF00"/>
        </patternFill>
      </fill>
    </ndxf>
  </rcc>
  <rcc rId="31865" sId="8" odxf="1" dxf="1">
    <oc r="AE298">
      <f>AE15+AE21+AE155</f>
    </oc>
    <nc r="AE298">
      <f>AE15+AE21+AE155</f>
    </nc>
    <odxf>
      <fill>
        <patternFill>
          <bgColor theme="9" tint="0.79998168889431442"/>
        </patternFill>
      </fill>
    </odxf>
    <ndxf>
      <fill>
        <patternFill>
          <bgColor rgb="FFFFFF00"/>
        </patternFill>
      </fill>
    </ndxf>
  </rcc>
  <rcc rId="31866" sId="8" odxf="1" dxf="1">
    <oc r="B302">
      <f>J302+L302+N302+P302+R302+T302+V302+X302+Z302+AB302+AD302+H302</f>
    </oc>
    <nc r="B302">
      <f>B40+B79+B115+B139+B160+B197+B235+B253+B265+B273</f>
    </nc>
    <ndxf>
      <fill>
        <patternFill>
          <bgColor theme="9" tint="0.79998168889431442"/>
        </patternFill>
      </fill>
    </ndxf>
  </rcc>
  <rcc rId="31867" sId="8">
    <oc r="B303">
      <f>J303+L303+N303+P303+R303+T303+V303+X303+Z303+AB303+AD303+H303</f>
    </oc>
    <nc r="B303">
      <f>B41++B80+B116+B140+B161+B198+B236+B254+B266+B274</f>
    </nc>
  </rcc>
  <rcc rId="31868" sId="8">
    <oc r="C303">
      <f>H303+J303+L303+N303+P303+R303+T303+V303+X303+Z303+AB303+AD303</f>
    </oc>
    <nc r="C303">
      <f>C41++C80+C116+C140+C161+C198+C236+C254+C266+C274</f>
    </nc>
  </rcc>
  <rcc rId="31869" sId="8" numFmtId="4">
    <oc r="D303">
      <v>1169.08</v>
    </oc>
    <nc r="D303">
      <f>D41++D80+D116+D140+D161+D198+D236+D254+D266+D274</f>
    </nc>
  </rcc>
  <rcc rId="31870" sId="8">
    <oc r="E303">
      <f>SUM(I303,K303,M303,O303,Q303,S303,U303,W303,Y303,AA303,AC303,AE303)</f>
    </oc>
    <nc r="E303">
      <f>E41++E80+E116+E140+E161+E198+E236+E254+E266+E274</f>
    </nc>
  </rcc>
  <rfmt sheetId="8" sqref="B303:E303">
    <dxf>
      <fill>
        <patternFill>
          <bgColor rgb="FFFFFF00"/>
        </patternFill>
      </fill>
    </dxf>
  </rfmt>
  <rcc rId="31871" sId="8" odxf="1" dxf="1">
    <oc r="H303">
      <f>H47+H54+H60+H66++H86+H92+H98+H104+H110+H122+H128+H134+H167+H192+H204+H210+H216+H222+H228+H242+H248+H260+H266+H280+H146+H286+H73+H26+H33</f>
    </oc>
    <nc r="H303">
      <f>H41++H80+H116+H140+H161+H198+H236+H254+H266+H274</f>
    </nc>
    <odxf>
      <fill>
        <patternFill>
          <bgColor theme="9" tint="0.79998168889431442"/>
        </patternFill>
      </fill>
    </odxf>
    <ndxf>
      <fill>
        <patternFill>
          <bgColor rgb="FFFFFF00"/>
        </patternFill>
      </fill>
    </ndxf>
  </rcc>
  <rcc rId="31872" sId="8" odxf="1" dxf="1">
    <oc r="I303">
      <f>I47+I54+I60+I66++I86+I92+I98+I104+I110+I122+I128+I134+I167+I192+I204+I210+I216+I222+I228+I242+I248+I260+I266+I280+I146+I286+I73+I26+I33</f>
    </oc>
    <nc r="I303">
      <f>I41++I80+I116+I140+I161+I198+I236+I254+I266+I274</f>
    </nc>
    <odxf>
      <fill>
        <patternFill>
          <bgColor theme="9" tint="0.79998168889431442"/>
        </patternFill>
      </fill>
    </odxf>
    <ndxf>
      <fill>
        <patternFill>
          <bgColor rgb="FFFFFF00"/>
        </patternFill>
      </fill>
    </ndxf>
  </rcc>
  <rcc rId="31873" sId="8" odxf="1" dxf="1">
    <oc r="J303">
      <f>J47+J54+J60+J66++J86+J92+J98+J104+J110+J122+J128+J134+J167+J192+J204+J210+J216+J222+J228+J242+J248+J260+J266+J280+J146+J286+J73+J26+J33</f>
    </oc>
    <nc r="J303">
      <f>J41++J80+J116+J140+J161+J198+J236+J254+J266+J274</f>
    </nc>
    <odxf>
      <fill>
        <patternFill>
          <bgColor theme="9" tint="0.79998168889431442"/>
        </patternFill>
      </fill>
    </odxf>
    <ndxf>
      <fill>
        <patternFill>
          <bgColor rgb="FFFFFF00"/>
        </patternFill>
      </fill>
    </ndxf>
  </rcc>
  <rcc rId="31874" sId="8" odxf="1" dxf="1">
    <oc r="K303">
      <f>K47+K54+K60+K66++K86+K92+K98+K104+K110+K122+K128+K134+K167+K192+K204+K210+K216+K222+K228+K242+K248+K260+K266+K280+K146+K286+K73+K26+K33</f>
    </oc>
    <nc r="K303">
      <f>K41++K80+K116+K140+K161+K198+K236+K254+K266+K274</f>
    </nc>
    <odxf>
      <fill>
        <patternFill>
          <bgColor theme="9" tint="0.79998168889431442"/>
        </patternFill>
      </fill>
    </odxf>
    <ndxf>
      <fill>
        <patternFill>
          <bgColor rgb="FFFFFF00"/>
        </patternFill>
      </fill>
    </ndxf>
  </rcc>
  <rcc rId="31875" sId="8" odxf="1" dxf="1">
    <oc r="L303">
      <f>L47+L54+L60+L66++L86+L92+L98+L104+L110+L122+L128+L134+L167+L192+L204+L210+L216+L222+L228+L242+L248+L260+L266+L280+L146+L286+L73+L26+L33</f>
    </oc>
    <nc r="L303">
      <f>L41++L80+L116+L140+L161+L198+L236+L254+L266+L274</f>
    </nc>
    <odxf>
      <fill>
        <patternFill>
          <bgColor theme="9" tint="0.79998168889431442"/>
        </patternFill>
      </fill>
    </odxf>
    <ndxf>
      <fill>
        <patternFill>
          <bgColor rgb="FFFFFF00"/>
        </patternFill>
      </fill>
    </ndxf>
  </rcc>
  <rcc rId="31876" sId="8" odxf="1" dxf="1">
    <oc r="M303">
      <f>M47+M54+M60+M66++M86+M92+M98+M104+M110+M122+M128+M134+M167+M192+M204+M210+M216+M222+M228+M242+M248+M260+M266+M280+M146+M286+M73+M26+M33</f>
    </oc>
    <nc r="M303">
      <f>M41++M80+M116+M140+M161+M198+M236+M254+M266+M274</f>
    </nc>
    <odxf>
      <fill>
        <patternFill>
          <bgColor theme="9" tint="0.79998168889431442"/>
        </patternFill>
      </fill>
    </odxf>
    <ndxf>
      <fill>
        <patternFill>
          <bgColor rgb="FFFFFF00"/>
        </patternFill>
      </fill>
    </ndxf>
  </rcc>
  <rcc rId="31877" sId="8" odxf="1" dxf="1">
    <oc r="N303">
      <f>N47+N54+N60+N66++N86+N92+N98+N104+N110+N122+N128+N134+N167+N192+N204+N210+N216+N222+N228+N242+N248+N260+N266+N280+N146+N286+N73+N26+N33</f>
    </oc>
    <nc r="N303">
      <f>N41++N80+N116+N140+N161+N198+N236+N254+N266+N274</f>
    </nc>
    <odxf>
      <fill>
        <patternFill>
          <bgColor theme="9" tint="0.79998168889431442"/>
        </patternFill>
      </fill>
    </odxf>
    <ndxf>
      <fill>
        <patternFill>
          <bgColor rgb="FFFFFF00"/>
        </patternFill>
      </fill>
    </ndxf>
  </rcc>
  <rcc rId="31878" sId="8" odxf="1" dxf="1">
    <oc r="O303">
      <f>O47+O54+O60+O66++O86+O92+O98+O104+O110+O122+O128+O134+O167+O192+O204+O210+O216+O222+O228+O242+O248+O260+O266+O280+O146+O286+O73+O26+O33</f>
    </oc>
    <nc r="O303">
      <f>O41++O80+O116+O140+O161+O198+O236+O254+O266+O274</f>
    </nc>
    <odxf>
      <fill>
        <patternFill>
          <bgColor theme="9" tint="0.79998168889431442"/>
        </patternFill>
      </fill>
    </odxf>
    <ndxf>
      <fill>
        <patternFill>
          <bgColor rgb="FFFFFF00"/>
        </patternFill>
      </fill>
    </ndxf>
  </rcc>
  <rcc rId="31879" sId="8" odxf="1" dxf="1">
    <oc r="P303">
      <f>P47+P54+P60+P66++P86+P92+P98+P104+P110+P122+P128+P134+P167+P192+P204+P210+P216+P222+P228+P242+P248+P260+P266+P280+P146+P286+P73+P26+P33</f>
    </oc>
    <nc r="P303">
      <f>P41++P80+P116+P140+P161+P198+P236+P254+P266+P274</f>
    </nc>
    <odxf>
      <fill>
        <patternFill>
          <bgColor theme="9" tint="0.79998168889431442"/>
        </patternFill>
      </fill>
    </odxf>
    <ndxf>
      <fill>
        <patternFill>
          <bgColor rgb="FFFFFF00"/>
        </patternFill>
      </fill>
    </ndxf>
  </rcc>
  <rcc rId="31880" sId="8" odxf="1" dxf="1">
    <oc r="Q303">
      <f>Q47+Q54+Q60+Q66++Q86+Q92+Q98+Q104+Q110+Q122+Q128+Q134+Q167+Q192+Q204+Q210+Q216+Q222+Q228+Q242+Q248+Q260+Q266+Q280+Q146+Q286+Q73+Q26+Q33</f>
    </oc>
    <nc r="Q303">
      <f>Q41++Q80+Q116+Q140+Q161+Q198+Q236+Q254+Q266+Q274</f>
    </nc>
    <odxf>
      <fill>
        <patternFill>
          <bgColor theme="9" tint="0.79998168889431442"/>
        </patternFill>
      </fill>
    </odxf>
    <ndxf>
      <fill>
        <patternFill>
          <bgColor rgb="FFFFFF00"/>
        </patternFill>
      </fill>
    </ndxf>
  </rcc>
  <rcc rId="31881" sId="8" odxf="1" dxf="1">
    <oc r="R303">
      <f>R47+R54+R60+R66++R86+R92+R98+R104+R110+R122+R128+R134+R167+R192+R204+R210+R216+R222+R228+R242+R248+R260+R266+R280+R146+R286+R73+R26+R33</f>
    </oc>
    <nc r="R303">
      <f>R41++R80+R116+R140+R161+R198+R236+R254+R266+R274</f>
    </nc>
    <odxf>
      <fill>
        <patternFill>
          <bgColor theme="9" tint="0.79998168889431442"/>
        </patternFill>
      </fill>
    </odxf>
    <ndxf>
      <fill>
        <patternFill>
          <bgColor rgb="FFFFFF00"/>
        </patternFill>
      </fill>
    </ndxf>
  </rcc>
  <rcc rId="31882" sId="8" odxf="1" dxf="1">
    <oc r="S303">
      <f>S47+S54+S60+S66++S86+S92+S98+S104+S110+S122+S128+S134+S167+S192+S204+S210+S216+S222+S228+S242+S248+S260+S266+S280+S146+S286+S73+S26+S33</f>
    </oc>
    <nc r="S303">
      <f>S41++S80+S116+S140+S161+S198+S236+S254+S266+S274</f>
    </nc>
    <odxf>
      <fill>
        <patternFill>
          <bgColor theme="9" tint="0.79998168889431442"/>
        </patternFill>
      </fill>
    </odxf>
    <ndxf>
      <fill>
        <patternFill>
          <bgColor rgb="FFFFFF00"/>
        </patternFill>
      </fill>
    </ndxf>
  </rcc>
  <rcc rId="31883" sId="8" odxf="1" dxf="1">
    <oc r="T303">
      <f>T47+T54+T60+T66++T86+T92+T98+T104+T110+T122+T128+T134+T167+T192+T204+T210+T216+T222+T228+T242+T248+T260+T266+T280+T146+T286+T73+T26+T33</f>
    </oc>
    <nc r="T303">
      <f>T41++T80+T116+T140+T161+T198+T236+T254+T266+T274</f>
    </nc>
    <odxf>
      <fill>
        <patternFill>
          <bgColor theme="9" tint="0.79998168889431442"/>
        </patternFill>
      </fill>
    </odxf>
    <ndxf>
      <fill>
        <patternFill>
          <bgColor rgb="FFFFFF00"/>
        </patternFill>
      </fill>
    </ndxf>
  </rcc>
  <rcc rId="31884" sId="8" odxf="1" dxf="1">
    <oc r="U303">
      <f>U47+U54+U60+U66++U86+U92+U98+U104+U110+U122+U128+U134+U167+U192+U204+U210+U216+U222+U228+U242+U248+U260+U266+U280+U146+U286+U73+U26+U33</f>
    </oc>
    <nc r="U303">
      <f>U41++U80+U116+U140+U161+U198+U236+U254+U266+U274</f>
    </nc>
    <odxf>
      <fill>
        <patternFill>
          <bgColor theme="9" tint="0.79998168889431442"/>
        </patternFill>
      </fill>
    </odxf>
    <ndxf>
      <fill>
        <patternFill>
          <bgColor rgb="FFFFFF00"/>
        </patternFill>
      </fill>
    </ndxf>
  </rcc>
  <rcc rId="31885" sId="8" odxf="1" dxf="1">
    <oc r="V303">
      <f>V47+V54+V60+V66++V86+V92+V98+V104+V110+V122+V128+V134+V167+V192+V204+V210+V216+V222+V228+V242+V248+V260+V266+V280+V146+V286+V73+V26+V33</f>
    </oc>
    <nc r="V303">
      <f>V41++V80+V116+V140+V161+V198+V236+V254+V266+V274</f>
    </nc>
    <odxf>
      <fill>
        <patternFill>
          <bgColor theme="9" tint="0.79998168889431442"/>
        </patternFill>
      </fill>
    </odxf>
    <ndxf>
      <fill>
        <patternFill>
          <bgColor rgb="FFFFFF00"/>
        </patternFill>
      </fill>
    </ndxf>
  </rcc>
  <rcc rId="31886" sId="8" odxf="1" dxf="1">
    <oc r="W303">
      <f>W47+W54+W60+W66++W86+W92+W98+W104+W110+W122+W128+W134+W167+W192+W204+W210+W216+W222+W228+W242+W248+W260+W266+W280+W146+W286+W73+W26+W33</f>
    </oc>
    <nc r="W303">
      <f>W41++W80+W116+W140+W161+W198+W236+W254+W266+W274</f>
    </nc>
    <odxf>
      <fill>
        <patternFill>
          <bgColor theme="9" tint="0.79998168889431442"/>
        </patternFill>
      </fill>
    </odxf>
    <ndxf>
      <fill>
        <patternFill>
          <bgColor rgb="FFFFFF00"/>
        </patternFill>
      </fill>
    </ndxf>
  </rcc>
  <rcc rId="31887" sId="8" odxf="1" dxf="1">
    <oc r="X303">
      <f>X47+X54+X60+X66++X86+X92+X98+X104+X110+X124+X128+X134+X167+X192+X204+X210+X216+X222+X228+X242+X248+X260+X266+X280+X146+X286+X73+X26+X33</f>
    </oc>
    <nc r="X303">
      <f>X41++X80+X116+X140+X161+X198+X236+X254+X266+X274</f>
    </nc>
    <odxf>
      <fill>
        <patternFill>
          <bgColor theme="9" tint="0.79998168889431442"/>
        </patternFill>
      </fill>
    </odxf>
    <ndxf>
      <fill>
        <patternFill>
          <bgColor rgb="FFFFFF00"/>
        </patternFill>
      </fill>
    </ndxf>
  </rcc>
  <rcc rId="31888" sId="8" odxf="1" dxf="1">
    <oc r="Y303">
      <f>Y47+Y54+Y60+Y66++Y86+Y92+Y98+Y104+Y110+Y124+Y128+Y134+Y167+Y192+Y204+Y210+Y216+Y222+Y228+Y242+Y248+Y260+Y266+Y280+Y146+Y286+Y73+Y26+Y33</f>
    </oc>
    <nc r="Y303">
      <f>Y41++Y80+Y116+Y140+Y161+Y198+Y236+Y254+Y266+Y274</f>
    </nc>
    <odxf>
      <fill>
        <patternFill>
          <bgColor theme="9" tint="0.79998168889431442"/>
        </patternFill>
      </fill>
    </odxf>
    <ndxf>
      <fill>
        <patternFill>
          <bgColor rgb="FFFFFF00"/>
        </patternFill>
      </fill>
    </ndxf>
  </rcc>
  <rcc rId="31889" sId="8" odxf="1" dxf="1">
    <oc r="Z303">
      <f>Z47+Z54+Z60+Z66++Z86+Z92+Z98+Z104+Z110+Z124+Z128+Z134+Z167+Z192+Z204+Z210+Z216+Z222+Z228+Z242+Z248+Z260+Z266+Z280+Z146+Z286+Z73+Z26+Z33</f>
    </oc>
    <nc r="Z303">
      <f>Z41++Z80+Z116+Z140+Z161+Z198+Z236+Z254+Z266+Z274</f>
    </nc>
    <odxf>
      <fill>
        <patternFill>
          <bgColor theme="9" tint="0.79998168889431442"/>
        </patternFill>
      </fill>
    </odxf>
    <ndxf>
      <fill>
        <patternFill>
          <bgColor rgb="FFFFFF00"/>
        </patternFill>
      </fill>
    </ndxf>
  </rcc>
  <rcc rId="31890" sId="8" odxf="1" dxf="1">
    <oc r="AA303">
      <f>AA47+AA54+AA60+AA66++AA86+AA92+AA98+AA104+AA110+AA124+AA128+AA134+AA167+AA192+AA204+AA210+AA216+AA222+AA228+AA242+AA248+AA260+AA266+AA280+AA146+AA286+AA73+AA26+AA33</f>
    </oc>
    <nc r="AA303">
      <f>AA41++AA80+AA116+AA140+AA161+AA198+AA236+AA254+AA266+AA274</f>
    </nc>
    <odxf>
      <fill>
        <patternFill>
          <bgColor theme="9" tint="0.79998168889431442"/>
        </patternFill>
      </fill>
    </odxf>
    <ndxf>
      <fill>
        <patternFill>
          <bgColor rgb="FFFFFF00"/>
        </patternFill>
      </fill>
    </ndxf>
  </rcc>
  <rcc rId="31891" sId="8" odxf="1" dxf="1">
    <oc r="AB303">
      <f>AB47+AB54+AB60+AB66++AB86+AB92+AB98+AB104+AB110+AB124+AB128+AB134+AB167+AB192+AB204+AB210+AB216+AB222+AB228+AB242+AB248+AB260+AB266+AB280+AB146+AB286+AB73+AB26+AB33</f>
    </oc>
    <nc r="AB303">
      <f>AB41++AB80+AB116+AB140+AB161+AB198+AB236+AB254+AB266+AB274</f>
    </nc>
    <odxf>
      <fill>
        <patternFill>
          <bgColor theme="9" tint="0.79998168889431442"/>
        </patternFill>
      </fill>
    </odxf>
    <ndxf>
      <fill>
        <patternFill>
          <bgColor rgb="FFFFFF00"/>
        </patternFill>
      </fill>
    </ndxf>
  </rcc>
  <rcc rId="31892" sId="8" odxf="1" dxf="1">
    <oc r="AC303">
      <f>AC47+AC54+AC60+AC66++AC86+AC92+AC98+AC104+AC110+AC124+AC128+AC134+AC167+AC192+AC204+AC210+AC216+AC222+AC228+AC242+AC248+AC260+AC266+AC280+AC146+AC286+AC73+AC26+AC33</f>
    </oc>
    <nc r="AC303">
      <f>AC41++AC80+AC116+AC140+AC161+AC198+AC236+AC254+AC266+AC274</f>
    </nc>
    <odxf>
      <fill>
        <patternFill>
          <bgColor theme="9" tint="0.79998168889431442"/>
        </patternFill>
      </fill>
    </odxf>
    <ndxf>
      <fill>
        <patternFill>
          <bgColor rgb="FFFFFF00"/>
        </patternFill>
      </fill>
    </ndxf>
  </rcc>
  <rcc rId="31893" sId="8" odxf="1" dxf="1">
    <oc r="AD303">
      <f>AD47+AD54+AD60+AD66++AD86+AD92+AD98+AD104+AD110+AD124+AD128+AD134+AD167+AD192+AD204+AD210+AD216+AD222+AD228+AD242+AD248+AD260+AD266+AD280+AD146+AD286+AD73+AD26+AD33</f>
    </oc>
    <nc r="AD303">
      <f>AD41++AD80+AD116+AD140+AD161+AD198+AD236+AD254+AD266+AD274</f>
    </nc>
    <odxf>
      <fill>
        <patternFill>
          <bgColor theme="9" tint="0.79998168889431442"/>
        </patternFill>
      </fill>
    </odxf>
    <ndxf>
      <fill>
        <patternFill>
          <bgColor rgb="FFFFFF00"/>
        </patternFill>
      </fill>
    </ndxf>
  </rcc>
  <rcc rId="31894" sId="8" odxf="1" dxf="1">
    <oc r="AE303">
      <f>AE47+AE54+AE60+AE66++AE86+AE92+AE98+AE104+AE110+AE124+AE128+AE134+AE167+AE192+AE204+AE210+AE216+AE222+AE228+AE242+AE248+AE260+AE266+AE280+AE146+AE286+AE73+AE26+AE33</f>
    </oc>
    <nc r="AE303">
      <f>AE41++AE80+AE116+AE140+AE161+AE198+AE236+AE254+AE266+AE274</f>
    </nc>
    <odxf>
      <fill>
        <patternFill>
          <bgColor theme="9" tint="0.79998168889431442"/>
        </patternFill>
      </fill>
    </odxf>
    <ndxf>
      <fill>
        <patternFill>
          <bgColor rgb="FFFFFF00"/>
        </patternFill>
      </fill>
    </ndxf>
  </rcc>
  <rfmt sheetId="8" sqref="A289:XFD289">
    <dxf>
      <alignment vertical="center" readingOrder="0"/>
    </dxf>
  </rfmt>
  <rcc rId="31895" sId="8">
    <oc r="B304">
      <f>J304+L304+N304+P304+R304+T304+V304+X304+Z304+AB304+AD304+H304</f>
    </oc>
    <nc r="B304">
      <f>B42+B81+B117+B141+B162+B199+B237+B255+B267+B275</f>
    </nc>
  </rcc>
  <rcc rId="31896" sId="8">
    <oc r="C304">
      <f>H304+J304+L304+N304+P304+R304+T304+V304+X304+Z304+AB304+AD304</f>
    </oc>
    <nc r="C304">
      <f>C42+C81+C117+C141+C162+C199+C237+C255+C267+C275</f>
    </nc>
  </rcc>
  <rcc rId="31897" sId="8">
    <oc r="D304">
      <f>D48+D55+D61+D67++D87+D93+D99+D105+D111+D123+D129+D135+D168+D193+D205+D211+D217+D223+D229+D243+D249+D261+D267+D281+D147+D287+D74</f>
    </oc>
    <nc r="D304">
      <f>D42+D81+D117+D141+D162+D199+D237+D255+D267+D275</f>
    </nc>
  </rcc>
  <rcc rId="31898" sId="8">
    <oc r="E304">
      <f>SUM(I304,K304,M304,O304,Q304,S304,U304,W304,Y304,AA304,AC304,AE304)</f>
    </oc>
    <nc r="E304">
      <f>E42+E81+E117+E141+E162+E199+E237+E255+E267+E275</f>
    </nc>
  </rcc>
  <rfmt sheetId="8" sqref="B304:E304">
    <dxf>
      <fill>
        <patternFill>
          <bgColor rgb="FFFFFF00"/>
        </patternFill>
      </fill>
    </dxf>
  </rfmt>
  <rcc rId="31899" sId="8" odxf="1" dxf="1">
    <oc r="H304">
      <f>H48+H55+H61+H67++H87+H93+H99+H105+H111+H123+H129+H135+H168+H193+H205+H211+H217+H223+H229+H243+H249+H261+H267+H281+H147+H287+H74</f>
    </oc>
    <nc r="H304">
      <f>H42+H81+H117+H141+H162+H199+H237+H255+H267+H275</f>
    </nc>
    <odxf>
      <fill>
        <patternFill>
          <bgColor theme="9" tint="0.79998168889431442"/>
        </patternFill>
      </fill>
    </odxf>
    <ndxf>
      <fill>
        <patternFill>
          <bgColor rgb="FFFFFF00"/>
        </patternFill>
      </fill>
    </ndxf>
  </rcc>
  <rcc rId="31900" sId="8" odxf="1" dxf="1">
    <oc r="I304">
      <f>I48+I55+I61+I67++I87+I93+I99+I105+I111+I123+I129+I135+I168+I193+I205+I211+I217+I223+I229+I243+I249+I261+I267+I281+I147+I287+I74</f>
    </oc>
    <nc r="I304">
      <f>I42+I81+I117+I141+I162+I199+I237+I255+I267+I275</f>
    </nc>
    <odxf>
      <fill>
        <patternFill>
          <bgColor theme="9" tint="0.79998168889431442"/>
        </patternFill>
      </fill>
    </odxf>
    <ndxf>
      <fill>
        <patternFill>
          <bgColor rgb="FFFFFF00"/>
        </patternFill>
      </fill>
    </ndxf>
  </rcc>
  <rcc rId="31901" sId="8" odxf="1" dxf="1">
    <oc r="J304">
      <f>J48+J55+J61+J67++J87+J93+J99+J105+J111+J123+J129+J135+J168+J193+J205+J211+J217+J223+J229+J243+J249+J261+J267+J281+J147+J287+J74</f>
    </oc>
    <nc r="J304">
      <f>J42+J81+J117+J141+J162+J199+J237+J255+J267+J275</f>
    </nc>
    <odxf>
      <fill>
        <patternFill>
          <bgColor theme="9" tint="0.79998168889431442"/>
        </patternFill>
      </fill>
    </odxf>
    <ndxf>
      <fill>
        <patternFill>
          <bgColor rgb="FFFFFF00"/>
        </patternFill>
      </fill>
    </ndxf>
  </rcc>
  <rcc rId="31902" sId="8" odxf="1" dxf="1">
    <oc r="K304">
      <f>K48+K55+K61+K67++K87+K93+K99+K105+K111+K123+K129+K135+K168+K193+K205+K211+K217+K223+K229+K243+K249+K261+K267+K281+K147+K287+K74</f>
    </oc>
    <nc r="K304">
      <f>K42+K81+K117+K141+K162+K199+K237+K255+K267+K275</f>
    </nc>
    <odxf>
      <fill>
        <patternFill>
          <bgColor theme="9" tint="0.79998168889431442"/>
        </patternFill>
      </fill>
    </odxf>
    <ndxf>
      <fill>
        <patternFill>
          <bgColor rgb="FFFFFF00"/>
        </patternFill>
      </fill>
    </ndxf>
  </rcc>
  <rcc rId="31903" sId="8" odxf="1" dxf="1">
    <oc r="L304">
      <f>L48+L55+L61+L67++L87+L93+L99+L105+L111+L123+L129+L135+L168+L193+L205+L211+L217+L223+L229+L243+L249+L261+L267+L281+L147+L287+L74</f>
    </oc>
    <nc r="L304">
      <f>L42+L81+L117+L141+L162+L199+L237+L255+L267+L275</f>
    </nc>
    <odxf>
      <fill>
        <patternFill>
          <bgColor theme="9" tint="0.79998168889431442"/>
        </patternFill>
      </fill>
    </odxf>
    <ndxf>
      <fill>
        <patternFill>
          <bgColor rgb="FFFFFF00"/>
        </patternFill>
      </fill>
    </ndxf>
  </rcc>
  <rcc rId="31904" sId="8" odxf="1" dxf="1">
    <oc r="M304">
      <f>M48+M55+M61+M67++M87+M93+M99+M105+M111+M123+M129+M135+M168+M193+M205+M211+M217+M223+M229+M243+M249+M261+M267+M281+M147+M287+M74</f>
    </oc>
    <nc r="M304">
      <f>M42+M81+M117+M141+M162+M199+M237+M255+M267+M275</f>
    </nc>
    <odxf>
      <fill>
        <patternFill>
          <bgColor theme="9" tint="0.79998168889431442"/>
        </patternFill>
      </fill>
    </odxf>
    <ndxf>
      <fill>
        <patternFill>
          <bgColor rgb="FFFFFF00"/>
        </patternFill>
      </fill>
    </ndxf>
  </rcc>
  <rcc rId="31905" sId="8" odxf="1" dxf="1">
    <oc r="N304">
      <f>N48+N55+N61+N67++N87+N93+N99+N105+N111+N123+N129+N135+N168+N193+N205+N211+N217+N223+N229+N243+N249+N261+N267+N281+N147+N287+N74</f>
    </oc>
    <nc r="N304">
      <f>N42+N81+N117+N141+N162+N199+N237+N255+N267+N275</f>
    </nc>
    <odxf>
      <fill>
        <patternFill>
          <bgColor theme="9" tint="0.79998168889431442"/>
        </patternFill>
      </fill>
    </odxf>
    <ndxf>
      <fill>
        <patternFill>
          <bgColor rgb="FFFFFF00"/>
        </patternFill>
      </fill>
    </ndxf>
  </rcc>
  <rcc rId="31906" sId="8" odxf="1" dxf="1">
    <oc r="O304">
      <f>O48+O55+O61+O67++O87+O93+O99+O105+O111+O123+O129+O135+O168+O193+O205+O211+O217+O223+O229+O243+O249+O261+O267+O281+O147+O287+O74</f>
    </oc>
    <nc r="O304">
      <f>O42+O81+O117+O141+O162+O199+O237+O255+O267+O275</f>
    </nc>
    <odxf>
      <fill>
        <patternFill>
          <bgColor theme="9" tint="0.79998168889431442"/>
        </patternFill>
      </fill>
    </odxf>
    <ndxf>
      <fill>
        <patternFill>
          <bgColor rgb="FFFFFF00"/>
        </patternFill>
      </fill>
    </ndxf>
  </rcc>
  <rcc rId="31907" sId="8" odxf="1" dxf="1">
    <oc r="P304">
      <f>P48+P55+P61+P67++P87+P93+P99+P105+P111+P123+P129+P135+P168+P193+P205+P211+P217+P223+P229+P243+P249+P261+P267+P281+P147+P287+P74</f>
    </oc>
    <nc r="P304">
      <f>P42+P81+P117+P141+P162+P199+P237+P255+P267+P275</f>
    </nc>
    <odxf>
      <fill>
        <patternFill>
          <bgColor theme="9" tint="0.79998168889431442"/>
        </patternFill>
      </fill>
    </odxf>
    <ndxf>
      <fill>
        <patternFill>
          <bgColor rgb="FFFFFF00"/>
        </patternFill>
      </fill>
    </ndxf>
  </rcc>
  <rcc rId="31908" sId="8" odxf="1" dxf="1">
    <oc r="Q304">
      <f>Q48+Q55+Q61+Q67++Q87+Q93+Q99+Q105+Q111+Q123+Q129+Q135+Q168+Q193+Q205+Q211+Q217+Q223+Q229+Q243+Q249+Q261+Q267+Q281+Q147+Q287+Q74</f>
    </oc>
    <nc r="Q304">
      <f>Q42+Q81+Q117+Q141+Q162+Q199+Q237+Q255+Q267+Q275</f>
    </nc>
    <odxf>
      <fill>
        <patternFill>
          <bgColor theme="9" tint="0.79998168889431442"/>
        </patternFill>
      </fill>
    </odxf>
    <ndxf>
      <fill>
        <patternFill>
          <bgColor rgb="FFFFFF00"/>
        </patternFill>
      </fill>
    </ndxf>
  </rcc>
  <rcc rId="31909" sId="8" odxf="1" dxf="1">
    <oc r="R304">
      <f>R48+R55+R61+R67++R87+R93+R99+R105+R111+R123+R129+R135+R168+R193+R205+R211+R217+R223+R229+R243+R249+R261+R267+R281+R147+R287+R74</f>
    </oc>
    <nc r="R304">
      <f>R42+R81+R117+R141+R162+R199+R237+R255+R267+R275</f>
    </nc>
    <odxf>
      <fill>
        <patternFill>
          <bgColor theme="9" tint="0.79998168889431442"/>
        </patternFill>
      </fill>
    </odxf>
    <ndxf>
      <fill>
        <patternFill>
          <bgColor rgb="FFFFFF00"/>
        </patternFill>
      </fill>
    </ndxf>
  </rcc>
  <rcc rId="31910" sId="8" odxf="1" dxf="1">
    <oc r="S304">
      <f>S48+S55+S61+S67++S87+S93+S99+S105+S111+S123+S129+S135+S168+S193+S205+S211+S217+S223+S229+S243+S249+S261+S267+S281+S147+S287+S74</f>
    </oc>
    <nc r="S304">
      <f>S42+S81+S117+S141+S162+S199+S237+S255+S267+S275</f>
    </nc>
    <odxf>
      <fill>
        <patternFill>
          <bgColor theme="9" tint="0.79998168889431442"/>
        </patternFill>
      </fill>
    </odxf>
    <ndxf>
      <fill>
        <patternFill>
          <bgColor rgb="FFFFFF00"/>
        </patternFill>
      </fill>
    </ndxf>
  </rcc>
  <rcc rId="31911" sId="8" odxf="1" dxf="1">
    <oc r="T304">
      <f>T48+T55+T61+T67++T87+T93+T99+T105+T111+T123+T129+T135+T168+T193+T205+T211+T217+T223+T229+T243+T249+T261+T267+T281+T147+T287+T74</f>
    </oc>
    <nc r="T304">
      <f>T42+T81+T117+T141+T162+T199+T237+T255+T267+T275</f>
    </nc>
    <odxf>
      <fill>
        <patternFill>
          <bgColor theme="9" tint="0.79998168889431442"/>
        </patternFill>
      </fill>
    </odxf>
    <ndxf>
      <fill>
        <patternFill>
          <bgColor rgb="FFFFFF00"/>
        </patternFill>
      </fill>
    </ndxf>
  </rcc>
  <rcc rId="31912" sId="8" odxf="1" dxf="1">
    <oc r="U304">
      <f>U48+U55+U61+U67++U87+U93+U99+U105+U111+U123+U129+U135+U168+U193+U205+U211+U217+U223+U229+U243+U249+U261+U267+U281+U147+U287+U74</f>
    </oc>
    <nc r="U304">
      <f>U42+U81+U117+U141+U162+U199+U237+U255+U267+U275</f>
    </nc>
    <odxf>
      <fill>
        <patternFill>
          <bgColor theme="9" tint="0.79998168889431442"/>
        </patternFill>
      </fill>
    </odxf>
    <ndxf>
      <fill>
        <patternFill>
          <bgColor rgb="FFFFFF00"/>
        </patternFill>
      </fill>
    </ndxf>
  </rcc>
  <rcc rId="31913" sId="8" odxf="1" dxf="1">
    <oc r="V304">
      <f>V48+V55+V61+V67++V87+V93+V99+V105+V111+V123+V129+V135+V168+V193+V205+V211+V217+V223+V229+V243+V249+V261+V267+V281+V147+V287+V74+V34</f>
    </oc>
    <nc r="V304">
      <f>V42+V81+V117+V141+V162+V199+V237+V255+V267+V275</f>
    </nc>
    <odxf>
      <fill>
        <patternFill>
          <bgColor theme="9" tint="0.79998168889431442"/>
        </patternFill>
      </fill>
    </odxf>
    <ndxf>
      <fill>
        <patternFill>
          <bgColor rgb="FFFFFF00"/>
        </patternFill>
      </fill>
    </ndxf>
  </rcc>
  <rcc rId="31914" sId="8" odxf="1" dxf="1">
    <oc r="W304">
      <f>W48+W55+W61+W67++W87+W93+W99+W105+W111+W123+W129+W135+W168+W193+W205+W211+W217+W223+W229+W243+W249+W261+W267+W281+W147+W287+W74+W34</f>
    </oc>
    <nc r="W304">
      <f>W42+W81+W117+W141+W162+W199+W237+W255+W267+W275</f>
    </nc>
    <odxf>
      <fill>
        <patternFill>
          <bgColor theme="9" tint="0.79998168889431442"/>
        </patternFill>
      </fill>
    </odxf>
    <ndxf>
      <fill>
        <patternFill>
          <bgColor rgb="FFFFFF00"/>
        </patternFill>
      </fill>
    </ndxf>
  </rcc>
  <rcc rId="31915" sId="8" odxf="1" dxf="1">
    <oc r="X304">
      <f>X48+X55+X61+X67++X87+X93+X99+X105+X111+X123+X129+X135+X168+X193+X205+X211+X217+X223+X229+X243+X249+X261+X267+X281+X147+X287+X74+X27</f>
    </oc>
    <nc r="X304">
      <f>X42+X81+X117+X141+X162+X199+X237+X255+X267+X275</f>
    </nc>
    <odxf>
      <fill>
        <patternFill>
          <bgColor theme="9" tint="0.79998168889431442"/>
        </patternFill>
      </fill>
    </odxf>
    <ndxf>
      <fill>
        <patternFill>
          <bgColor rgb="FFFFFF00"/>
        </patternFill>
      </fill>
    </ndxf>
  </rcc>
  <rcc rId="31916" sId="8" odxf="1" dxf="1">
    <oc r="Y304">
      <f>Y48+Y55+Y61+Y67++Y87+Y93+Y99+Y105+Y111+Y123+Y129+Y135+Y168+Y193+Y205+Y211+Y217+Y223+Y229+Y243+Y249+Y261+Y267+Y281+Y147+Y287+Y74+Y27</f>
    </oc>
    <nc r="Y304">
      <f>Y42+Y81+Y117+Y141+Y162+Y199+Y237+Y255+Y267+Y275</f>
    </nc>
    <odxf>
      <fill>
        <patternFill>
          <bgColor theme="9" tint="0.79998168889431442"/>
        </patternFill>
      </fill>
    </odxf>
    <ndxf>
      <fill>
        <patternFill>
          <bgColor rgb="FFFFFF00"/>
        </patternFill>
      </fill>
    </ndxf>
  </rcc>
  <rcc rId="31917" sId="8" odxf="1" dxf="1">
    <oc r="Z304">
      <f>Z48+Z55+Z61+Z67++Z87+Z93+Z99+Z105+Z111+Z123+Z129+Z135+Z168+Z193+Z205+Z211+Z217+Z223+Z229+Z243+Z249+Z261+Z267+Z281+Z147+Z287+Z74</f>
    </oc>
    <nc r="Z304">
      <f>Z42+Z81+Z117+Z141+Z162+Z199+Z237+Z255+Z267+Z275</f>
    </nc>
    <odxf>
      <fill>
        <patternFill>
          <bgColor theme="9" tint="0.79998168889431442"/>
        </patternFill>
      </fill>
    </odxf>
    <ndxf>
      <fill>
        <patternFill>
          <bgColor rgb="FFFFFF00"/>
        </patternFill>
      </fill>
    </ndxf>
  </rcc>
  <rcc rId="31918" sId="8" odxf="1" dxf="1">
    <oc r="AA304">
      <f>AA48+AA55+AA61+AA67++AA87+AA93+AA99+AA105+AA111+AA123+AA129+AA135+AA168+AA193+AA205+AA211+AA217+AA223+AA229+AA243+AA249+AA261+AA267+AA281+AA147+AA287+AA74</f>
    </oc>
    <nc r="AA304">
      <f>AA42+AA81+AA117+AA141+AA162+AA199+AA237+AA255+AA267+AA275</f>
    </nc>
    <odxf>
      <fill>
        <patternFill>
          <bgColor theme="9" tint="0.79998168889431442"/>
        </patternFill>
      </fill>
    </odxf>
    <ndxf>
      <fill>
        <patternFill>
          <bgColor rgb="FFFFFF00"/>
        </patternFill>
      </fill>
    </ndxf>
  </rcc>
  <rcc rId="31919" sId="8" odxf="1" dxf="1">
    <oc r="AB304">
      <f>AB48+AB55+AB61+AB67++AB87+AB93+AB99+AB105+AB111+AB123+AB129+AB135+AB168+AB193+AB205+AB211+AB217+AB223+AB229+AB243+AB249+AB261+AB267+AB281+AB147+AB287+AB74</f>
    </oc>
    <nc r="AB304">
      <f>AB42+AB81+AB117+AB141+AB162+AB199+AB237+AB255+AB267+AB275</f>
    </nc>
    <odxf>
      <fill>
        <patternFill>
          <bgColor theme="9" tint="0.79998168889431442"/>
        </patternFill>
      </fill>
    </odxf>
    <ndxf>
      <fill>
        <patternFill>
          <bgColor rgb="FFFFFF00"/>
        </patternFill>
      </fill>
    </ndxf>
  </rcc>
  <rcc rId="31920" sId="8" odxf="1" dxf="1">
    <oc r="AC304">
      <f>AC48+AC55+AC61+AC67++AC87+AC93+AC99+AC105+AC111+AC123+AC129+AC135+AC168+AC193+AC205+AC211+AC217+AC223+AC229+AC243+AC249+AC261+AC267+AC281+AC147+AC287+AC74</f>
    </oc>
    <nc r="AC304">
      <f>AC42+AC81+AC117+AC141+AC162+AC199+AC237+AC255+AC267+AC275</f>
    </nc>
    <odxf>
      <fill>
        <patternFill>
          <bgColor theme="9" tint="0.79998168889431442"/>
        </patternFill>
      </fill>
    </odxf>
    <ndxf>
      <fill>
        <patternFill>
          <bgColor rgb="FFFFFF00"/>
        </patternFill>
      </fill>
    </ndxf>
  </rcc>
  <rcc rId="31921" sId="8" odxf="1" dxf="1">
    <oc r="AD304">
      <f>AD48+AD55+AD61+AD67++AD87+AD93+AD99+AD105+AD111+AD123+AD129+AD135+AD168+AD193+AD205+AD211+AD217+AD223+AD229+AD243+AD249+AD261+AD267+AD281+AD147+AD287+AD74</f>
    </oc>
    <nc r="AD304">
      <f>AD42+AD81+AD117+AD141+AD162+AD199+AD237+AD255+AD267+AD275</f>
    </nc>
    <odxf>
      <fill>
        <patternFill>
          <bgColor theme="9" tint="0.79998168889431442"/>
        </patternFill>
      </fill>
    </odxf>
    <ndxf>
      <fill>
        <patternFill>
          <bgColor rgb="FFFFFF00"/>
        </patternFill>
      </fill>
    </ndxf>
  </rcc>
  <rcc rId="31922" sId="8" odxf="1" dxf="1">
    <oc r="AE304">
      <f>AE48+AE55+AE61+AE67++AE87+AE93+AE99+AE105+AE111+AE123+AE129+AE135+AE168+AE193+AE205+AE211+AE217+AE223+AE229+AE243+AE249+AE261+AE267+AE281+AE147+AE287+AE74</f>
    </oc>
    <nc r="AE304">
      <f>AE42+AE81+AE117+AE141+AE162+AE199+AE237+AE255+AE267+AE275</f>
    </nc>
    <odxf>
      <fill>
        <patternFill>
          <bgColor theme="9" tint="0.79998168889431442"/>
        </patternFill>
      </fill>
    </odxf>
    <ndxf>
      <fill>
        <patternFill>
          <bgColor rgb="FFFFFF00"/>
        </patternFill>
      </fill>
    </ndxf>
  </rcc>
  <rcc rId="31923" sId="8">
    <oc r="B305">
      <f>J305+L305+N305+P305+R305+T305+V305+X305+Z305+AB305+AD305+H305</f>
    </oc>
    <nc r="B305">
      <f>B43+B82+B118+B142+B163+B200+B238+B256+B268+B276</f>
    </nc>
  </rcc>
  <rcc rId="31924" sId="8">
    <oc r="C305">
      <f>H305+J305+L305+N305+P305+R305+T305+V305+X305+Z305+AB305+AD305</f>
    </oc>
    <nc r="C305">
      <f>C43+C82+C118+C142+C163+C200+C238+C256+C268+C276</f>
    </nc>
  </rcc>
  <rcc rId="31925" sId="8" numFmtId="4">
    <oc r="D305">
      <v>6514</v>
    </oc>
    <nc r="D305">
      <f>D43+D82+D118+D142+D163+D200+D238+D256+D268+D276</f>
    </nc>
  </rcc>
  <rcc rId="31926" sId="8">
    <oc r="E305">
      <f>SUM(I305,K305,M305,O305,Q305,S305,U305,W305,Y305,AA305,AC305,AE305)</f>
    </oc>
    <nc r="E305">
      <f>E43+E82+E118+E142+E163+E200+E238+E256+E268+E276</f>
    </nc>
  </rcc>
  <rfmt sheetId="8" sqref="B305:E305">
    <dxf>
      <fill>
        <patternFill>
          <bgColor rgb="FFFFFF00"/>
        </patternFill>
      </fill>
    </dxf>
  </rfmt>
  <rcc rId="31927" sId="8" odxf="1" dxf="1">
    <oc r="H305">
      <f>H49+H56+H62+H68++H88+H94+H100+H106+H112+H124+H130+H136+H169+H194+H206+H212+H218+H224+H230+H244+H250+H262+H268+H282+H148+H288+H75</f>
    </oc>
    <nc r="H305">
      <f>H43+H82+H118+H142+H163+H200+H238+H256+H268+H276</f>
    </nc>
    <odxf>
      <fill>
        <patternFill>
          <bgColor theme="9" tint="0.79998168889431442"/>
        </patternFill>
      </fill>
    </odxf>
    <ndxf>
      <fill>
        <patternFill>
          <bgColor rgb="FFFFFF00"/>
        </patternFill>
      </fill>
    </ndxf>
  </rcc>
  <rcc rId="31928" sId="8">
    <oc r="G305">
      <f>IFERROR(E305/C305*100,0)</f>
    </oc>
    <nc r="G305">
      <f>IFERROR(E305/C305*100,0)</f>
    </nc>
  </rcc>
  <rcc rId="31929" sId="8" odxf="1" dxf="1">
    <oc r="I305">
      <f>I49+I56+I62+I68++I88+I94+I100+I106+I112+I124+I130+I136+I169+I194+I206+I212+I218+I224+I230+I244+I250+I262+I268+I282+I148+I288+I75</f>
    </oc>
    <nc r="I305">
      <f>I43+I82+I118+I142+I163+I200+I238+I256+I268+I276</f>
    </nc>
    <odxf>
      <fill>
        <patternFill>
          <bgColor theme="9" tint="0.79998168889431442"/>
        </patternFill>
      </fill>
    </odxf>
    <ndxf>
      <fill>
        <patternFill>
          <bgColor rgb="FFFFFF00"/>
        </patternFill>
      </fill>
    </ndxf>
  </rcc>
  <rcc rId="31930" sId="8" odxf="1" dxf="1">
    <oc r="J305">
      <f>J49+J56+J62+J68++J88+J94+J100+J106+J112+J124+J130+J136+J169+J194+J206+J212+J218+J224+J230+J244+J250+J262+J268+J282+J148+J288+J75</f>
    </oc>
    <nc r="J305">
      <f>J43+J82+J118+J142+J163+J200+J238+J256+J268+J276</f>
    </nc>
    <odxf>
      <fill>
        <patternFill>
          <bgColor theme="9" tint="0.79998168889431442"/>
        </patternFill>
      </fill>
    </odxf>
    <ndxf>
      <fill>
        <patternFill>
          <bgColor rgb="FFFFFF00"/>
        </patternFill>
      </fill>
    </ndxf>
  </rcc>
  <rcc rId="31931" sId="8" odxf="1" dxf="1">
    <oc r="K305">
      <f>K49+K56+K62+K68++K88+K94+K100+K106+K112+K124+K130+K136+K169+K194+K206+K212+K218+K224+K230+K244+K250+K262+K268+K282+K148+K288+K75</f>
    </oc>
    <nc r="K305">
      <f>K43+K82+K118+K142+K163+K200+K238+K256+K268+K276</f>
    </nc>
    <odxf>
      <fill>
        <patternFill>
          <bgColor theme="9" tint="0.79998168889431442"/>
        </patternFill>
      </fill>
    </odxf>
    <ndxf>
      <fill>
        <patternFill>
          <bgColor rgb="FFFFFF00"/>
        </patternFill>
      </fill>
    </ndxf>
  </rcc>
  <rcc rId="31932" sId="8" odxf="1" dxf="1">
    <oc r="L305">
      <f>L49+L56+L62+L68++L88+L94+L100+L106+L112+L124+L130+L136+L169+L194+L206+L212+L218+L224+L230+L244+L250+L262+L268+L282+L148+L288+L75</f>
    </oc>
    <nc r="L305">
      <f>L43+L82+L118+L142+L163+L200+L238+L256+L268+L276</f>
    </nc>
    <odxf>
      <fill>
        <patternFill>
          <bgColor theme="9" tint="0.79998168889431442"/>
        </patternFill>
      </fill>
    </odxf>
    <ndxf>
      <fill>
        <patternFill>
          <bgColor rgb="FFFFFF00"/>
        </patternFill>
      </fill>
    </ndxf>
  </rcc>
  <rcc rId="31933" sId="8" odxf="1" dxf="1">
    <oc r="M305">
      <f>M49+M56+M62+M68++M88+M94+M100+M106+M112+M124+M130+M136+M169+M194+M206+M212+M218+M224+M230+M244+M250+M262+M268+M282+M148+M288+M75</f>
    </oc>
    <nc r="M305">
      <f>M43+M82+M118+M142+M163+M200+M238+M256+M268+M276</f>
    </nc>
    <odxf>
      <fill>
        <patternFill>
          <bgColor theme="9" tint="0.79998168889431442"/>
        </patternFill>
      </fill>
    </odxf>
    <ndxf>
      <fill>
        <patternFill>
          <bgColor rgb="FFFFFF00"/>
        </patternFill>
      </fill>
    </ndxf>
  </rcc>
  <rcc rId="31934" sId="8" odxf="1" dxf="1">
    <oc r="N305">
      <f>N49+N56+N62+N68++N88+N94+N100+N106+N112+N124+N130+N136+N169+N194+N206+N212+N218+N224+N230+N244+N250+N262+N268+N282+N148+N288+N75</f>
    </oc>
    <nc r="N305">
      <f>N43+N82+N118+N142+N163+N200+N238+N256+N268+N276</f>
    </nc>
    <odxf>
      <fill>
        <patternFill>
          <bgColor theme="9" tint="0.79998168889431442"/>
        </patternFill>
      </fill>
    </odxf>
    <ndxf>
      <fill>
        <patternFill>
          <bgColor rgb="FFFFFF00"/>
        </patternFill>
      </fill>
    </ndxf>
  </rcc>
  <rcc rId="31935" sId="8" odxf="1" dxf="1">
    <oc r="O305">
      <f>O49+O56+O62+O68++O88+O94+O100+O106+O112+O124+O130+O136+O169+O194+O206+O212+O218+O224+O230+O244+O250+O262+O268+O282+O148+O288+O75</f>
    </oc>
    <nc r="O305">
      <f>O43+O82+O118+O142+O163+O200+O238+O256+O268+O276</f>
    </nc>
    <odxf>
      <fill>
        <patternFill>
          <bgColor theme="9" tint="0.79998168889431442"/>
        </patternFill>
      </fill>
    </odxf>
    <ndxf>
      <fill>
        <patternFill>
          <bgColor rgb="FFFFFF00"/>
        </patternFill>
      </fill>
    </ndxf>
  </rcc>
  <rcc rId="31936" sId="8" odxf="1" dxf="1">
    <oc r="P305">
      <f>P49+P56+P62+P68++P88+P94+P100+P106+P112+P124+P130+P136+P169+P194+P206+P212+P218+P224+P230+P244+P250+P262+P268+P282+P148+P288+P75</f>
    </oc>
    <nc r="P305">
      <f>P43+P82+P118+P142+P163+P200+P238+P256+P268+P276</f>
    </nc>
    <odxf>
      <fill>
        <patternFill>
          <bgColor theme="9" tint="0.79998168889431442"/>
        </patternFill>
      </fill>
    </odxf>
    <ndxf>
      <fill>
        <patternFill>
          <bgColor rgb="FFFFFF00"/>
        </patternFill>
      </fill>
    </ndxf>
  </rcc>
  <rcc rId="31937" sId="8" odxf="1" dxf="1">
    <oc r="Q305">
      <f>Q49+Q56+Q62+Q68++Q88+Q94+Q100+Q106+Q112+Q124+Q130+Q136+Q169+Q194+Q206+Q212+Q218+Q224+Q230+Q244+Q250+Q262+Q268+Q282+Q148+Q288+Q75</f>
    </oc>
    <nc r="Q305">
      <f>Q43+Q82+Q118+Q142+Q163+Q200+Q238+Q256+Q268+Q276</f>
    </nc>
    <odxf>
      <fill>
        <patternFill>
          <bgColor theme="9" tint="0.79998168889431442"/>
        </patternFill>
      </fill>
    </odxf>
    <ndxf>
      <fill>
        <patternFill>
          <bgColor rgb="FFFFFF00"/>
        </patternFill>
      </fill>
    </ndxf>
  </rcc>
  <rcc rId="31938" sId="8" odxf="1" dxf="1">
    <oc r="R305">
      <f>R49+R56+R62+R68++R88+R94+R100+R106+R112+R124+R130+R136+R169+R194+R206+R212+R218+R224+R230+R244+R250+R262+R268+R282+R148+R288+R75</f>
    </oc>
    <nc r="R305">
      <f>R43+R82+R118+R142+R163+R200+R238+R256+R268+R276</f>
    </nc>
    <odxf>
      <fill>
        <patternFill>
          <bgColor theme="9" tint="0.79998168889431442"/>
        </patternFill>
      </fill>
    </odxf>
    <ndxf>
      <fill>
        <patternFill>
          <bgColor rgb="FFFFFF00"/>
        </patternFill>
      </fill>
    </ndxf>
  </rcc>
  <rcc rId="31939" sId="8" odxf="1" dxf="1">
    <oc r="S305">
      <f>S49+S56+S62+S68++S88+S94+S100+S106+S112+S124+S130+S136+S169+S194+S206+S212+S218+S224+S230+S244+S250+S262+S268+S282+S148+S288+S75</f>
    </oc>
    <nc r="S305">
      <f>S43+S82+S118+S142+S163+S200+S238+S256+S268+S276</f>
    </nc>
    <odxf>
      <fill>
        <patternFill>
          <bgColor theme="9" tint="0.79998168889431442"/>
        </patternFill>
      </fill>
    </odxf>
    <ndxf>
      <fill>
        <patternFill>
          <bgColor rgb="FFFFFF00"/>
        </patternFill>
      </fill>
    </ndxf>
  </rcc>
  <rcc rId="31940" sId="8" odxf="1" dxf="1">
    <oc r="T305">
      <f>T49+T56+T62+T68++T88+T94+T100+T106+T112+T124+T130+T136+T169+T194+T206+T212+T218+T224+T230+T244+T250+T262+T268+T282+T148+T288+T75</f>
    </oc>
    <nc r="T305">
      <f>T43+T82+T118+T142+T163+T200+T238+T256+T268+T276</f>
    </nc>
    <odxf>
      <fill>
        <patternFill>
          <bgColor theme="9" tint="0.79998168889431442"/>
        </patternFill>
      </fill>
    </odxf>
    <ndxf>
      <fill>
        <patternFill>
          <bgColor rgb="FFFFFF00"/>
        </patternFill>
      </fill>
    </ndxf>
  </rcc>
  <rcc rId="31941" sId="8" odxf="1" dxf="1">
    <oc r="U305">
      <f>U49+U56+U62+U68++U88+U94+U100+U106+U112+U124+U130+U136+U169+U194+U206+U212+U218+U224+U230+U244+U250+U262+U268+U282+U148+U288+U75</f>
    </oc>
    <nc r="U305">
      <f>U43+U82+U118+U142+U163+U200+U238+U256+U268+U276</f>
    </nc>
    <odxf>
      <fill>
        <patternFill>
          <bgColor theme="9" tint="0.79998168889431442"/>
        </patternFill>
      </fill>
    </odxf>
    <ndxf>
      <fill>
        <patternFill>
          <bgColor rgb="FFFFFF00"/>
        </patternFill>
      </fill>
    </ndxf>
  </rcc>
  <rcc rId="31942" sId="8" odxf="1" dxf="1">
    <oc r="V305">
      <f>V49+V56+V62+V68++V88+V94+V100+V106+V112+V124+V130+V136+V169+V194+V206+V212+V218+V224+V230+V244+V250+V262+V268+V282+V148+V288+V75</f>
    </oc>
    <nc r="V305">
      <f>V43+V82+V118+V142+V163+V200+V238+V256+V268+V276</f>
    </nc>
    <odxf>
      <fill>
        <patternFill>
          <bgColor theme="9" tint="0.79998168889431442"/>
        </patternFill>
      </fill>
    </odxf>
    <ndxf>
      <fill>
        <patternFill>
          <bgColor rgb="FFFFFF00"/>
        </patternFill>
      </fill>
    </ndxf>
  </rcc>
  <rcc rId="31943" sId="8" odxf="1" dxf="1">
    <oc r="W305">
      <f>W49+W56+W62+W68++W88+W94+W100+W106+W112+W124+W130+W136+W169+W194+W206+W212+W218+W224+W230+W244+W250+W262+W268+W282+W148+W288+W75</f>
    </oc>
    <nc r="W305">
      <f>W43+W82+W118+W142+W163+W200+W238+W256+W268+W276</f>
    </nc>
    <odxf>
      <fill>
        <patternFill>
          <bgColor theme="9" tint="0.79998168889431442"/>
        </patternFill>
      </fill>
    </odxf>
    <ndxf>
      <fill>
        <patternFill>
          <bgColor rgb="FFFFFF00"/>
        </patternFill>
      </fill>
    </ndxf>
  </rcc>
  <rcc rId="31944" sId="8" odxf="1" dxf="1">
    <oc r="X305">
      <f>X49+X56+X62+X68++X88+X94+X100+X106+X112+X124+X130+X136+X169+X194+X206+X212+X218+X224+X230+X244+X250+X262+X268+X282+X148+X288+X75</f>
    </oc>
    <nc r="X305">
      <f>X43+X82+X118+X142+X163+X200+X238+X256+X268+X276</f>
    </nc>
    <odxf>
      <fill>
        <patternFill>
          <bgColor theme="9" tint="0.79998168889431442"/>
        </patternFill>
      </fill>
    </odxf>
    <ndxf>
      <fill>
        <patternFill>
          <bgColor rgb="FFFFFF00"/>
        </patternFill>
      </fill>
    </ndxf>
  </rcc>
  <rcc rId="31945" sId="8" odxf="1" dxf="1">
    <oc r="Y305">
      <f>Y49+Y56+Y62+Y68++Y88+Y94+Y100+Y106+Y112+Y124+Y130+Y136+Y169+Y194+Y206+Y212+Y218+Y224+Y230+Y244+Y250+Y262+Y268+Y282+Y148+Y288+Y75</f>
    </oc>
    <nc r="Y305">
      <f>Y43+Y82+Y118+Y142+Y163+Y200+Y238+Y256+Y268+Y276</f>
    </nc>
    <odxf>
      <fill>
        <patternFill>
          <bgColor theme="9" tint="0.79998168889431442"/>
        </patternFill>
      </fill>
    </odxf>
    <ndxf>
      <fill>
        <patternFill>
          <bgColor rgb="FFFFFF00"/>
        </patternFill>
      </fill>
    </ndxf>
  </rcc>
  <rcc rId="31946" sId="8" odxf="1" dxf="1">
    <oc r="Z305">
      <f>Z49+Z56+Z62+Z68++Z88+Z94+Z100+Z106+Z112+Z124+Z130+Z136+Z169+Z194+Z206+Z212+Z218+Z224+Z230+Z244+Z250+Z262+Z268+Z282+Z148+Z288+Z75</f>
    </oc>
    <nc r="Z305">
      <f>Z43+Z82+Z118+Z142+Z163+Z200+Z238+Z256+Z268+Z276</f>
    </nc>
    <odxf>
      <fill>
        <patternFill>
          <bgColor theme="9" tint="0.79998168889431442"/>
        </patternFill>
      </fill>
    </odxf>
    <ndxf>
      <fill>
        <patternFill>
          <bgColor rgb="FFFFFF00"/>
        </patternFill>
      </fill>
    </ndxf>
  </rcc>
  <rcc rId="31947" sId="8" odxf="1" dxf="1">
    <oc r="AA305">
      <f>AA49+AA56+AA62+AA68++AA88+AA94+AA100+AA106+AA112+AA124+AA130+AA136+AA169+AA194+AA206+AA212+AA218+AA224+AA230+AA244+AA250+AA262+AA268+AA282+AA148+AA288+AA75</f>
    </oc>
    <nc r="AA305">
      <f>AA43+AA82+AA118+AA142+AA163+AA200+AA238+AA256+AA268+AA276</f>
    </nc>
    <odxf>
      <fill>
        <patternFill>
          <bgColor theme="9" tint="0.79998168889431442"/>
        </patternFill>
      </fill>
    </odxf>
    <ndxf>
      <fill>
        <patternFill>
          <bgColor rgb="FFFFFF00"/>
        </patternFill>
      </fill>
    </ndxf>
  </rcc>
  <rcc rId="31948" sId="8" odxf="1" dxf="1">
    <oc r="AB305">
      <f>AB49+AB56+AB62+AB68++AB88+AB94+AB100+AB106+AB112+AB124+AB130+AB136+AB169+AB194+AB206+AB212+AB218+AB224+AB230+AB244+AB250+AB262+AB268+AB282+AB148+AB288+AB75</f>
    </oc>
    <nc r="AB305">
      <f>AB43+AB82+AB118+AB142+AB163+AB200+AB238+AB256+AB268+AB276</f>
    </nc>
    <odxf>
      <fill>
        <patternFill>
          <bgColor theme="9" tint="0.79998168889431442"/>
        </patternFill>
      </fill>
    </odxf>
    <ndxf>
      <fill>
        <patternFill>
          <bgColor rgb="FFFFFF00"/>
        </patternFill>
      </fill>
    </ndxf>
  </rcc>
  <rcc rId="31949" sId="8" odxf="1" dxf="1">
    <oc r="AC305">
      <f>AC49+AC56+AC62+AC68++AC88+AC94+AC100+AC106+AC112+AC124+AC130+AC136+AC169+AC194+AC206+AC212+AC218+AC224+AC230+AC244+AC250+AC262+AC268+AC282+AC148+AC288+AC75</f>
    </oc>
    <nc r="AC305">
      <f>AC43+AC82+AC118+AC142+AC163+AC200+AC238+AC256+AC268+AC276</f>
    </nc>
    <odxf>
      <fill>
        <patternFill>
          <bgColor theme="9" tint="0.79998168889431442"/>
        </patternFill>
      </fill>
    </odxf>
    <ndxf>
      <fill>
        <patternFill>
          <bgColor rgb="FFFFFF00"/>
        </patternFill>
      </fill>
    </ndxf>
  </rcc>
  <rcc rId="31950" sId="8" odxf="1" dxf="1">
    <oc r="AD305">
      <f>AD49+AD56+AD62+AD68++AD88+AD94+AD100+AD106+AD112+AD124+AD130+AD136+AD169+AD194+AD206+AD212+AD218+AD224+AD230+AD244+AD250+AD262+AD268+AD282+AD148+AD288+AD75</f>
    </oc>
    <nc r="AD305">
      <f>AD43+AD82+AD118+AD142+AD163+AD200+AD238+AD256+AD268+AD276</f>
    </nc>
    <odxf>
      <fill>
        <patternFill>
          <bgColor theme="9" tint="0.79998168889431442"/>
        </patternFill>
      </fill>
    </odxf>
    <ndxf>
      <fill>
        <patternFill>
          <bgColor rgb="FFFFFF00"/>
        </patternFill>
      </fill>
    </ndxf>
  </rcc>
  <rcc rId="31951" sId="8" odxf="1" dxf="1">
    <oc r="AE305">
      <f>AE49+AE56+AE62+AE68++AE88+AE94+AE100+AE106+AE112+AE124+AE130+AE136+AE169+AE194+AE206+AE212+AE218+AE224+AE230+AE244+AE250+AE262+AE268+AE282+AE148+AE288+AE75</f>
    </oc>
    <nc r="AE305">
      <f>AE43+AE82+AE118+AE142+AE163+AE200+AE238+AE256+AE268+AE276</f>
    </nc>
    <odxf>
      <fill>
        <patternFill>
          <bgColor theme="9" tint="0.79998168889431442"/>
        </patternFill>
      </fill>
    </odxf>
    <ndxf>
      <fill>
        <patternFill>
          <bgColor rgb="FFFFFF00"/>
        </patternFill>
      </fill>
    </ndxf>
  </rcc>
  <rcc rId="31952" sId="8" odxf="1" dxf="1">
    <oc r="C302">
      <f>H302+J302+L302+N302+P302+R302+T302+V302+X302+Z302+AB302+AD302</f>
    </oc>
    <nc r="C302">
      <f>C40+C79+C115+C139+C160+C197+C235+C253+C265+C273</f>
    </nc>
    <odxf>
      <fill>
        <patternFill>
          <bgColor rgb="FFFF0000"/>
        </patternFill>
      </fill>
    </odxf>
    <ndxf>
      <fill>
        <patternFill>
          <bgColor theme="9" tint="0.79998168889431442"/>
        </patternFill>
      </fill>
    </ndxf>
  </rcc>
  <rcc rId="31953" sId="8" odxf="1" dxf="1">
    <oc r="D302">
      <f>D46+D53+D59+D65++D85+D91+D97+D103+D109+D121+D127+D133+D166+D191+D203+D209+D215+D221+D227+D241+D247+D259+D265+D279+D145+D285+D72</f>
    </oc>
    <nc r="D302">
      <f>D40+D79+D115+D139+D160+D197+D235+D253+D265+D273</f>
    </nc>
    <odxf>
      <fill>
        <patternFill>
          <bgColor rgb="FFFF0000"/>
        </patternFill>
      </fill>
    </odxf>
    <ndxf>
      <fill>
        <patternFill>
          <bgColor theme="9" tint="0.79998168889431442"/>
        </patternFill>
      </fill>
    </ndxf>
  </rcc>
  <rcc rId="31954" sId="8" odxf="1" dxf="1">
    <oc r="E302">
      <f>SUM(I302,K302,M302,O302,Q302,S302,U302,W302,Y302,AA302,AC302,AE302)</f>
    </oc>
    <nc r="E302">
      <f>E40+E79+E115+E139+E160+E197+E235+E253+E265+E273</f>
    </nc>
    <odxf>
      <fill>
        <patternFill>
          <bgColor rgb="FFFF0000"/>
        </patternFill>
      </fill>
    </odxf>
    <ndxf>
      <fill>
        <patternFill>
          <bgColor theme="9" tint="0.79998168889431442"/>
        </patternFill>
      </fill>
    </ndxf>
  </rcc>
  <rcc rId="31955" sId="8">
    <oc r="H302">
      <f>H46+H53+H59+H65++H85+H91+H97+H103+H109+H121+H127+H133+H166+H191+H203+H209+H215+H221+H227+H241+H247+H259+H265+H279+H145+H285+H72</f>
    </oc>
    <nc r="H302">
      <f>H40+H79+H115+H139+H160+H197+H235+H253+H265+H273</f>
    </nc>
  </rcc>
  <rcc rId="31956" sId="8">
    <oc r="I302">
      <f>I46+I53+I59+I65++I85+I91+I97+I103+I109+I121+I127+I133+I166+I191+I203+I209+I215+I221+I227+I241+I247+I259+I265+I279+I145+I285+I72</f>
    </oc>
    <nc r="I302">
      <f>I40+I79+I115+I139+I160+I197+I235+I253+I265+I273</f>
    </nc>
  </rcc>
  <rcc rId="31957" sId="8">
    <oc r="J302">
      <f>J46+J53+J59+J65++J85+J91+J97+J103+J109+J121+J127+J133+J166+J191+J203+J209+J215+J221+J227+J241+J247+J259+J265+J279+J145+J285+J72</f>
    </oc>
    <nc r="J302">
      <f>J40+J79+J115+J139+J160+J197+J235+J253+J265+J273</f>
    </nc>
  </rcc>
  <rcc rId="31958" sId="8">
    <oc r="K302">
      <f>K46+K53+K59+K65++K85+K91+K97+K103+K109+K121+K127+K133+K166+K191+K203+K209+K215+K221+K227+K241+K247+K259+K265+K279+K145+K285+K72</f>
    </oc>
    <nc r="K302">
      <f>K40+K79+K115+K139+K160+K197+K235+K253+K265+K273</f>
    </nc>
  </rcc>
  <rcc rId="31959" sId="8">
    <oc r="L302">
      <f>L46+L53+L59+L65++L85+L91+L97+L103+L109+L121+L127+L133+L166+L191+L203+L209+L215+L221+L227+L241+L247+L259+L265+L279+L145+L285+L72</f>
    </oc>
    <nc r="L302">
      <f>L40+L79+L115+L139+L160+L197+L235+L253+L265+L273</f>
    </nc>
  </rcc>
  <rcc rId="31960" sId="8">
    <oc r="M302">
      <f>M46+M53+M59+M65++M85+M91+M97+M103+M109+M121+M127+M133+M166+M191+M203+M209+M215+M221+M227+M241+M247+M259+M265+M279+M145+M285+M72</f>
    </oc>
    <nc r="M302">
      <f>M40+M79+M115+M139+M160+M197+M235+M253+M265+M273</f>
    </nc>
  </rcc>
  <rcc rId="31961" sId="8">
    <oc r="N302">
      <f>N46+N53+N59+N65++N85+N91+N97+N103+N109+N121+N127+N133+N166+N191+N203+N209+N215+N221+N227+N241+N247+N259+N265+N279+N145+N285+N72</f>
    </oc>
    <nc r="N302">
      <f>N40+N79+N115+N139+N160+N197+N235+N253+N265+N273</f>
    </nc>
  </rcc>
  <rcc rId="31962" sId="8">
    <oc r="O302">
      <f>O46+O53+O59+O65++O85+O91+O97+O103+O109+O121+O127+O133+O166+O191+O203+O209+O215+O221+O227+O241+O247+O259+O265+O279+O145+O285+O72</f>
    </oc>
    <nc r="O302">
      <f>O40+O79+O115+O139+O160+O197+O235+O253+O265+O273</f>
    </nc>
  </rcc>
  <rcc rId="31963" sId="8">
    <oc r="P302">
      <f>P46+P53+P59+P65++P85+P91+P97+P103+P109+P121+P127+P133+P166+P191+P203+P209+P215+P221+P227+P241+P247+P259+P265+P279+P145+P285+P72</f>
    </oc>
    <nc r="P302">
      <f>P40+P79+P115+P139+P160+P197+P235+P253+P265+P273</f>
    </nc>
  </rcc>
  <rcc rId="31964" sId="8">
    <oc r="Q302">
      <f>Q46+Q53+Q59+Q65++Q85+Q91+Q97+Q103+Q109+Q121+Q127+Q133+Q166+Q191+Q203+Q209+Q215+Q221+Q227+Q241+Q247+Q259+Q265+Q279+Q145+Q285+Q72</f>
    </oc>
    <nc r="Q302">
      <f>Q40+Q79+Q115+Q139+Q160+Q197+Q235+Q253+Q265+Q273</f>
    </nc>
  </rcc>
  <rcc rId="31965" sId="8">
    <oc r="R302">
      <f>R46+R53+R59+R65++R85+R91+R97+R103+R109+R121+R127+R133+R166+R191+R203+R209+R215+R221+R227+R241+R247+R259+R265+R279+R145+R285+R72</f>
    </oc>
    <nc r="R302">
      <f>R40+R79+R115+R139+R160+R197+R235+R253+R265+R273</f>
    </nc>
  </rcc>
  <rcc rId="31966" sId="8">
    <oc r="S302">
      <f>S46+S53+S59+S65++S85+S91+S97+S103+S109+S121+S127+S133+S166+S191+S203+S209+S215+S221+S227+S241+S247+S259+S265+S279+S145+S285+S72</f>
    </oc>
    <nc r="S302">
      <f>S40+S79+S115+S139+S160+S197+S235+S253+S265+S273</f>
    </nc>
  </rcc>
  <rcc rId="31967" sId="8">
    <oc r="T302">
      <f>T46+T53+T59+T65++T85+T91+T97+T103+T109+T121+T127+T133+T166+T191+T203+T209+T215+T221+T227+T241+T247+T259+T265+T279+T145+T285+T72</f>
    </oc>
    <nc r="T302">
      <f>T40+T79+T115+T139+T160+T197+T235+T253+T265+T273</f>
    </nc>
  </rcc>
  <rcc rId="31968" sId="8">
    <oc r="U302">
      <f>U46+U53+U59+U65++U85+U91+U97+U103+U109+U121+U127+U133+U166+U191+U203+U209+U215+U221+U227+U241+U247+U259+U265+U279+U145+U285+U72</f>
    </oc>
    <nc r="U302">
      <f>U40+U79+U115+U139+U160+U197+U235+U253+U265+U273</f>
    </nc>
  </rcc>
  <rcc rId="31969" sId="8">
    <oc r="V302">
      <f>V46+V53+V59+V65++V85+V91+V97+V103+V109+V121+V127+V133+V166+V191+V203+V209+V215+V221+V227+V241+V247+V259+V265+V279+V145+V285+V72</f>
    </oc>
    <nc r="V302">
      <f>V40+V79+V115+V139+V160+V197+V235+V253+V265+V273</f>
    </nc>
  </rcc>
  <rcc rId="31970" sId="8">
    <oc r="W302">
      <f>W46+W53+W59+W65++W85+W91+W97+W103+W109+W121+W127+W133+W166+W191+W203+W209+W215+W221+W227+W241+W247+W259+W265+W279+W145+W285+W72</f>
    </oc>
    <nc r="W302">
      <f>W40+W79+W115+W139+W160+W197+W235+W253+W265+W273</f>
    </nc>
  </rcc>
  <rcc rId="31971" sId="8">
    <oc r="X302">
      <f>X46+X53+X59+X65++X85+X91+X97+X103+X109+X121+X127+X133+X166+X191+X203+X209+X215+X221+X227+X241+X247+X259+X265+X279+X145+X285+X72</f>
    </oc>
    <nc r="X302">
      <f>X40+X79+X115+X139+X160+X197+X235+X253+X265+X273</f>
    </nc>
  </rcc>
  <rcc rId="31972" sId="8">
    <oc r="Y302">
      <f>Y46+Y53+Y59+Y65++Y85+Y91+Y97+Y103+Y109+Y121+Y127+Y133+Y166+Y191+Y203+Y209+Y215+Y221+Y227+Y241+Y247+Y259+Y265+Y279+Y145+Y285+Y72</f>
    </oc>
    <nc r="Y302">
      <f>Y40+Y79+Y115+Y139+Y160+Y197+Y235+Y253+Y265+Y273</f>
    </nc>
  </rcc>
  <rcc rId="31973" sId="8">
    <oc r="Z302">
      <f>Z46+Z53+Z59+Z65++Z85+Z91+Z97+Z103+Z109+Z121+Z127+Z133+Z166+Z191+Z203+Z209+Z215+Z221+Z227+Z241+Z247+Z259+Z265+Z279+Z145+Z285+Z72</f>
    </oc>
    <nc r="Z302">
      <f>Z40+Z79+Z115+Z139+Z160+Z197+Z235+Z253+Z265+Z273</f>
    </nc>
  </rcc>
  <rcc rId="31974" sId="8">
    <oc r="AA302">
      <f>AA46+AA53+AA59+AA65++AA85+AA91+AA97+AA103+AA109+AA121+AA127+AA133+AA166+AA191+AA203+AA209+AA215+AA221+AA227+AA241+AA247+AA259+AA265+AA279+AA145+AA285+AA72</f>
    </oc>
    <nc r="AA302">
      <f>AA40+AA79+AA115+AA139+AA160+AA197+AA235+AA253+AA265+AA273</f>
    </nc>
  </rcc>
  <rcc rId="31975" sId="8">
    <oc r="AB302">
      <f>AB46+AB53+AB59+AB65++AB85+AB91+AB97+AB103+AB109+AB121+AB127+AB133+AB166+AB191+AB203+AB209+AB215+AB221+AB227+AB241+AB247+AB259+AB265+AB279+AB145+AB285+AB72</f>
    </oc>
    <nc r="AB302">
      <f>AB40+AB79+AB115+AB139+AB160+AB197+AB235+AB253+AB265+AB273</f>
    </nc>
  </rcc>
  <rcc rId="31976" sId="8">
    <oc r="AC302">
      <f>AC46+AC53+AC59+AC65++AC85+AC91+AC97+AC103+AC109+AC121+AC127+AC133+AC166+AC191+AC203+AC209+AC215+AC221+AC227+AC241+AC247+AC259+AC265+AC279+AC145+AC285+AC72</f>
    </oc>
    <nc r="AC302">
      <f>AC40+AC79+AC115+AC139+AC160+AC197+AC235+AC253+AC265+AC273</f>
    </nc>
  </rcc>
  <rcc rId="31977" sId="8">
    <oc r="AD302">
      <f>AD46+AD53+AD59+AD65++AD85+AD91+AD97+AD103+AD109+AD121+AD127+AD133+AD166+AD191+AD203+AD209+AD215+AD221+AD227+AD241+AD247+AD259+AD265+AD279+AD145+AD285+AD72</f>
    </oc>
    <nc r="AD302">
      <f>AD40+AD79+AD115+AD139+AD160+AD197+AD235+AD253+AD265+AD273</f>
    </nc>
  </rcc>
  <rcc rId="31978" sId="8">
    <oc r="AE302">
      <f>AE46+AE53+AE59+AE65++AE85+AE91+AE97+AE103+AE109+AE121+AE127+AE133+AE166+AE191+AE203+AE209+AE215+AE221+AE227+AE241+AE247+AE259+AE265+AE279+AE145+AE285+AE72</f>
    </oc>
    <nc r="AE302">
      <f>AE40+AE79+AE115+AE139+AE160+AE197+AE235+AE253+AE265+AE273</f>
    </nc>
  </rcc>
  <rcc rId="31979" sId="8">
    <oc r="V300">
      <f>V29+V36</f>
    </oc>
    <nc r="V300">
      <f>V29+V36</f>
    </nc>
  </rcc>
  <rcc rId="31980" sId="8">
    <oc r="AK297">
      <f>B297-E297</f>
    </oc>
    <nc r="AK297">
      <f>B297-E297</f>
    </nc>
  </rcc>
  <rcc rId="31981" sId="8">
    <oc r="C297">
      <f>C14+C20+C154</f>
    </oc>
    <nc r="C297">
      <f>C14+C20+C154+C26+C33</f>
    </nc>
  </rcc>
  <rcc rId="31982" sId="8">
    <oc r="D297">
      <f>D14+D20+D154</f>
    </oc>
    <nc r="D297">
      <f>D14+D20+D154+D26+D33</f>
    </nc>
  </rcc>
  <rcc rId="31983" sId="8">
    <oc r="E297">
      <f>E14+E20+E154</f>
    </oc>
    <nc r="E297">
      <f>E14+E20+E154+E26+E33</f>
    </nc>
  </rcc>
  <rcc rId="31984" sId="8">
    <oc r="H297">
      <f>H14+H20+H154</f>
    </oc>
    <nc r="H297">
      <f>H14+H20+H154+H26+H33</f>
    </nc>
  </rcc>
  <rcc rId="31985" sId="8">
    <oc r="I297">
      <f>I14+I20+I154</f>
    </oc>
    <nc r="I297">
      <f>I14+I20+I154+I26+I33</f>
    </nc>
  </rcc>
  <rcc rId="31986" sId="8">
    <oc r="J297">
      <f>J14+J20+J154</f>
    </oc>
    <nc r="J297">
      <f>J14+J20+J154+J26+J33</f>
    </nc>
  </rcc>
  <rcc rId="31987" sId="8">
    <oc r="K297">
      <f>K14+K20+K154</f>
    </oc>
    <nc r="K297">
      <f>K14+K20+K154+K26+K33</f>
    </nc>
  </rcc>
  <rcc rId="31988" sId="8">
    <oc r="L297">
      <f>L14+L20+L154</f>
    </oc>
    <nc r="L297">
      <f>L14+L20+L154+L26+L33</f>
    </nc>
  </rcc>
  <rcc rId="31989" sId="8">
    <oc r="M297">
      <f>M14+M20+M154</f>
    </oc>
    <nc r="M297">
      <f>M14+M20+M154+M26+M33</f>
    </nc>
  </rcc>
  <rcc rId="31990" sId="8">
    <oc r="N297">
      <f>N14+N20+N154</f>
    </oc>
    <nc r="N297">
      <f>N14+N20+N154+N26+N33</f>
    </nc>
  </rcc>
  <rcc rId="31991" sId="8">
    <oc r="O297">
      <f>O14+O20+O154</f>
    </oc>
    <nc r="O297">
      <f>O14+O20+O154+O26+O33</f>
    </nc>
  </rcc>
  <rcc rId="31992" sId="8">
    <oc r="P297">
      <f>P14+P20+P154</f>
    </oc>
    <nc r="P297">
      <f>P14+P20+P154+P26+P33</f>
    </nc>
  </rcc>
  <rcc rId="31993" sId="8">
    <oc r="Q297">
      <f>Q14+Q20+Q154</f>
    </oc>
    <nc r="Q297">
      <f>Q14+Q20+Q154+Q26+Q33</f>
    </nc>
  </rcc>
  <rcc rId="31994" sId="8">
    <oc r="R297">
      <f>R14+R20+R154</f>
    </oc>
    <nc r="R297">
      <f>R14+R20+R154+R26+R33</f>
    </nc>
  </rcc>
  <rcc rId="31995" sId="8">
    <oc r="S297">
      <f>S14+S20+S154</f>
    </oc>
    <nc r="S297">
      <f>S14+S20+S154+S26+S33</f>
    </nc>
  </rcc>
  <rcc rId="31996" sId="8">
    <oc r="T297">
      <f>T14+T20+T154</f>
    </oc>
    <nc r="T297">
      <f>T14+T20+T154+T26+T33</f>
    </nc>
  </rcc>
  <rcc rId="31997" sId="8">
    <oc r="U297">
      <f>U14+U20+U154</f>
    </oc>
    <nc r="U297">
      <f>U14+U20+U154+U26+U33</f>
    </nc>
  </rcc>
  <rcc rId="31998" sId="8">
    <oc r="V297">
      <f>V14+V20+V154</f>
    </oc>
    <nc r="V297">
      <f>V14+V20+V154+V26+V33</f>
    </nc>
  </rcc>
  <rcc rId="31999" sId="8">
    <oc r="W297">
      <f>W14+W20+W154</f>
    </oc>
    <nc r="W297">
      <f>W14+W20+W154+W26+W33</f>
    </nc>
  </rcc>
  <rcc rId="32000" sId="8">
    <oc r="X297">
      <f>X14+X20+X154</f>
    </oc>
    <nc r="X297">
      <f>X14+X20+X154+X26+X33</f>
    </nc>
  </rcc>
  <rcc rId="32001" sId="8">
    <oc r="Y297">
      <f>Y14+Y20+Y154</f>
    </oc>
    <nc r="Y297">
      <f>Y14+Y20+Y154+Y26+Y33</f>
    </nc>
  </rcc>
  <rcc rId="32002" sId="8">
    <oc r="Z297">
      <f>Z14+Z20+Z154</f>
    </oc>
    <nc r="Z297">
      <f>Z14+Z20+Z154+Z26+Z33</f>
    </nc>
  </rcc>
  <rcc rId="32003" sId="8">
    <oc r="AA297">
      <f>AA14+AA20+AA154</f>
    </oc>
    <nc r="AA297">
      <f>AA14+AA20+AA154+AA26+AA33</f>
    </nc>
  </rcc>
  <rcc rId="32004" sId="8">
    <oc r="AB297">
      <f>AB14+AB20+AB154</f>
    </oc>
    <nc r="AB297">
      <f>AB14+AB20+AB154+AB26+AB33</f>
    </nc>
  </rcc>
  <rcc rId="32005" sId="8">
    <oc r="AC297">
      <f>AC14+AC20+AC154</f>
    </oc>
    <nc r="AC297">
      <f>AC14+AC20+AC154+AC26+AC33</f>
    </nc>
  </rcc>
  <rcc rId="32006" sId="8">
    <oc r="AD297">
      <f>AD14+AD20+AD154</f>
    </oc>
    <nc r="AD297">
      <f>AD14+AD20+AD154+AD26+AD33</f>
    </nc>
  </rcc>
  <rcc rId="32007" sId="8">
    <oc r="AE297">
      <f>AE14+AE20+AE154</f>
    </oc>
    <nc r="AE297">
      <f>AE14+AE20+AE154+AE26+AE33</f>
    </nc>
  </rcc>
  <rcv guid="{533DC55B-6AD4-4674-9488-685EF2039F3E}" action="delete"/>
  <rdn rId="0" localSheetId="2" customView="1" name="Z_533DC55B_6AD4_4674_9488_685EF2039F3E_.wvu.Rows" hidden="1" oldHidden="1">
    <formula>'1.СЗН'!$70:$74</formula>
    <oldFormula>'1.СЗН'!$70:$74</oldFormula>
  </rdn>
  <rdn rId="0" localSheetId="2" customView="1" name="Z_533DC55B_6AD4_4674_9488_685EF2039F3E_.wvu.FilterData" hidden="1" oldHidden="1">
    <formula>'1.СЗН'!$A$1:$AF$64</formula>
    <oldFormula>'1.СЗН'!$A$1:$AF$64</oldFormula>
  </rdn>
  <rdn rId="0" localSheetId="3" customView="1" name="Z_533DC55B_6AD4_4674_9488_685EF2039F3E_.wvu.FilterData" hidden="1" oldHidden="1">
    <formula>'2.АПК'!$A$1:$AF$36</formula>
    <oldFormula>'2.АПК'!$A$1:$AF$36</oldFormula>
  </rdn>
  <rdn rId="0" localSheetId="4" customView="1" name="Z_533DC55B_6AD4_4674_9488_685EF2039F3E_.wvu.FilterData" hidden="1" oldHidden="1">
    <formula>'3.БЖД'!$A$1:$AF$17</formula>
    <oldFormula>'3.БЖД'!$A$1:$AF$17</oldFormula>
  </rdn>
  <rdn rId="0" localSheetId="5" customView="1" name="Z_533DC55B_6AD4_4674_9488_685EF2039F3E_.wvu.FilterData" hidden="1" oldHidden="1">
    <formula>'4.УМИ'!$A$1:$AF$11</formula>
    <oldFormula>'4.УМИ'!$A$1:$AF$11</oldFormula>
  </rdn>
  <rdn rId="0" localSheetId="6" customView="1" name="Z_533DC55B_6AD4_4674_9488_685EF2039F3E_.wvu.FilterData" hidden="1" oldHidden="1">
    <formula>'5.Проф. прав.'!$A$1:$AF$12</formula>
    <oldFormula>'5.Проф. прав.'!$A$1:$AF$12</oldFormula>
  </rdn>
  <rdn rId="0" localSheetId="7" customView="1" name="Z_533DC55B_6AD4_4674_9488_685EF2039F3E_.wvu.Rows" hidden="1" oldHidden="1">
    <formula>'6.Экстримизм'!$9:$23,'6.Экстримизм'!$30:$38,'6.Экстримизм'!$44:$49,'6.Экстримизм'!$65:$67,'6.Экстримизм'!$71:$76,'6.Экстримизм'!$86:$88,'6.Экстримизм'!$95:$97</formula>
    <oldFormula>'6.Экстримизм'!$9:$23,'6.Экстримизм'!$30:$38,'6.Экстримизм'!$44:$49,'6.Экстримизм'!$65:$67,'6.Экстримизм'!$71:$76,'6.Экстримизм'!$86:$88,'6.Экстримизм'!$95:$97</oldFormula>
  </rdn>
  <rdn rId="0" localSheetId="7" customView="1" name="Z_533DC55B_6AD4_4674_9488_685EF2039F3E_.wvu.FilterData" hidden="1" oldHidden="1">
    <formula>'6.Экстримизм'!$A$1:$AF$11</formula>
    <oldFormula>'6.Экстримизм'!$A$1:$AF$11</oldFormula>
  </rdn>
  <rdn rId="0" localSheetId="14" customView="1" name="Z_533DC55B_6AD4_4674_9488_685EF2039F3E_.wvu.FilterData" hidden="1" oldHidden="1">
    <formula>'11.МП РО'!$A$7:$AP$125</formula>
    <oldFormula>'11.МП РО'!$A$7:$AP$125</oldFormula>
  </rdn>
  <rdn rId="0" localSheetId="17" customView="1" name="Z_533DC55B_6AD4_4674_9488_685EF2039F3E_.wvu.Rows" hidden="1" oldHidden="1">
    <formula>'13.МП РЖС'!$122:$127</formula>
    <oldFormula>'13.МП РЖС'!$122:$127</oldFormula>
  </rdn>
  <rdn rId="0" localSheetId="17" customView="1" name="Z_533DC55B_6AD4_4674_9488_685EF2039F3E_.wvu.Cols" hidden="1" oldHidden="1">
    <formula>'13.МП РЖС'!$AG:$AG</formula>
    <oldFormula>'13.МП РЖС'!$AG:$AG</oldFormula>
  </rdn>
  <rcv guid="{533DC55B-6AD4-4674-9488-685EF2039F3E}"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772" sId="8">
    <oc r="C301">
      <f>C34+C41+C47+C53++C73+C79+C85+C91+C97+C109+C115+C121+C154+C179+C191+C197+C203+C209+C215+C229+C235+C247+C253+C267+C133+C273+C60</f>
    </oc>
    <nc r="C301">
      <f>C34+C41+C47+C53++C73+C79+C85+C91+C97+C109+C115+C121+C154+C179+C191+C197+C203+C209+C215+C229+C235+C247+C253+C267+C133+C273+C60+C279+C285</f>
    </nc>
  </rcc>
  <rcc rId="30773" sId="8" numFmtId="4">
    <oc r="K34">
      <v>197.2</v>
    </oc>
    <nc r="K34">
      <v>197.02</v>
    </nc>
  </rcc>
  <rcc rId="30774" sId="8" numFmtId="19">
    <oc r="C7">
      <v>45413</v>
    </oc>
    <nc r="C7">
      <v>45657</v>
    </nc>
  </rcc>
  <rcc rId="30775" sId="8">
    <oc r="C34">
      <f>SUM(H34+J34+L34+N34)</f>
    </oc>
    <nc r="C34">
      <f>H34+J34+L34+N34+P34+R34+T34+V34+X34+Z34+AB34+AD34</f>
    </nc>
  </rcc>
  <rcc rId="30776" sId="8">
    <oc r="C33">
      <f>SUM(H33)</f>
    </oc>
    <nc r="C33">
      <f>H33+J33+L33+N33+P33+R33+T33+V33+X33+Z33+AB33+AD33</f>
    </nc>
  </rcc>
  <rcc rId="30777" sId="8">
    <oc r="C32">
      <f>SUM(H32)</f>
    </oc>
    <nc r="C32">
      <f>H32+J32+L32+N32+P32+R32+T32+V32+X32+Z32+AB32+AD32</f>
    </nc>
  </rcc>
  <rcc rId="30778" sId="8" numFmtId="4">
    <oc r="D34">
      <f>E34</f>
    </oc>
    <nc r="D34">
      <v>748.75800000000004</v>
    </nc>
  </rcc>
  <rfmt sheetId="8" sqref="D34" start="0" length="2147483647">
    <dxf>
      <font>
        <color auto="1"/>
      </font>
    </dxf>
  </rfmt>
  <rcmt sheetId="8" cell="D34" guid="{00000000-0000-0000-0000-000000000000}" action="delete" author="Степаненко Наталья Алексеевна"/>
  <rcc rId="30779" sId="8" numFmtId="4">
    <oc r="S34">
      <v>298.8</v>
    </oc>
    <nc r="S34">
      <v>298.76</v>
    </nc>
  </rcc>
  <rcc rId="30780" sId="8" numFmtId="19">
    <oc r="D7">
      <v>45536</v>
    </oc>
    <nc r="D7">
      <v>45657</v>
    </nc>
  </rcc>
  <rcc rId="30781" sId="8" numFmtId="19">
    <oc r="E7">
      <v>45536</v>
    </oc>
    <nc r="E7">
      <v>45657</v>
    </nc>
  </rcc>
  <rfmt sheetId="8" sqref="C7:E7">
    <dxf>
      <fill>
        <patternFill patternType="none">
          <bgColor auto="1"/>
        </patternFill>
      </fill>
    </dxf>
  </rfmt>
  <rfmt sheetId="8" sqref="D31:E31" start="0" length="2147483647">
    <dxf>
      <font>
        <color auto="1"/>
      </font>
    </dxf>
  </rfmt>
  <rcmt sheetId="8" cell="D31" guid="{00000000-0000-0000-0000-000000000000}" action="delete" author="Степаненко Наталья Алексеевна"/>
  <rcmt sheetId="8" cell="E34" guid="{00000000-0000-0000-0000-000000000000}" action="delete" author="Степаненко Наталья Алексеевна"/>
  <rfmt sheetId="8" sqref="E34" start="0" length="2147483647">
    <dxf>
      <font>
        <color auto="1"/>
      </font>
    </dxf>
  </rfmt>
  <rcc rId="30782" sId="8">
    <oc r="B35">
      <f>P35</f>
    </oc>
    <nc r="B35">
      <f>J35+L35+N35+P35+R35+T35+V35+X35+Z35+AB35+AD35+H35</f>
    </nc>
  </rcc>
  <rcc rId="30783" sId="8">
    <oc r="C35">
      <f>SUM(H35)</f>
    </oc>
    <nc r="C35">
      <f>H35+J35+L35+N35+P35+R35+T35+V35+X35+Z35+AB35+AD35</f>
    </nc>
  </rcc>
  <rfmt sheetId="8" sqref="C31:C35">
    <dxf>
      <fill>
        <patternFill patternType="none">
          <bgColor auto="1"/>
        </patternFill>
      </fill>
    </dxf>
  </rfmt>
  <rfmt sheetId="8" sqref="B35">
    <dxf>
      <fill>
        <patternFill patternType="none">
          <bgColor auto="1"/>
        </patternFill>
      </fill>
    </dxf>
  </rfmt>
  <rfmt sheetId="8" sqref="B35:C35">
    <dxf>
      <fill>
        <patternFill patternType="solid">
          <bgColor theme="4" tint="0.59999389629810485"/>
        </patternFill>
      </fill>
    </dxf>
  </rfmt>
  <rcmt sheetId="8" cell="P35" guid="{00000000-0000-0000-0000-000000000000}" action="delete" alwaysShow="1" author="Цёвка Елена Александровна"/>
  <rcc rId="30784" sId="8" numFmtId="4">
    <nc r="P34">
      <v>0</v>
    </nc>
  </rcc>
  <rcc rId="30785" sId="8">
    <oc r="C47">
      <f>SUM(H47+J47+L47+N47)</f>
    </oc>
    <nc r="C47">
      <f>H47+J47+L47+N47+P47+R47+T47+V47+X47+Z47+AB47+AD47</f>
    </nc>
  </rcc>
  <rcc rId="30786" sId="8" numFmtId="4">
    <oc r="D47">
      <f>E47</f>
    </oc>
    <nc r="D47">
      <v>74664.100000000006</v>
    </nc>
  </rcc>
  <rcc rId="30787" sId="8">
    <oc r="E47">
      <f>SUM(I47,K47,M47,O47,Q47,S47,U47,W47,Y47,AA47,AC47,AE47)</f>
    </oc>
    <nc r="E47">
      <f>SUM(I47,K47,M47,O47,Q47,S47,U47,W47,Y47,AA47,AC47,AE47)</f>
    </nc>
  </rcc>
  <rcmt sheetId="8" cell="D47" guid="{00000000-0000-0000-0000-000000000000}" action="delete" author="Степаненко Наталья Алексеевна"/>
  <rfmt sheetId="8" sqref="C44:E47">
    <dxf>
      <fill>
        <patternFill patternType="none">
          <bgColor auto="1"/>
        </patternFill>
      </fill>
    </dxf>
  </rfmt>
  <rfmt sheetId="8" sqref="C44:E47" start="0" length="2147483647">
    <dxf>
      <font>
        <color auto="1"/>
      </font>
    </dxf>
  </rfmt>
  <rcmt sheetId="8" cell="I47" guid="{00000000-0000-0000-0000-000000000000}" action="delete" alwaysShow="1" author="Шишкина Юлия Андреева"/>
  <rcc rId="30788" sId="8">
    <oc r="C52">
      <f>SUM(H52)</f>
    </oc>
    <nc r="C52">
      <f>H52+J52+L52+N52+P52+R52+T52+V52+X52+Z52+AB52+AD52</f>
    </nc>
  </rcc>
  <rcc rId="30789" sId="8">
    <oc r="C53">
      <f>SUM(H53+J53+L53+N53)</f>
    </oc>
    <nc r="C53">
      <f>H53+J53+L53+N53+P53+R53+T53+V53+X53+Z53+AB53+AD53</f>
    </nc>
  </rcc>
  <rcc rId="30790" sId="8">
    <oc r="C54">
      <f>SUM(H54+J54+L54+N54)</f>
    </oc>
    <nc r="C54">
      <f>H54+J54+L54+N54+P54+R54+T54+V54+X54+Z54+AB54+AD54</f>
    </nc>
  </rcc>
  <rfmt sheetId="8" sqref="C50:C54">
    <dxf>
      <fill>
        <patternFill patternType="none">
          <bgColor auto="1"/>
        </patternFill>
      </fill>
    </dxf>
  </rfmt>
  <rcmt sheetId="8" cell="N54" guid="{00000000-0000-0000-0000-000000000000}" action="delete" alwaysShow="1" author="Цёвка Елена Александровна"/>
  <rcmt sheetId="8" cell="P54" guid="{00000000-0000-0000-0000-000000000000}" action="delete" alwaysShow="1" author="Цёвка Елена Александровна"/>
  <rfmt sheetId="8" sqref="C54">
    <dxf>
      <fill>
        <patternFill patternType="solid">
          <bgColor theme="4" tint="0.59999389629810485"/>
        </patternFill>
      </fill>
    </dxf>
  </rfmt>
  <rfmt sheetId="8" sqref="AG54" start="0" length="2147483647">
    <dxf>
      <font>
        <color auto="1"/>
      </font>
    </dxf>
  </rfmt>
  <rcc rId="30791" sId="8">
    <oc r="C59">
      <f>SUM(H59+J59+L59+N59)</f>
    </oc>
    <nc r="C59">
      <f>H59+J59+L59+N59+P59+R59+T59+V59+X59+Z59+AB59+AD59</f>
    </nc>
  </rcc>
  <rcc rId="30792" sId="8">
    <oc r="C60">
      <f>SUM(H60+J60+L60+N60)</f>
    </oc>
    <nc r="C60">
      <f>H60+J60+L60+N60+P60+R60+T60+V60+X60+Z60+AB60+AD60</f>
    </nc>
  </rcc>
  <rcc rId="30793" sId="8">
    <oc r="C62">
      <f>H62+J62+L62+N62</f>
    </oc>
    <nc r="C62">
      <f>H62+J62+L62+N62+P62+R62+T62+V62+X62+Z62+AB62+AD62</f>
    </nc>
  </rcc>
  <rcc rId="30794" sId="8" numFmtId="4">
    <nc r="H62">
      <v>0</v>
    </nc>
  </rcc>
  <rcc rId="30795" sId="8" numFmtId="4">
    <nc r="I62">
      <v>0</v>
    </nc>
  </rcc>
  <rfmt sheetId="8" sqref="C57:C62" start="0" length="2147483647">
    <dxf>
      <font/>
    </dxf>
  </rfmt>
  <rfmt sheetId="8" sqref="C57:C62">
    <dxf>
      <fill>
        <patternFill patternType="none">
          <bgColor auto="1"/>
        </patternFill>
      </fill>
    </dxf>
  </rfmt>
  <rfmt sheetId="8" sqref="C25:C28">
    <dxf>
      <fill>
        <patternFill patternType="none">
          <bgColor auto="1"/>
        </patternFill>
      </fill>
    </dxf>
  </rfmt>
  <rfmt sheetId="8" sqref="C25:C28">
    <dxf>
      <fill>
        <patternFill patternType="solid">
          <bgColor theme="4" tint="0.59999389629810485"/>
        </patternFill>
      </fill>
    </dxf>
  </rfmt>
  <rfmt sheetId="8" sqref="C25:C28">
    <dxf>
      <fill>
        <patternFill>
          <bgColor theme="7" tint="0.79998168889431442"/>
        </patternFill>
      </fill>
    </dxf>
  </rfmt>
  <rfmt sheetId="8" sqref="B70:B73">
    <dxf>
      <fill>
        <patternFill patternType="none">
          <bgColor auto="1"/>
        </patternFill>
      </fill>
    </dxf>
  </rfmt>
  <rcc rId="30796" sId="8">
    <oc r="C73">
      <f>SUM(H73)</f>
    </oc>
    <nc r="C73">
      <f>H73+J73+L73+N73+P73+R73+T73+V73+X73+Z73+AB73+AD73</f>
    </nc>
  </rcc>
  <rfmt sheetId="8" sqref="C70:C73">
    <dxf>
      <fill>
        <patternFill patternType="none">
          <bgColor auto="1"/>
        </patternFill>
      </fill>
    </dxf>
  </rfmt>
  <rcc rId="30797" sId="8">
    <oc r="C79">
      <f>SUM(H79)</f>
    </oc>
    <nc r="C79">
      <f>H79+J79+L79+N79+P79+R79+T79+V79+X79+Z79+AB79+AD79</f>
    </nc>
  </rcc>
  <rcc rId="30798" sId="8">
    <oc r="C85">
      <f>SUM(H85+J85+L85+N85)</f>
    </oc>
    <nc r="C85">
      <f>H85+J85+L85+N85+P85+R85+T85+V85+X85+Z85+AB85+AD85</f>
    </nc>
  </rcc>
  <rfmt sheetId="8" sqref="B76:C85">
    <dxf>
      <fill>
        <patternFill patternType="none">
          <bgColor auto="1"/>
        </patternFill>
      </fill>
    </dxf>
  </rfmt>
  <rcc rId="30799" sId="8" numFmtId="4">
    <oc r="D91">
      <f>E91</f>
    </oc>
    <nc r="D91">
      <v>443.8</v>
    </nc>
  </rcc>
  <rcc rId="30800" sId="8">
    <oc r="E91">
      <f>SUM(I91,K91,M91,O91,Q91,S91,U91,W91,Y91,AA91,AC91,AE91)</f>
    </oc>
    <nc r="E91">
      <f>SUM(I91,K91,M91,O91,Q91,S91,U91,W91,Y91,AA91,AC91,AE91)</f>
    </nc>
  </rcc>
  <rfmt sheetId="8" sqref="D91:E91">
    <dxf>
      <fill>
        <patternFill patternType="none">
          <bgColor auto="1"/>
        </patternFill>
      </fill>
    </dxf>
  </rfmt>
  <rcmt sheetId="8" cell="D91" guid="{00000000-0000-0000-0000-000000000000}" action="delete" author="Степаненко Наталья Алексеевна"/>
  <rcmt sheetId="8" cell="E91" guid="{00000000-0000-0000-0000-000000000000}" action="delete" author="Степаненко Наталья Алексеевна"/>
  <rcc rId="30801" sId="8" numFmtId="4">
    <oc r="Q91">
      <v>0</v>
    </oc>
    <nc r="Q91">
      <v>137.898</v>
    </nc>
  </rcc>
  <rcmt sheetId="8" cell="I97" guid="{00000000-0000-0000-0000-000000000000}" action="delete" alwaysShow="1" author="Шишкина Юлия Андреева"/>
  <rcc rId="30802" sId="8">
    <oc r="C97">
      <f>SUM(H97+J97+L97+N97)</f>
    </oc>
    <nc r="C97">
      <f>H97+J97+L97+N97+P97+R97+T97+V97+X97+Z97+AB97+AD97</f>
    </nc>
  </rcc>
  <rcc rId="30803" sId="8" numFmtId="4">
    <oc r="D97">
      <f>E97</f>
    </oc>
    <nc r="D97">
      <v>72328.3</v>
    </nc>
  </rcc>
  <rcmt sheetId="8" cell="D97" guid="{00000000-0000-0000-0000-000000000000}" action="delete" author="Степаненко Наталья Алексеевна"/>
  <rcmt sheetId="8" cell="E97" guid="{00000000-0000-0000-0000-000000000000}" action="delete" author="Степаненко Наталья Алексеевна"/>
  <rfmt sheetId="8" sqref="C97:E97">
    <dxf>
      <fill>
        <patternFill patternType="none">
          <bgColor auto="1"/>
        </patternFill>
      </fill>
    </dxf>
  </rfmt>
  <rfmt sheetId="8" sqref="B93:C94">
    <dxf>
      <fill>
        <patternFill patternType="none">
          <bgColor auto="1"/>
        </patternFill>
      </fill>
    </dxf>
  </rfmt>
  <rfmt sheetId="8" sqref="C64:C67">
    <dxf>
      <fill>
        <patternFill>
          <bgColor theme="7" tint="0.79998168889431442"/>
        </patternFill>
      </fill>
    </dxf>
  </rfmt>
  <rcc rId="30804" sId="8">
    <oc r="C109">
      <f>SUM(H109+J109+L109+N109)</f>
    </oc>
    <nc r="C109">
      <f>H109+J109+L109+N109+P109+R109+T109+V109+X109+Z109+AB109+AD109</f>
    </nc>
  </rcc>
  <rcc rId="30805" sId="8">
    <oc r="C121">
      <f>SUM(H121)</f>
    </oc>
    <nc r="C121">
      <f>H121+J121+L121+N121+P121+R121+T121+V121+X121+Z121+AB121+AD121</f>
    </nc>
  </rcc>
  <rcc rId="30806" sId="8">
    <oc r="E109">
      <f>SUM(I109,K109,M109,O109,Q109,S109,U109,W109,Y109,AA109,AC109,AE109)</f>
    </oc>
    <nc r="E109">
      <f>SUM(I109,K109,M109,O109,Q109,S109,U109,W109,Y109,AA109,AC109,AE109)</f>
    </nc>
  </rcc>
  <rcc rId="30807" sId="8">
    <oc r="E115">
      <f>SUM(I115,K115,M115,O115,Q115,S115,U115,W115,Y115,AA115,AC115,AE115)</f>
    </oc>
    <nc r="E115">
      <f>SUM(I115,K115,M115,O115,Q115,S115,U115,W115,Y115,AA115,AC115,AE115)</f>
    </nc>
  </rcc>
  <rcc rId="30808" sId="8" numFmtId="4">
    <oc r="D109">
      <f>E109</f>
    </oc>
    <nc r="D109">
      <v>22400.44</v>
    </nc>
  </rcc>
  <rcc rId="30809" sId="8" numFmtId="4">
    <nc r="D108">
      <v>105.28</v>
    </nc>
  </rcc>
  <rcc rId="30810" sId="8">
    <nc r="C108">
      <f>H108+J108+L108+N108+P108+R108+T108+V108+X108+Z108+AB108+AD108</f>
    </nc>
  </rcc>
  <rfmt sheetId="8" sqref="C106:D109">
    <dxf>
      <fill>
        <patternFill patternType="none">
          <bgColor auto="1"/>
        </patternFill>
      </fill>
    </dxf>
  </rfmt>
  <rcc rId="30811" sId="8">
    <nc r="F108">
      <f>IFERROR(E108/B108*100,0)</f>
    </nc>
  </rcc>
  <rcc rId="30812" sId="8">
    <nc r="G108">
      <f>IFERROR(E108/C108*100,0)</f>
    </nc>
  </rcc>
  <rcmt sheetId="8" cell="D106" guid="{00000000-0000-0000-0000-000000000000}" action="delete" author="Степаненко Наталья Алексеевна"/>
  <rfmt sheetId="8" sqref="C118:C122">
    <dxf>
      <fill>
        <patternFill patternType="none">
          <bgColor auto="1"/>
        </patternFill>
      </fill>
    </dxf>
  </rfmt>
  <rcmt sheetId="8" cell="D108" guid="{00000000-0000-0000-0000-000000000000}" action="delete" author="Степаненко Наталья Алексеевна"/>
  <rcc rId="30813" sId="8">
    <nc r="C102">
      <f>C108</f>
    </nc>
  </rcc>
  <rcc rId="30814" sId="8">
    <nc r="D102">
      <f>D108</f>
    </nc>
  </rcc>
  <rcc rId="30815" sId="8">
    <nc r="F102">
      <f>IFERROR(E102/B102*100,0)</f>
    </nc>
  </rcc>
  <rcc rId="30816" sId="8">
    <nc r="G102">
      <f>IFERROR(E102/C102*100,0)</f>
    </nc>
  </rcc>
  <rcc rId="30817" sId="8">
    <oc r="V106">
      <f>V108+V109+V107+V110</f>
    </oc>
    <nc r="V106">
      <f>V109</f>
    </nc>
  </rcc>
  <rfmt sheetId="8" sqref="C100:E103">
    <dxf>
      <fill>
        <patternFill>
          <bgColor theme="7" tint="0.79998168889431442"/>
        </patternFill>
      </fill>
    </dxf>
  </rfmt>
  <rcc rId="30818" sId="8">
    <oc r="C133">
      <f>SUM(H133+J133+L133+N133)</f>
    </oc>
    <nc r="C133">
      <f>H133+J133+L133+N133+P133+R133+T133+V133+X133+Z133+AB133+AD133</f>
    </nc>
  </rcc>
  <rcc rId="30819" sId="8" numFmtId="4">
    <oc r="D133">
      <f>E133</f>
    </oc>
    <nc r="D133">
      <v>112068.558</v>
    </nc>
  </rcc>
  <rcc rId="30820" sId="8">
    <oc r="E133">
      <f>SUM(I133,K133,M133,O133,Q133,S133,U133,W133,Y133,AA133,AC133,AE133)</f>
    </oc>
    <nc r="E133">
      <f>SUM(I133,K133,M133,O133,Q133,S133,U133,W133,Y133,AA133,AC133,AE133)</f>
    </nc>
  </rcc>
  <rcmt sheetId="8" cell="E133" guid="{00000000-0000-0000-0000-000000000000}" action="delete" author="Степаненко Наталья Алексеевна"/>
  <rfmt sheetId="8" sqref="C124:C127">
    <dxf>
      <fill>
        <patternFill>
          <bgColor theme="7" tint="0.79998168889431442"/>
        </patternFill>
      </fill>
    </dxf>
  </rfmt>
  <rfmt sheetId="8" sqref="C130:D134">
    <dxf>
      <fill>
        <patternFill patternType="none">
          <bgColor auto="1"/>
        </patternFill>
      </fill>
    </dxf>
  </rfmt>
  <rcmt sheetId="8" cell="D133" guid="{00000000-0000-0000-0000-000000000000}" action="delete" author="Степаненко Наталья Алексеевна"/>
  <rcmt sheetId="8" cell="D130" guid="{00000000-0000-0000-0000-000000000000}" action="delete" author="Степаненко Наталья Алексеевна"/>
  <rcc rId="30821" sId="8">
    <oc r="C154">
      <f>C160+C167+C173</f>
    </oc>
    <nc r="C154">
      <f>H154+J154+L154+N154+P154+R154+T154+V154+X154+Z154+AB154+AD154</f>
    </nc>
  </rcc>
  <rcc rId="30822" sId="8">
    <oc r="C152">
      <f>C158+C165+C171</f>
    </oc>
    <nc r="C152">
      <f>H152+J152+L152+N152+P152+R152+T152+V152+X152+Z152+AB152+AD152</f>
    </nc>
  </rcc>
  <rfmt sheetId="8" sqref="C151:C155">
    <dxf>
      <fill>
        <patternFill patternType="none">
          <bgColor auto="1"/>
        </patternFill>
      </fill>
    </dxf>
  </rfmt>
  <rfmt sheetId="8" sqref="B151">
    <dxf>
      <fill>
        <patternFill patternType="none">
          <bgColor auto="1"/>
        </patternFill>
      </fill>
    </dxf>
  </rfmt>
  <rfmt sheetId="8" sqref="G145:G155" start="0" length="2147483647">
    <dxf>
      <font>
        <color auto="1"/>
      </font>
    </dxf>
  </rfmt>
  <rfmt sheetId="8" sqref="B158">
    <dxf>
      <fill>
        <patternFill patternType="none">
          <bgColor auto="1"/>
        </patternFill>
      </fill>
    </dxf>
  </rfmt>
  <rcmt sheetId="8" cell="C151" guid="{00000000-0000-0000-0000-000000000000}" action="delete" author="Степаненко Наталья Алексеевна"/>
  <rcmt sheetId="8" cell="C154" guid="{00000000-0000-0000-0000-000000000000}" action="delete" author="Степаненко Наталья Алексеевна"/>
  <rcmt sheetId="8" cell="C152" guid="{00000000-0000-0000-0000-000000000000}" action="delete" author="Степаненко Наталья Алексеевна"/>
  <rcc rId="30823" sId="8">
    <oc r="C161">
      <f>SUM(H161+J161+L161+N161)</f>
    </oc>
    <nc r="C161">
      <f>H161+J161+L161+N161+P161+R161+T161+V161+X161+Z161+AB161+AD161</f>
    </nc>
  </rcc>
  <rcc rId="30824" sId="8">
    <oc r="C167">
      <f>SUM(H167+J167+L167+N167)</f>
    </oc>
    <nc r="C167">
      <f>H167+J167+L167+N167+P167+R167+T167+V167+X167+Z167+AB167+AD167</f>
    </nc>
  </rcc>
  <rcc rId="30825" sId="8">
    <oc r="C173">
      <f>SUM(H173+J173+L173)</f>
    </oc>
    <nc r="C173">
      <f>H173+J173+L173+N173+P173+R173+T173+V173+X173+Z173+AB173+AD173</f>
    </nc>
  </rcc>
  <rcc rId="30826" sId="8">
    <oc r="E161">
      <f>SUM(I161,K161,M161,O161,Q161,S161,U161,W161,Y161,AA161,AC161,AE161)</f>
    </oc>
    <nc r="E161">
      <f>SUM(I161,K161,M161,O161,Q161,S161,U161,W161,Y161,AA161,AC161,AE161)</f>
    </nc>
  </rcc>
  <rcc rId="30827" sId="8">
    <oc r="E167">
      <f>SUM(I167,K167,M167,O167,Q167,S167,U167,W167,Y167,AA167,AC167,AE167)</f>
    </oc>
    <nc r="E167">
      <f>SUM(I167,K167,M167,O167,Q167,S167,U167,W167,Y167,AA167,AC167,AE167)</f>
    </nc>
  </rcc>
  <rcc rId="30828" sId="8">
    <oc r="E173">
      <f>SUM(I173,K173,M173,O173,Q173,S173,U173,W173,Y173,AA173,AC173,AE173)</f>
    </oc>
    <nc r="E173">
      <f>SUM(I173,K173,M173,O173,Q173,S173,U173,W173,Y173,AA173,AC173,AE173)</f>
    </nc>
  </rcc>
  <rcc rId="30829" sId="8" numFmtId="4">
    <nc r="D173">
      <v>-68</v>
    </nc>
  </rcc>
  <rfmt sheetId="8" sqref="B170:E173">
    <dxf>
      <fill>
        <patternFill patternType="none">
          <bgColor auto="1"/>
        </patternFill>
      </fill>
    </dxf>
  </rfmt>
  <rfmt sheetId="8" sqref="C164:C167">
    <dxf>
      <fill>
        <patternFill patternType="none">
          <bgColor auto="1"/>
        </patternFill>
      </fill>
    </dxf>
  </rfmt>
  <rfmt sheetId="8" sqref="B164">
    <dxf>
      <fill>
        <patternFill patternType="none">
          <bgColor auto="1"/>
        </patternFill>
      </fill>
    </dxf>
  </rfmt>
  <rcc rId="30830" sId="8">
    <oc r="D148">
      <f>D154+D179</f>
    </oc>
    <nc r="D148">
      <f>D154+D179</f>
    </nc>
  </rcc>
  <rcc rId="30831" sId="8" numFmtId="4">
    <oc r="D173">
      <f>E173</f>
    </oc>
    <nc r="D173">
      <v>0</v>
    </nc>
  </rcc>
  <rfmt sheetId="8" sqref="C145:C149">
    <dxf>
      <fill>
        <patternFill>
          <bgColor theme="4" tint="0.79998168889431442"/>
        </patternFill>
      </fill>
    </dxf>
  </rfmt>
  <rfmt sheetId="8" sqref="C145:C149">
    <dxf>
      <fill>
        <patternFill>
          <bgColor theme="7" tint="0.79998168889431442"/>
        </patternFill>
      </fill>
    </dxf>
  </rfmt>
  <rcc rId="30832" sId="8">
    <nc r="C192">
      <f>H192+J192+L192+N192+P192+R192+T192+V192+X192+Z192+AB192+AD192</f>
    </nc>
  </rcc>
  <rcc rId="30833" sId="8">
    <oc r="C191">
      <f>SUM(H191+J191+L191+N191)</f>
    </oc>
    <nc r="C191">
      <f>H191+J191+L191+N191+P191+R191+T191+V191+X191+Z191+AB191+AD191</f>
    </nc>
  </rcc>
  <rcc rId="30834" sId="8">
    <oc r="C197">
      <f>SUM(H197)</f>
    </oc>
    <nc r="C197">
      <f>H197+J197+L197+N197+P197+R197+T197+V197+X197+Z197+AB197+AD197</f>
    </nc>
  </rcc>
  <rcc rId="30835" sId="8">
    <oc r="C203">
      <f>SUM(H203+J203+L203+N203)</f>
    </oc>
    <nc r="C203">
      <f>H203+J203+L203+N203+P203+R203+T203+V203+X203+Z203+AB203+AD203</f>
    </nc>
  </rcc>
  <rcc rId="30836" sId="8">
    <oc r="C209">
      <f>SUM(H209)</f>
    </oc>
    <nc r="C209">
      <f>H209+J209+L209+N209+P209+R209+T209+V209+X209+Z209+AB209+AD209</f>
    </nc>
  </rcc>
  <rcc rId="30837" sId="8">
    <oc r="E191">
      <f>SUM(I191,K191,M191,O191,Q191,S191,U191,W191,Y191,AA191,AC191,AE191)</f>
    </oc>
    <nc r="E191">
      <f>SUM(I191,K191,M191,O191,Q191,S191,U191,W191,Y191,AA191,AC191,AE191)</f>
    </nc>
  </rcc>
  <rcc rId="30838" sId="8">
    <oc r="E192">
      <f>AE192</f>
    </oc>
    <nc r="E192">
      <f>SUM(I192,K192,M192,O192,Q192,S192,U192,W192,Y192,AA192,AC192,AE192)</f>
    </nc>
  </rcc>
  <rcc rId="30839" sId="8">
    <oc r="E197">
      <f>SUM(I197,K197,M197,O197,Q197,S197,U197,W197,Y197,AA197,AC197,AE197)</f>
    </oc>
    <nc r="E197">
      <f>SUM(I197,K197,M197,O197,Q197,S197,U197,W197,Y197,AA197,AC197,AE197)</f>
    </nc>
  </rcc>
  <rcc rId="30840" sId="8">
    <oc r="E203">
      <f>SUM(I203,K203,M203,O203,Q203,S203,U203,W203,Y203,AA203,AC203,AE203)</f>
    </oc>
    <nc r="E203">
      <f>SUM(I203,K203,M203,O203,Q203,S203,U203,W203,Y203,AA203,AC203,AE203)</f>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019" sId="8">
    <oc r="D297">
      <f>D14+D20+D154+D26+D33</f>
    </oc>
    <nc r="D297">
      <f>D14+D20+D154+D26+D33</f>
    </nc>
  </rcc>
  <rcc rId="32020" sId="8" numFmtId="4">
    <nc r="U36">
      <v>0</v>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021" sId="8">
    <oc r="B298">
      <f>B15+B21+B155</f>
    </oc>
    <nc r="B298">
      <f>B15+B21+B155+B27+B34</f>
    </nc>
  </rcc>
  <rcc rId="32022" sId="8">
    <oc r="C298">
      <f>C15+C21+C155</f>
    </oc>
    <nc r="C298">
      <f>C15+C21+C155+C27+C34</f>
    </nc>
  </rcc>
  <rcc rId="32023" sId="8">
    <oc r="D298">
      <f>D15+D21+D155</f>
    </oc>
    <nc r="D298">
      <f>D15+D21+D155+D27+D34</f>
    </nc>
  </rcc>
  <rcc rId="32024" sId="8">
    <oc r="E298">
      <f>E15+E21+E155</f>
    </oc>
    <nc r="E298">
      <f>E15+E21+E155+E27+E34</f>
    </nc>
  </rcc>
  <rcc rId="32025" sId="8">
    <oc r="H298">
      <f>H15+H21+H155</f>
    </oc>
    <nc r="H298">
      <f>H15+H21+H155+H27+H34</f>
    </nc>
  </rcc>
  <rcc rId="32026" sId="8">
    <oc r="I298">
      <f>I15+I21+I155</f>
    </oc>
    <nc r="I298">
      <f>I15+I21+I155+I27+I34</f>
    </nc>
  </rcc>
  <rcc rId="32027" sId="8">
    <oc r="J298">
      <f>J15+J21+J155</f>
    </oc>
    <nc r="J298">
      <f>J15+J21+J155+J27+J34</f>
    </nc>
  </rcc>
  <rcc rId="32028" sId="8">
    <oc r="K298">
      <f>K15+K21+K155</f>
    </oc>
    <nc r="K298">
      <f>K15+K21+K155+K27+K34</f>
    </nc>
  </rcc>
  <rcc rId="32029" sId="8">
    <oc r="L298">
      <f>L15+L21+L155</f>
    </oc>
    <nc r="L298">
      <f>L15+L21+L155+L27+L34</f>
    </nc>
  </rcc>
  <rcc rId="32030" sId="8">
    <oc r="M298">
      <f>M15+M21+M155</f>
    </oc>
    <nc r="M298">
      <f>M15+M21+M155+M27+M34</f>
    </nc>
  </rcc>
  <rcc rId="32031" sId="8">
    <oc r="N298">
      <f>N15+N21+N155</f>
    </oc>
    <nc r="N298">
      <f>N15+N21+N155+N27+N34</f>
    </nc>
  </rcc>
  <rcc rId="32032" sId="8">
    <oc r="O298">
      <f>O15+O21+O155</f>
    </oc>
    <nc r="O298">
      <f>O15+O21+O155+O27+O34</f>
    </nc>
  </rcc>
  <rcc rId="32033" sId="8">
    <oc r="P298">
      <f>P15+P21+P155</f>
    </oc>
    <nc r="P298">
      <f>P15+P21+P155+P27+P34</f>
    </nc>
  </rcc>
  <rcc rId="32034" sId="8">
    <oc r="Q298">
      <f>Q15+Q21+Q155</f>
    </oc>
    <nc r="Q298">
      <f>Q15+Q21+Q155+Q27+Q34</f>
    </nc>
  </rcc>
  <rcc rId="32035" sId="8">
    <oc r="R298">
      <f>R15+R21+R155</f>
    </oc>
    <nc r="R298">
      <f>R15+R21+R155+R27+R34</f>
    </nc>
  </rcc>
  <rcc rId="32036" sId="8">
    <oc r="S298">
      <f>S15+S21+S155</f>
    </oc>
    <nc r="S298">
      <f>S15+S21+S155+S27+S34</f>
    </nc>
  </rcc>
  <rcc rId="32037" sId="8">
    <oc r="T298">
      <f>T15+T21+T155</f>
    </oc>
    <nc r="T298">
      <f>T15+T21+T155+T27+T34</f>
    </nc>
  </rcc>
  <rcc rId="32038" sId="8">
    <oc r="U298">
      <f>U15+U21+U155</f>
    </oc>
    <nc r="U298">
      <f>U15+U21+U155+U27+U34</f>
    </nc>
  </rcc>
  <rcc rId="32039" sId="8">
    <oc r="V298">
      <f>V15+V21+V155</f>
    </oc>
    <nc r="V298">
      <f>V15+V21+V155+V27+V34</f>
    </nc>
  </rcc>
  <rcc rId="32040" sId="8">
    <oc r="W298">
      <f>W15+W21+W155</f>
    </oc>
    <nc r="W298">
      <f>W15+W21+W155+W27+W34</f>
    </nc>
  </rcc>
  <rcc rId="32041" sId="8">
    <oc r="X298">
      <f>X15+X21+X155</f>
    </oc>
    <nc r="X298">
      <f>X15+X21+X155+X27+X34</f>
    </nc>
  </rcc>
  <rcc rId="32042" sId="8">
    <oc r="Y298">
      <f>Y15+Y21+Y155</f>
    </oc>
    <nc r="Y298">
      <f>Y15+Y21+Y155+Y27+Y34</f>
    </nc>
  </rcc>
  <rcc rId="32043" sId="8">
    <oc r="Z298">
      <f>Z15+Z21+Z155</f>
    </oc>
    <nc r="Z298">
      <f>Z15+Z21+Z155+Z27+Z34</f>
    </nc>
  </rcc>
  <rcc rId="32044" sId="8">
    <oc r="AA298">
      <f>AA15+AA21+AA155</f>
    </oc>
    <nc r="AA298">
      <f>AA15+AA21+AA155+AA27+AA34</f>
    </nc>
  </rcc>
  <rcc rId="32045" sId="8">
    <oc r="AB298">
      <f>AB15+AB21+AB155</f>
    </oc>
    <nc r="AB298">
      <f>AB15+AB21+AB155+AB27+AB34</f>
    </nc>
  </rcc>
  <rcc rId="32046" sId="8">
    <oc r="AC298">
      <f>AC15+AC21+AC155</f>
    </oc>
    <nc r="AC298">
      <f>AC15+AC21+AC155+AC27+AC34</f>
    </nc>
  </rcc>
  <rcc rId="32047" sId="8">
    <oc r="AD298">
      <f>AD15+AD21+AD155</f>
    </oc>
    <nc r="AD298">
      <f>AD15+AD21+AD155+AD27+AD34</f>
    </nc>
  </rcc>
  <rcc rId="32048" sId="8">
    <oc r="AE298">
      <f>AE15+AE21+AE155</f>
    </oc>
    <nc r="AE298">
      <f>AE15+AE21+AE155+AE27+AE34</f>
    </nc>
  </rcc>
  <rcc rId="32049" sId="8">
    <oc r="W316">
      <f>W13+W19+W46+W53+W59+W65+W72+W85+W91+W97+W103+W109+W121+W127+W133+W145+W153+W166+W191+W203+W209+W215+W221+W227+W241+W247+W259+W265+W279+W285-W290</f>
    </oc>
    <nc r="W316">
      <f>W13+W19+W46+W53+W59+W65+W72+W85+W91+W97+W103+W109+W121+W127+W133+W145+W153+W166+W191+W203+W209+W215+W221+W227+W241+W247+W259+W265+W279+W285-W290</f>
    </nc>
  </rcc>
  <rcc rId="32050" sId="8">
    <oc r="X316">
      <f>X13+X19+X46+X53+X59+X65+X72+X85+X91+X97+X103+X109+X121+X127+X133+X145+X153+X166+X191+X203+X209+X215+X221+X227+X241+X247+X259+X265+X279+X285-X290</f>
    </oc>
    <nc r="X316">
      <f>X13+X19+X46+X53+X59+X65+X72+X85+X91+X97+X103+X109+X121+X127+X133+X145+X153+X166+X191+X203+X209+X215+X221+X227+X241+X247+X259+X265+X279+X285-X290</f>
    </nc>
  </rcc>
  <rcc rId="32051" sId="8">
    <oc r="Y316">
      <f>Y13+Y19+Y46+Y53+Y59+Y65+Y72+Y85+Y91+Y97+Y103+Y109+Y121+Y127+Y133+Y145+Y153+Y166+Y191+Y203+Y209+Y215+Y221+Y227+Y241+Y247+Y259+Y265+Y279+Y285-Y290</f>
    </oc>
    <nc r="Y316">
      <f>Y13+Y19+Y46+Y53+Y59+Y65+Y72+Y85+Y91+Y97+Y103+Y109+Y121+Y127+Y133+Y145+Y153+Y166+Y191+Y203+Y209+Y215+Y221+Y227+Y241+Y247+Y259+Y265+Y279+Y285-Y290</f>
    </nc>
  </rcc>
  <rcc rId="32052" sId="8">
    <oc r="X318">
      <f>X15+X21+X48+X55+X61+X67+X74+X87+X93+X99+X105+X111+X123+X129+X135+X147+X155+X168+X193+X205+X211+X217+X223+X229+X243+X249+X261+X267+X281+X287-X292</f>
    </oc>
    <nc r="X318">
      <f>X15+X21+X48+X55+X61+X67+X74+X87+X93+X99+X105+X111+X123+X129+X135+X147+X155+X168+X193+X205+X211+X217+X223+X229+X243+X249+X261+X267+X281+X287-X292+X27+X34</f>
    </nc>
  </rcc>
  <rcc rId="32053" sId="8">
    <oc r="X317">
      <f>X14+X20+X47+X54+X60+X66+X73+X86+X92+X98+X104+X110+X124+X128+X134+X146+X154+X167+X192+X204+X210+X216+X222+X228+X242+X248+X260+X266+X280+X286-X291</f>
    </oc>
    <nc r="X317">
      <f>X14+X20+X47+X54+X60+X66+X73+X86+X92+X98+X104+X110+X122+X128+X134+X146+X154+X167+X192+X204+X210+X216+X222+X228+X242+X248+X260+X266+X280+X286-X291+X33+X26</f>
    </nc>
  </rcc>
  <rcc rId="32054" sId="8">
    <oc r="Y318">
      <f>Y15+Y21+Y48+Y55+Y61+Y67+Y74+Y87+Y93+Y99+Y105+Y111+Y123+Y129+Y135+Y147+Y155+Y168+Y193+Y205+Y211+Y217+Y223+Y229+Y243+Y249+Y261+Y267+Y281+Y287-Y292</f>
    </oc>
    <nc r="Y318">
      <f>Y15+Y21+Y48+Y55+Y61+Y67+Y74+Y87+Y93+Y99+Y105+Y111+Y123+Y129+Y135+Y147+Y155+Y168+Y193+Y205+Y211+Y217+Y223+Y229+Y243+Y249+Y261+Y267+Y281+Y287-Y292+Y27+Y34</f>
    </nc>
  </rcc>
  <rcc rId="32055" sId="8">
    <oc r="Z318">
      <f>Z15+Z21+Z48+Z55+Z61+Z67+Z74+Z87+Z93+Z99+Z105+Z111+Z123+Z129+Z135+Z147+Z155+Z168+Z193+Z205+Z211+Z217+Z223+Z229+Z243+Z249+Z261+Z267+Z281+Z287-Z292</f>
    </oc>
    <nc r="Z318">
      <f>Z15+Z21+Z48+Z55+Z61+Z67+Z74+Z87+Z93+Z99+Z105+Z111+Z123+Z129+Z135+Z147+Z155+Z168+Z193+Z205+Z211+Z217+Z223+Z229+Z243+Z249+Z261+Z267+Z281+Z287-Z292+Z27+Z34</f>
    </nc>
  </rcc>
  <rcc rId="32056" sId="8">
    <oc r="AA318">
      <f>AA15+AA21+AA48+AA55+AA61+AA67+AA74+AA87+AA93+AA99+AA105+AA111+AA123+AA129+AA135+AA147+AA155+AA168+AA193+AA205+AA211+AA217+AA223+AA229+AA243+AA249+AA261+AA267+AA281+AA287-AA292</f>
    </oc>
    <nc r="AA318">
      <f>AA15+AA21+AA48+AA55+AA61+AA67+AA74+AA87+AA93+AA99+AA105+AA111+AA123+AA129+AA135+AA147+AA155+AA168+AA193+AA205+AA211+AA217+AA223+AA229+AA243+AA249+AA261+AA267+AA281+AA287-AA292+AA27+AA34</f>
    </nc>
  </rcc>
  <rcc rId="32057" sId="8">
    <oc r="AB318">
      <f>AB15+AB21+AB48+AB55+AB61+AB67+AB74+AB87+AB93+AB99+AB105+AB111+AB123+AB129+AB135+AB147+AB155+AB168+AB193+AB205+AB211+AB217+AB223+AB229+AB243+AB249+AB261+AB267+AB281+AB287-AB292</f>
    </oc>
    <nc r="AB318">
      <f>AB15+AB21+AB48+AB55+AB61+AB67+AB74+AB87+AB93+AB99+AB105+AB111+AB123+AB129+AB135+AB147+AB155+AB168+AB193+AB205+AB211+AB217+AB223+AB229+AB243+AB249+AB261+AB267+AB281+AB287-AB292+AB27+AB34</f>
    </nc>
  </rcc>
  <rcc rId="32058" sId="8">
    <oc r="AC318">
      <f>AC15+AC21+AC48+AC55+AC61+AC67+AC74+AC87+AC93+AC99+AC105+AC111+AC123+AC129+AC135+AC147+AC155+AC168+AC193+AC205+AC211+AC217+AC223+AC229+AC243+AC249+AC261+AC267+AC281+AC287-AC292</f>
    </oc>
    <nc r="AC318">
      <f>AC15+AC21+AC48+AC55+AC61+AC67+AC74+AC87+AC93+AC99+AC105+AC111+AC123+AC129+AC135+AC147+AC155+AC168+AC193+AC205+AC211+AC217+AC223+AC229+AC243+AC249+AC261+AC267+AC281+AC287-AC292+AC27+AC34</f>
    </nc>
  </rcc>
  <rcc rId="32059" sId="8">
    <oc r="AD318">
      <f>AD15+AD21+AD48+AD55+AD61+AD67+AD74+AD87+AD93+AD99+AD105+AD111+AD123+AD129+AD135+AD147+AD155+AD168+AD193+AD205+AD211+AD217+AD223+AD229+AD243+AD249+AD261+AD267+AD281+AD287-AD292</f>
    </oc>
    <nc r="AD318">
      <f>AD15+AD21+AD48+AD55+AD61+AD67+AD74+AD87+AD93+AD99+AD105+AD111+AD123+AD129+AD135+AD147+AD155+AD168+AD193+AD205+AD211+AD217+AD223+AD229+AD243+AD249+AD261+AD267+AD281+AD287-AD292+AD27+AD34</f>
    </nc>
  </rcc>
  <rcc rId="32060" sId="8">
    <oc r="AE318">
      <f>AE15+AE21+AE48+AE55+AE61+AE67+AE74+AE87+AE93+AE99+AE105+AE111+AE123+AE129+AE135+AE147+AE155+AE168+AE193+AE205+AE211+AE217+AE223+AE229+AE243+AE249+AE261+AE267+AE281+AE287-AE292</f>
    </oc>
    <nc r="AE318">
      <f>AE15+AE21+AE48+AE55+AE61+AE67+AE74+AE87+AE93+AE99+AE105+AE111+AE123+AE129+AE135+AE147+AE155+AE168+AE193+AE205+AE211+AE217+AE223+AE229+AE243+AE249+AE261+AE267+AE281+AE287-AE292+AE27+AE34</f>
    </nc>
  </rcc>
  <rcc rId="32061" sId="8">
    <oc r="H318">
      <f>H15+H21+H48+H55+H61+H67+H74+H87+H93+H99+H105+H111+H123+H129+H135+H147+H155+H168+H193+H205+H211+H217+H223+H229+H243+H249+H261+H267+H281+H287-H292</f>
    </oc>
    <nc r="H318">
      <f>H15+H21+H48+H55+H61+H67+H74+H87+H93+H99+H105+H111+H123+H129+H135+H147+H155+H168+H193+H205+H211+H217+H223+H229+H243+H249+H261+H267+H281+H287-H292+H27+H34</f>
    </nc>
  </rcc>
  <rcc rId="32062" sId="8">
    <oc r="I318">
      <f>I15+I21+I48+I55+I61+I67+I74+I87+I93+I99+I105+I111+I123+I129+I135+I147+I155+I168+I193+I205+I211+I217+I223+I229+I243+I249+I261+I267+I281+I287-I292</f>
    </oc>
    <nc r="I318">
      <f>I15+I21+I48+I55+I61+I67+I74+I87+I93+I99+I105+I111+I123+I129+I135+I147+I155+I168+I193+I205+I211+I217+I223+I229+I243+I249+I261+I267+I281+I287-I292+I27+I34</f>
    </nc>
  </rcc>
  <rcc rId="32063" sId="8">
    <oc r="J318">
      <f>J15+J21+J48+J55+J61+J67+J74+J87+J93+J99+J105+J111+J123+J129+J135+J147+J155+J168+J193+J205+J211+J217+J223+J229+J243+J249+J261+J267+J281+J287-J292</f>
    </oc>
    <nc r="J318">
      <f>J15+J21+J48+J55+J61+J67+J74+J87+J93+J99+J105+J111+J123+J129+J135+J147+J155+J168+J193+J205+J211+J217+J223+J229+J243+J249+J261+J267+J281+J287-J292+J27+J34</f>
    </nc>
  </rcc>
  <rcc rId="32064" sId="8">
    <oc r="K318">
      <f>K15+K21+K48+K55+K61+K67+K74+K87+K93+K99+K105+K111+K123+K129+K135+K147+K155+K168+K193+K205+K211+K217+K223+K229+K243+K249+K261+K267+K281+K287-K292</f>
    </oc>
    <nc r="K318">
      <f>K15+K21+K48+K55+K61+K67+K74+K87+K93+K99+K105+K111+K123+K129+K135+K147+K155+K168+K193+K205+K211+K217+K223+K229+K243+K249+K261+K267+K281+K287-K292+K27+K34</f>
    </nc>
  </rcc>
  <rcc rId="32065" sId="8">
    <oc r="L318">
      <f>L15+L21+L48+L55+L61+L67+L74+L87+L93+L99+L105+L111+L123+L129+L135+L147+L155+L168+L193+L205+L211+L217+L223+L229+L243+L249+L261+L267+L281+L287-L292</f>
    </oc>
    <nc r="L318">
      <f>L15+L21+L48+L55+L61+L67+L74+L87+L93+L99+L105+L111+L123+L129+L135+L147+L155+L168+L193+L205+L211+L217+L223+L229+L243+L249+L261+L267+L281+L287-L292+L27+L34</f>
    </nc>
  </rcc>
  <rcc rId="32066" sId="8">
    <oc r="M318">
      <f>M15+M21+M48+M55+M61+M67+M74+M87+M93+M99+M105+M111+M123+M129+M135+M147+M155+M168+M193+M205+M211+M217+M223+M229+M243+M249+M261+M267+M281+M287-M292</f>
    </oc>
    <nc r="M318">
      <f>M15+M21+M48+M55+M61+M67+M74+M87+M93+M99+M105+M111+M123+M129+M135+M147+M155+M168+M193+M205+M211+M217+M223+M229+M243+M249+M261+M267+M281+M287-M292+M27+M34</f>
    </nc>
  </rcc>
  <rcc rId="32067" sId="8">
    <oc r="N318">
      <f>N15+N21+N48+N55+N61+N67+N74+N87+N93+N99+N105+N111+N123+N129+N135+N147+N155+N168+N193+N205+N211+N217+N223+N229+N243+N249+N261+N267+N281+N287-N292</f>
    </oc>
    <nc r="N318">
      <f>N15+N21+N48+N55+N61+N67+N74+N87+N93+N99+N105+N111+N123+N129+N135+N147+N155+N168+N193+N205+N211+N217+N223+N229+N243+N249+N261+N267+N281+N287-N292+N27+N34</f>
    </nc>
  </rcc>
  <rcc rId="32068" sId="8">
    <oc r="O318">
      <f>O15+O21+O48+O55+O61+O67+O74+O87+O93+O99+O105+O111+O123+O129+O135+O147+O155+O168+O193+O205+O211+O217+O223+O229+O243+O249+O261+O267+O281+O287-O292</f>
    </oc>
    <nc r="O318">
      <f>O15+O21+O48+O55+O61+O67+O74+O87+O93+O99+O105+O111+O123+O129+O135+O147+O155+O168+O193+O205+O211+O217+O223+O229+O243+O249+O261+O267+O281+O287-O292+O27+O34</f>
    </nc>
  </rcc>
  <rcc rId="32069" sId="8">
    <oc r="P318">
      <f>P15+P21+P48+P55+P61+P67+P74+P87+P93+P99+P105+P111+P123+P129+P135+P147+P155+P168+P193+P205+P211+P217+P223+P229+P243+P249+P261+P267+P281+P287-P292</f>
    </oc>
    <nc r="P318">
      <f>P15+P21+P48+P55+P61+P67+P74+P87+P93+P99+P105+P111+P123+P129+P135+P147+P155+P168+P193+P205+P211+P217+P223+P229+P243+P249+P261+P267+P281+P287-P292+P27+P34</f>
    </nc>
  </rcc>
  <rcc rId="32070" sId="8">
    <oc r="Q318">
      <f>Q15+Q21+Q48+Q55+Q61+Q67+Q74+Q87+Q93+Q99+Q105+Q111+Q123+Q129+Q135+Q147+Q155+Q168+Q193+Q205+Q211+Q217+Q223+Q229+Q243+Q249+Q261+Q267+Q281+Q287-Q292</f>
    </oc>
    <nc r="Q318">
      <f>Q15+Q21+Q48+Q55+Q61+Q67+Q74+Q87+Q93+Q99+Q105+Q111+Q123+Q129+Q135+Q147+Q155+Q168+Q193+Q205+Q211+Q217+Q223+Q229+Q243+Q249+Q261+Q267+Q281+Q287-Q292+Q27+Q34</f>
    </nc>
  </rcc>
  <rcc rId="32071" sId="8">
    <oc r="R318">
      <f>R15+R21+R48+R55+R61+R67+R74+R87+R93+R99+R105+R111+R123+R129+R135+R147+R155+R168+R193+R205+R211+R217+R223+R229+R243+R249+R261+R267+R281+R287-R292</f>
    </oc>
    <nc r="R318">
      <f>R15+R21+R48+R55+R61+R67+R74+R87+R93+R99+R105+R111+R123+R129+R135+R147+R155+R168+R193+R205+R211+R217+R223+R229+R243+R249+R261+R267+R281+R287-R292+R27+R34</f>
    </nc>
  </rcc>
  <rcc rId="32072" sId="8">
    <oc r="S318">
      <f>S15+S21+S48+S55+S61+S67+S74+S87+S93+S99+S105+S111+S123+S129+S135+S147+S155+S168+S193+S205+S211+S217+S223+S229+S243+S249+S261+S267+S281+S287-S292</f>
    </oc>
    <nc r="S318">
      <f>S15+S21+S48+S55+S61+S67+S74+S87+S93+S99+S105+S111+S123+S129+S135+S147+S155+S168+S193+S205+S211+S217+S223+S229+S243+S249+S261+S267+S281+S287-S292+S27+S34</f>
    </nc>
  </rcc>
  <rcc rId="32073" sId="8">
    <oc r="T318">
      <f>T15+T21+T48+T55+T61+T67+T74+T87+T93+T99+T105+T111+T123+T129+T135+T147+T155+T168+T193+T205+T211+T217+T223+T229+T243+T249+T261+T267+T281+T287-T292</f>
    </oc>
    <nc r="T318">
      <f>T15+T21+T48+T55+T61+T67+T74+T87+T93+T99+T105+T111+T123+T129+T135+T147+T155+T168+T193+T205+T211+T217+T223+T229+T243+T249+T261+T267+T281+T287-T292+T27+T34</f>
    </nc>
  </rcc>
  <rcc rId="32074" sId="8">
    <oc r="U318">
      <f>U15+U21+U48+U55+U61+U67+U74+U87+U93+U99+U105+U111+U123+U129+U135+U147+U155+U168+U193+U205+U211+U217+U223+U229+U243+U249+U261+U267+U281+U287-U292</f>
    </oc>
    <nc r="U318">
      <f>U15+U21+U48+U55+U61+U67+U74+U87+U93+U99+U105+U111+U123+U129+U135+U147+U155+U168+U193+U205+U211+U217+U223+U229+U243+U249+U261+U267+U281+U287-U292+U27+U34</f>
    </nc>
  </rcc>
  <rcc rId="32075" sId="8">
    <oc r="V318">
      <f>V15+V21+V48+V55+V61+V67+V74+V87+V93+V99+V105+V111+V123+V129+V135+V147+V155+V168+V193+V205+V211+V217+V223+V229+V243+V249+V261+V267+V281+V287-V292</f>
    </oc>
    <nc r="V318">
      <f>V15+V21+V48+V55+V61+V67+V74+V87+V93+V99+V105+V111+V123+V129+V135+V147+V155+V168+V193+V205+V211+V217+V223+V229+V243+V249+V261+V267+V281+V287-V292+V27+V34</f>
    </nc>
  </rcc>
  <rcc rId="32076" sId="8">
    <oc r="W318">
      <f>W15+W21+W48+W55+W61+W67+W74+W87+W93+W99+W105+W111+W123+W129+W135+W147+W155+W168+W193+W205+W211+W217+W223+W229+W243+W249+W261+W267+W281+W287-W292</f>
    </oc>
    <nc r="W318">
      <f>W15+W21+W48+W55+W61+W67+W74+W87+W93+W99+W105+W111+W123+W129+W135+W147+W155+W168+W193+W205+W211+W217+W223+W229+W243+W249+W261+W267+W281+W287-W292+W27+W34</f>
    </nc>
  </rcc>
  <rcc rId="32077" sId="8">
    <oc r="Y317">
      <f>Y14+Y20+Y47+Y54+Y60+Y66+Y73+Y86+Y92+Y98+Y104+Y110+Y124+Y128+Y134+Y146+Y154+Y167+Y192+Y204+Y210+Y216+Y222+Y228+Y242+Y248+Y260+Y266+Y280+Y286-Y291</f>
    </oc>
    <nc r="Y317">
      <f>Y14+Y20+Y47+Y54+Y60+Y66+Y73+Y86+Y92+Y98+Y104+Y110+Y122+Y128+Y134+Y146+Y154+Y167+Y192+Y204+Y210+Y216+Y222+Y228+Y242+Y248+Y260+Y266+Y280+Y286-Y291+Y33+Y26</f>
    </nc>
  </rcc>
  <rcc rId="32078" sId="8">
    <oc r="Z317">
      <f>Z14+Z20+Z47+Z54+Z60+Z66+Z73+Z86+Z92+Z98+Z104+Z110+Z124+Z128+Z134+Z146+Z154+Z167+Z192+Z204+Z210+Z216+Z222+Z228+Z242+Z248+Z260+Z266+Z280+Z286-Z291</f>
    </oc>
    <nc r="Z317">
      <f>Z14+Z20+Z47+Z54+Z60+Z66+Z73+Z86+Z92+Z98+Z104+Z110+Z122+Z128+Z134+Z146+Z154+Z167+Z192+Z204+Z210+Z216+Z222+Z228+Z242+Z248+Z260+Z266+Z280+Z286-Z291+Z33+Z26</f>
    </nc>
  </rcc>
  <rcc rId="32079" sId="8">
    <oc r="AA317">
      <f>AA14+AA20+AA47+AA54+AA60+AA66+AA73+AA86+AA92+AA98+AA104+AA110+AA124+AA128+AA134+AA146+AA154+AA167+AA192+AA204+AA210+AA216+AA222+AA228+AA242+AA248+AA260+AA266+AA280+AA286-AA291</f>
    </oc>
    <nc r="AA317">
      <f>AA14+AA20+AA47+AA54+AA60+AA66+AA73+AA86+AA92+AA98+AA104+AA110+AA122+AA128+AA134+AA146+AA154+AA167+AA192+AA204+AA210+AA216+AA222+AA228+AA242+AA248+AA260+AA266+AA280+AA286-AA291+AA33+AA26</f>
    </nc>
  </rcc>
  <rcc rId="32080" sId="8">
    <oc r="AB317">
      <f>AB14+AB20+AB47+AB54+AB60+AB66+AB73+AB86+AB92+AB98+AB104+AB110+AB124+AB128+AB134+AB146+AB154+AB167+AB192+AB204+AB210+AB216+AB222+AB228+AB242+AB248+AB260+AB266+AB280+AB286-AB291</f>
    </oc>
    <nc r="AB317">
      <f>AB14+AB20+AB47+AB54+AB60+AB66+AB73+AB86+AB92+AB98+AB104+AB110+AB122+AB128+AB134+AB146+AB154+AB167+AB192+AB204+AB210+AB216+AB222+AB228+AB242+AB248+AB260+AB266+AB280+AB286-AB291+AB33+AB26</f>
    </nc>
  </rcc>
  <rcc rId="32081" sId="8">
    <oc r="AC317">
      <f>AC14+AC20+AC47+AC54+AC60+AC66+AC73+AC86+AC92+AC98+AC104+AC110+AC124+AC128+AC134+AC146+AC154+AC167+AC192+AC204+AC210+AC216+AC222+AC228+AC242+AC248+AC260+AC266+AC280+AC286-AC291</f>
    </oc>
    <nc r="AC317">
      <f>AC14+AC20+AC47+AC54+AC60+AC66+AC73+AC86+AC92+AC98+AC104+AC110+AC122+AC128+AC134+AC146+AC154+AC167+AC192+AC204+AC210+AC216+AC222+AC228+AC242+AC248+AC260+AC266+AC280+AC286-AC291+AC33+AC26</f>
    </nc>
  </rcc>
  <rcc rId="32082" sId="8">
    <oc r="AD317">
      <f>AD14+AD20+AD47+AD54+AD60+AD66+AD73+AD86+AD92+AD98+AD104+AD110+AD124+AD128+AD134+AD146+AD154+AD167+AD192+AD204+AD210+AD216+AD222+AD228+AD242+AD248+AD260+AD266+AD280+AD286-AD291</f>
    </oc>
    <nc r="AD317">
      <f>AD14+AD20+AD47+AD54+AD60+AD66+AD73+AD86+AD92+AD98+AD104+AD110+AD122+AD128+AD134+AD146+AD154+AD167+AD192+AD204+AD210+AD216+AD222+AD228+AD242+AD248+AD260+AD266+AD280+AD286-AD291+AD33+AD26</f>
    </nc>
  </rcc>
  <rcc rId="32083" sId="8">
    <oc r="AE317">
      <f>AE14+AE20+AE47+AE54+AE60+AE66+AE73+AE86+AE92+AE98+AE104+AE110+AE124+AE128+AE134+AE146+AE154+AE167+AE192+AE204+AE210+AE216+AE222+AE228+AE242+AE248+AE260+AE266+AE280+AE286-AE291</f>
    </oc>
    <nc r="AE317">
      <f>AE14+AE20+AE47+AE54+AE60+AE66+AE73+AE86+AE92+AE98+AE104+AE110+AE122+AE128+AE134+AE146+AE154+AE167+AE192+AE204+AE210+AE216+AE222+AE228+AE242+AE248+AE260+AE266+AE280+AE286-AE291+AE33+AE26</f>
    </nc>
  </rcc>
  <rcc rId="32084" sId="8">
    <oc r="H317">
      <f>H14+H20+H47+H54+H60+H66+H73+H86+H92+H98+H104+H110+H122+H128+H134+H146+H154+H167+H192+H204+H210+H216+H222+H228+H242+H248+H260+H266+H280+H286-H291</f>
    </oc>
    <nc r="H317">
      <f>H14+H20+H47+H54+H60+H66+H73+H86+H92+H98+H104+H110+H122+H128+H134+H146+H154+H167+H192+H204+H210+H216+H222+H228+H242+H248+H260+H266+H280+H286-H291+H33+H26</f>
    </nc>
  </rcc>
  <rcc rId="32085" sId="8">
    <oc r="I317">
      <f>I14+I20+I47+I54+I60+I66+I73+I86+I92+I98+I104+I110+I122+I128+I134+I146+I154+I167+I192+I204+I210+I216+I222+I228+I242+I248+I260+I266+I280+I286-I291</f>
    </oc>
    <nc r="I317">
      <f>I14+I20+I47+I54+I60+I66+I73+I86+I92+I98+I104+I110+I122+I128+I134+I146+I154+I167+I192+I204+I210+I216+I222+I228+I242+I248+I260+I266+I280+I286-I291+I33+I26</f>
    </nc>
  </rcc>
  <rcc rId="32086" sId="8">
    <oc r="J317">
      <f>J14+J20+J47+J54+J60+J66+J73+J86+J92+J98+J104+J110+J122+J128+J134+J146+J154+J167+J192+J204+J210+J216+J222+J228+J242+J248+J260+J266+J280+J286-J291</f>
    </oc>
    <nc r="J317">
      <f>J14+J20+J47+J54+J60+J66+J73+J86+J92+J98+J104+J110+J122+J128+J134+J146+J154+J167+J192+J204+J210+J216+J222+J228+J242+J248+J260+J266+J280+J286-J291+J33+J26</f>
    </nc>
  </rcc>
  <rcc rId="32087" sId="8">
    <oc r="K317">
      <f>K14+K20+K47+K54+K60+K66+K73+K86+K92+K98+K104+K110+K122+K128+K134+K146+K154+K167+K192+K204+K210+K216+K222+K228+K242+K248+K260+K266+K280+K286-K291</f>
    </oc>
    <nc r="K317">
      <f>K14+K20+K47+K54+K60+K66+K73+K86+K92+K98+K104+K110+K122+K128+K134+K146+K154+K167+K192+K204+K210+K216+K222+K228+K242+K248+K260+K266+K280+K286-K291+K33+K26</f>
    </nc>
  </rcc>
  <rcc rId="32088" sId="8">
    <oc r="L317">
      <f>L14+L20+L47+L54+L60+L66+L73+L86+L92+L98+L104+L110+L122+L128+L134+L146+L154+L167+L192+L204+L210+L216+L222+L228+L242+L248+L260+L266+L280+L286-L291</f>
    </oc>
    <nc r="L317">
      <f>L14+L20+L47+L54+L60+L66+L73+L86+L92+L98+L104+L110+L122+L128+L134+L146+L154+L167+L192+L204+L210+L216+L222+L228+L242+L248+L260+L266+L280+L286-L291+L33+L26</f>
    </nc>
  </rcc>
  <rcc rId="32089" sId="8">
    <oc r="M317">
      <f>M14+M20+M47+M54+M60+M66+M73+M86+M92+M98+M104+M110+M122+M128+M134+M146+M154+M167+M192+M204+M210+M216+M222+M228+M242+M248+M260+M266+M280+M286-M291</f>
    </oc>
    <nc r="M317">
      <f>M14+M20+M47+M54+M60+M66+M73+M86+M92+M98+M104+M110+M122+M128+M134+M146+M154+M167+M192+M204+M210+M216+M222+M228+M242+M248+M260+M266+M280+M286-M291+M33+M26</f>
    </nc>
  </rcc>
  <rcc rId="32090" sId="8">
    <oc r="N317">
      <f>N14+N20+N47+N54+N60+N66+N73+N86+N92+N98+N104+N110+N122+N128+N134+N146+N154+N167+N192+N204+N210+N216+N222+N228+N242+N248+N260+N266+N280+N286-N291</f>
    </oc>
    <nc r="N317">
      <f>N14+N20+N47+N54+N60+N66+N73+N86+N92+N98+N104+N110+N122+N128+N134+N146+N154+N167+N192+N204+N210+N216+N222+N228+N242+N248+N260+N266+N280+N286-N291+N33+N26</f>
    </nc>
  </rcc>
  <rcc rId="32091" sId="8">
    <oc r="O317">
      <f>O14+O20+O47+O54+O60+O66+O73+O86+O92+O98+O104+O110+O122+O128+O134+O146+O154+O167+O192+O204+O210+O216+O222+O228+O242+O248+O260+O266+O280+O286-O291</f>
    </oc>
    <nc r="O317">
      <f>O14+O20+O47+O54+O60+O66+O73+O86+O92+O98+O104+O110+O122+O128+O134+O146+O154+O167+O192+O204+O210+O216+O222+O228+O242+O248+O260+O266+O280+O286-O291+O33+O26</f>
    </nc>
  </rcc>
  <rcc rId="32092" sId="8">
    <oc r="P317">
      <f>P14+P20+P47+P54+P60+P66+P73+P86+P92+P98+P104+P110+P122+P128+P134+P146+P154+P167+P192+P204+P210+P216+P222+P228+P242+P248+P260+P266+P280+P286-P291</f>
    </oc>
    <nc r="P317">
      <f>P14+P20+P47+P54+P60+P66+P73+P86+P92+P98+P104+P110+P122+P128+P134+P146+P154+P167+P192+P204+P210+P216+P222+P228+P242+P248+P260+P266+P280+P286-P291+P33+P26</f>
    </nc>
  </rcc>
  <rcc rId="32093" sId="8">
    <oc r="Q317">
      <f>Q14+Q20+Q47+Q54+Q60+Q66+Q73+Q86+Q92+Q98+Q104+Q110+Q122+Q128+Q134+Q146+Q154+Q167+Q192+Q204+Q210+Q216+Q222+Q228+Q242+Q248+Q260+Q266+Q280+Q286-Q291</f>
    </oc>
    <nc r="Q317">
      <f>Q14+Q20+Q47+Q54+Q60+Q66+Q73+Q86+Q92+Q98+Q104+Q110+Q122+Q128+Q134+Q146+Q154+Q167+Q192+Q204+Q210+Q216+Q222+Q228+Q242+Q248+Q260+Q266+Q280+Q286-Q291+Q33+Q26</f>
    </nc>
  </rcc>
  <rcc rId="32094" sId="8">
    <oc r="R317">
      <f>R14+R20+R47+R54+R60+R66+R73+R86+R92+R98+R104+R110+R122+R128+R134+R146+R154+R167+R192+R204+R210+R216+R222+R228+R242+R248+R260+R266+R280+R286-R291</f>
    </oc>
    <nc r="R317">
      <f>R14+R20+R47+R54+R60+R66+R73+R86+R92+R98+R104+R110+R122+R128+R134+R146+R154+R167+R192+R204+R210+R216+R222+R228+R242+R248+R260+R266+R280+R286-R291+R33+R26</f>
    </nc>
  </rcc>
  <rcc rId="32095" sId="8">
    <oc r="S317">
      <f>S14+S20+S47+S54+S60+S66+S73+S86+S92+S98+S104+S110+S122+S128+S134+S146+S154+S167+S192+S204+S210+S216+S222+S228+S242+S248+S260+S266+S280+S286-S291</f>
    </oc>
    <nc r="S317">
      <f>S14+S20+S47+S54+S60+S66+S73+S86+S92+S98+S104+S110+S122+S128+S134+S146+S154+S167+S192+S204+S210+S216+S222+S228+S242+S248+S260+S266+S280+S286-S291+S33+S26</f>
    </nc>
  </rcc>
  <rcc rId="32096" sId="8">
    <oc r="T317">
      <f>T14+T20+T47+T54+T60+T66+T73+T86+T92+T98+T104+T110+T122+T128+T134+T146+T154+T167+T192+T204+T210+T216+T222+T228+T242+T248+T260+T266+T280+T286-T291</f>
    </oc>
    <nc r="T317">
      <f>T14+T20+T47+T54+T60+T66+T73+T86+T92+T98+T104+T110+T122+T128+T134+T146+T154+T167+T192+T204+T210+T216+T222+T228+T242+T248+T260+T266+T280+T286-T291+T33+T26</f>
    </nc>
  </rcc>
  <rcc rId="32097" sId="8">
    <oc r="U317">
      <f>U14+U20+U47+U54+U60+U66+U73+U86+U92+U98+U104+U110+U122+U128+U134+U146+U154+U167+U192+U204+U210+U216+U222+U228+U242+U248+U260+U266+U280+U286-U291</f>
    </oc>
    <nc r="U317">
      <f>U14+U20+U47+U54+U60+U66+U73+U86+U92+U98+U104+U110+U122+U128+U134+U146+U154+U167+U192+U204+U210+U216+U222+U228+U242+U248+U260+U266+U280+U286-U291+U33+U26</f>
    </nc>
  </rcc>
  <rcc rId="32098" sId="8">
    <oc r="V317">
      <f>V14+V20+V47+V54+V60+V66+V73+V86+V92+V98+V104+V110+V122+V128+V134+V146+V154+V167+V192+V204+V210+V216+V222+V228+V242+V248+V260+V266+V280+V286-V291</f>
    </oc>
    <nc r="V317">
      <f>V14+V20+V47+V54+V60+V66+V73+V86+V92+V98+V104+V110+V122+V128+V134+V146+V154+V167+V192+V204+V210+V216+V222+V228+V242+V248+V260+V266+V280+V286-V291+V33+V26</f>
    </nc>
  </rcc>
  <rcc rId="32099" sId="8">
    <oc r="W317">
      <f>W14+W20+W47+W54+W60+W66+W73+W86+W92+W98+W104+W110+W122+W128+W134+W146+W154+W167+W192+W204+W210+W216+W222+W228+W242+W248+W260+W266+W280+W286-W291</f>
    </oc>
    <nc r="W317">
      <f>W14+W20+W47+W54+W60+W66+W73+W86+W92+W98+W104+W110+W122+W128+W134+W146+W154+W167+W192+W204+W210+W216+W222+W228+W242+W248+W260+W266+W280+W286-W291+W33+W26</f>
    </nc>
  </rcc>
  <rcc rId="32100" sId="8">
    <oc r="L319">
      <f>L16+L22+L49+L56+L62+L68+L75+L88+L94+L100+L106+L112+L124+L130+L136+L148+L156+L169+L194+L206+L212+L218+L224+L230+L244+L250+L262+L268+L282+L288-L293</f>
    </oc>
    <nc r="L319">
      <f>L16+L22+L56+L62+L75+L88+L94+L100+L106+L112+L124+L130+L136+L148+L156+L169+L194+L206+L212+L218+L224+L230+L244+L250+L262+L268+L282+L288-L293+L28+L35+L69+L163</f>
    </nc>
  </rcc>
  <rcc rId="32101" sId="8">
    <oc r="M319">
      <f>M16+M22+M49+M56+M62+M68+M75+M88+M94+M100+M106+M112+M124+M130+M136+M148+M156+M169+M194+M206+M212+M218+M224+M230+M244+M250+M262+M268+M282+M288-M293</f>
    </oc>
    <nc r="M319">
      <f>M16+M22+M56+M62+M75+M88+M94+M100+M106+M112+M124+M130+M136+M148+M156+M169+M194+M206+M212+M218+M224+M230+M244+M250+M262+M268+M282+M288-M293+M28+M35+M69+M163</f>
    </nc>
  </rcc>
  <rcc rId="32102" sId="8">
    <oc r="N319">
      <f>N16+N22+N49+N56+N62+N68+N75+N88+N94+N100+N106+N112+N124+N130+N136+N148+N156+N169+N194+N206+N212+N218+N224+N230+N244+N250+N262+N268+N282+N288-N293</f>
    </oc>
    <nc r="N319">
      <f>N16+N22+N56+N62+N75+N88+N94+N100+N106+N112+N124+N130+N136+N148+N156+N169+N194+N206+N212+N218+N224+N230+N244+N250+N262+N268+N282+N288-N293+N28+N35+N69+N163</f>
    </nc>
  </rcc>
  <rcc rId="32103" sId="8">
    <oc r="O319">
      <f>O16+O22+O49+O56+O62+O68+O75+O88+O94+O100+O106+O112+O124+O130+O136+O148+O156+O169+O194+O206+O212+O218+O224+O230+O244+O250+O262+O268+O282+O288-O293</f>
    </oc>
    <nc r="O319">
      <f>O16+O22+O56+O62+O75+O88+O94+O100+O106+O112+O124+O130+O136+O148+O156+O169+O194+O206+O212+O218+O224+O230+O244+O250+O262+O268+O282+O288-O293+O28+O35+O69+O163</f>
    </nc>
  </rcc>
  <rcc rId="32104" sId="8">
    <oc r="P319">
      <f>P16+P22+P49+P56+P62+P68+P75+P88+P94+P100+P106+P112+P124+P130+P136+P148+P156+P169+P194+P206+P212+P218+P224+P230+P244+P250+P262+P268+P282+P288-P293</f>
    </oc>
    <nc r="P319">
      <f>P16+P22+P56+P62+P75+P88+P94+P100+P106+P112+P124+P130+P136+P148+P156+P169+P194+P206+P212+P218+P224+P230+P244+P250+P262+P268+P282+P288-P293+P28+P35+P69+P163</f>
    </nc>
  </rcc>
  <rcc rId="32105" sId="8">
    <oc r="Q319">
      <f>Q16+Q22+Q49+Q56+Q62+Q68+Q75+Q88+Q94+Q100+Q106+Q112+Q124+Q130+Q136+Q148+Q156+Q169+Q194+Q206+Q212+Q218+Q224+Q230+Q244+Q250+Q262+Q268+Q282+Q288-Q293</f>
    </oc>
    <nc r="Q319">
      <f>Q16+Q22+Q56+Q62+Q75+Q88+Q94+Q100+Q106+Q112+Q124+Q130+Q136+Q148+Q156+Q169+Q194+Q206+Q212+Q218+Q224+Q230+Q244+Q250+Q262+Q268+Q282+Q288-Q293+Q28+Q35+Q69+Q163</f>
    </nc>
  </rcc>
  <rcc rId="32106" sId="8">
    <oc r="R319">
      <f>R16+R22+R49+R56+R62+R68+R75+R88+R94+R100+R106+R112+R124+R130+R136+R148+R156+R169+R194+R206+R212+R218+R224+R230+R244+R250+R262+R268+R282+R288-R293</f>
    </oc>
    <nc r="R319">
      <f>R16+R22+R56+R62+R75+R88+R94+R100+R106+R112+R124+R130+R136+R148+R156+R169+R194+R206+R212+R218+R224+R230+R244+R250+R262+R268+R282+R288-R293+R28+R35+R69+R163</f>
    </nc>
  </rcc>
  <rcc rId="32107" sId="8">
    <oc r="S319">
      <f>S16+S22+S49+S56+S62+S68+S75+S88+S94+S100+S106+S112+S124+S130+S136+S148+S156+S169+S194+S206+S212+S218+S224+S230+S244+S250+S262+S268+S282+S288-S293</f>
    </oc>
    <nc r="S319">
      <f>S16+S22+S56+S62+S75+S88+S94+S100+S106+S112+S124+S130+S136+S148+S156+S169+S194+S206+S212+S218+S224+S230+S244+S250+S262+S268+S282+S288-S293+S28+S35+S69+S163</f>
    </nc>
  </rcc>
  <rcc rId="32108" sId="8">
    <oc r="T319">
      <f>T16+T22+T49+T56+T62+T68+T75+T88+T94+T100+T106+T112+T124+T130+T136+T148+T156+T169+T194+T206+T212+T218+T224+T230+T244+T250+T262+T268+T282+T288-T293</f>
    </oc>
    <nc r="T319">
      <f>T16+T22+T56+T62+T75+T88+T94+T100+T106+T112+T124+T130+T136+T148+T156+T169+T194+T206+T212+T218+T224+T230+T244+T250+T262+T268+T282+T288-T293+T28+T35+T69+T163</f>
    </nc>
  </rcc>
  <rcc rId="32109" sId="8">
    <oc r="U319">
      <f>U16+U22+U49+U56+U62+U68+U75+U88+U94+U100+U106+U112+U124+U130+U136+U148+U156+U169+U194+U206+U212+U218+U224+U230+U244+U250+U262+U268+U282+U288-U293</f>
    </oc>
    <nc r="U319">
      <f>U16+U22+U56+U62+U75+U88+U94+U100+U106+U112+U124+U130+U136+U148+U156+U169+U194+U206+U212+U218+U224+U230+U244+U250+U262+U268+U282+U288-U293+U28+U35+U69+U163</f>
    </nc>
  </rcc>
  <rcc rId="32110" sId="8">
    <oc r="V319">
      <f>V16+V22+V49+V56+V62+V68+V75+V88+V94+V100+V106+V112+V124+V130+V136+V148+V156+V169+V194+V206+V212+V218+V224+V230+V244+V250+V262+V268+V282+V288-V293</f>
    </oc>
    <nc r="V319">
      <f>V16+V22+V56+V62+V75+V88+V94+V100+V106+V112+V124+V130+V136+V148+V156+V169+V194+V206+V212+V218+V224+V230+V244+V250+V262+V268+V282+V288-V293+V28+V35+V69+V163</f>
    </nc>
  </rcc>
  <rcc rId="32111" sId="8">
    <oc r="W319">
      <f>W16+W22+W49+W56+W62+W68+W75+W88+W94+W100+W106+W112+W124+W130+W136+W148+W156+W169+W194+W206+W212+W218+W224+W230+W244+W250+W262+W268+W282+W288-W293</f>
    </oc>
    <nc r="W319">
      <f>W16+W22+W56+W62+W75+W88+W94+W100+W106+W112+W124+W130+W136+W148+W156+W169+W194+W206+W212+W218+W224+W230+W244+W250+W262+W268+W282+W288-W293+W28+W35+W69+W163</f>
    </nc>
  </rcc>
  <rcc rId="32112" sId="8">
    <oc r="X319">
      <f>X16+X22+X49+X56+X62+X68+X75+X88+X94+X100+X106+X112+#REF!+X130+X136+X148+X156+X169+X194+X206+X212+X218+X224+X230+X244+X250+X262+X268+X282+X288-X293</f>
    </oc>
    <nc r="X319">
      <f>X16+X22+X56+X62+X75+X88+X94+X100+X106+X112+X124+X130+X136+X148+X156+X169+X194+X206+X212+X218+X224+X230+X244+X250+X262+X268+X282+X288-X293+X28+X35+X69+X163</f>
    </nc>
  </rcc>
  <rcc rId="32113" sId="8">
    <oc r="Y319">
      <f>Y16+Y22+Y49+Y56+Y62+Y68+Y75+Y88+Y94+Y100+Y106+Y112+#REF!+Y130+Y136+Y148+Y156+Y169+Y194+Y206+Y212+Y218+Y224+Y230+Y244+Y250+Y262+Y268+Y282+Y288-Y293</f>
    </oc>
    <nc r="Y319">
      <f>Y16+Y22+Y56+Y62+Y75+Y88+Y94+Y100+Y106+Y112+Y124+Y130+Y136+Y148+Y156+Y169+Y194+Y206+Y212+Y218+Y224+Y230+Y244+Y250+Y262+Y268+Y282+Y288-Y293+Y28+Y35+Y69+Y163</f>
    </nc>
  </rcc>
  <rcc rId="32114" sId="8">
    <oc r="Z319">
      <f>Z16+Z22+Z49+Z56+Z62+Z68+Z75+Z88+Z94+Z100+Z106+Z112+#REF!+Z130+Z136+Z148+Z156+Z169+Z194+Z206+Z212+Z218+Z224+Z230+Z244+Z250+Z262+Z268+Z282+Z288-Z293</f>
    </oc>
    <nc r="Z319">
      <f>Z16+Z22+Z56+Z62+Z75+Z88+Z94+Z100+Z106+Z112+Z124+Z130+Z136+Z148+Z156+Z169+Z194+Z206+Z212+Z218+Z224+Z230+Z244+Z250+Z262+Z268+Z282+Z288-Z293+Z28+Z35+Z69+Z163</f>
    </nc>
  </rcc>
  <rcc rId="32115" sId="8">
    <oc r="AA319">
      <f>AA16+AA22+AA49+AA56+AA62+AA68+AA75+AA88+AA94+AA100+AA106+AA112+#REF!+AA130+AA136+AA148+AA156+AA169+AA194+AA206+AA212+AA218+AA224+AA230+AA244+AA250+AA262+AA268+AA282+AA288-AA293</f>
    </oc>
    <nc r="AA319">
      <f>AA16+AA22+AA56+AA62+AA75+AA88+AA94+AA100+AA106+AA112+AA124+AA130+AA136+AA148+AA156+AA169+AA194+AA206+AA212+AA218+AA224+AA230+AA244+AA250+AA262+AA268+AA282+AA288-AA293+AA28+AA35+AA69+AA163</f>
    </nc>
  </rcc>
  <rcc rId="32116" sId="8">
    <oc r="AB319">
      <f>AB16+AB22+AB49+AB56+AB62+AB68+AB75+AB88+AB94+AB100+AB106+AB112+#REF!+AB130+AB136+AB148+AB156+AB169+AB194+AB206+AB212+AB218+AB224+AB230+AB244+AB250+AB262+AB268+AB282+AB288-AB293</f>
    </oc>
    <nc r="AB319">
      <f>AB16+AB22+AB56+AB62+AB75+AB88+AB94+AB100+AB106+AB112+AB124+AB130+AB136+AB148+AB156+AB169+AB194+AB206+AB212+AB218+AB224+AB230+AB244+AB250+AB262+AB268+AB282+AB288-AB293+AB28+AB35+AB69+AB163</f>
    </nc>
  </rcc>
  <rcc rId="32117" sId="8">
    <oc r="AC319">
      <f>AC16+AC22+AC49+AC56+AC62+AC68+AC75+AC88+AC94+AC100+AC106+AC112+#REF!+AC130+AC136+AC148+AC156+AC169+AC194+AC206+AC212+AC218+AC224+AC230+AC244+AC250+AC262+AC268+AC282+AC288-AC293</f>
    </oc>
    <nc r="AC319">
      <f>AC16+AC22+AC56+AC62+AC75+AC88+AC94+AC100+AC106+AC112+AC124+AC130+AC136+AC148+AC156+AC169+AC194+AC206+AC212+AC218+AC224+AC230+AC244+AC250+AC262+AC268+AC282+AC288-AC293+AC28+AC35+AC69+AC163</f>
    </nc>
  </rcc>
  <rcc rId="32118" sId="8">
    <oc r="AD319">
      <f>AD16+AD22+AD49+AD56+AD62+AD68+AD75+AD88+AD94+AD100+AD106+AD112+#REF!+AD130+AD136+AD148+AD156+AD169+AD194+AD206+AD212+AD218+AD224+AD230+AD244+AD250+AD262+AD268+AD282+AD288-AD293</f>
    </oc>
    <nc r="AD319">
      <f>AD16+AD22+AD56+AD62+AD75+AD88+AD94+AD100+AD106+AD112+AD124+AD130+AD136+AD148+AD156+AD169+AD194+AD206+AD212+AD218+AD224+AD230+AD244+AD250+AD262+AD268+AD282+AD288-AD293+AD28+AD35+AD69+AD163</f>
    </nc>
  </rcc>
  <rcc rId="32119" sId="8">
    <oc r="AE319">
      <f>AE16+AE22+AE49+AE56+AE62+AE68+AE75+AE88+AE94+AE100+AE106+AE112+#REF!+AE130+AE136+AE148+AE156+AE169+AE194+AE206+AE212+AE218+AE224+AE230+AE244+AE250+AE262+AE268+AE282+AE288-AE293</f>
    </oc>
    <nc r="AE319">
      <f>AE16+AE22+AE56+AE62+AE75+AE88+AE94+AE100+AE106+AE112+AE124+AE130+AE136+AE148+AE156+AE169+AE194+AE206+AE212+AE218+AE224+AE230+AE244+AE250+AE262+AE268+AE282+AE288-AE293+AE28+AE35+AE69+AE163</f>
    </nc>
  </rcc>
  <rcc rId="32120" sId="8">
    <oc r="H319">
      <f>H16+H22+H49+H56+H62+H68+H75+H88+H94+H100+H106+H112+H124+H130+H136+H148+H156+H169+H194+H206+H212+H218+H224+H230+H244+H250+H262+H268+H282+H288-H293</f>
    </oc>
    <nc r="H319">
      <f>H16+H22+H56+H62+H75+H88+H94+H100+H106+H112+H124+H130+H136+H148+H156+H169+H194+H206+H212+H218+H224+H230+H244+H250+H262+H268+H282+H288-H293+H28+H35+H69+H163</f>
    </nc>
  </rcc>
  <rcc rId="32121" sId="8">
    <oc r="I319">
      <f>I16+I22+I49+I56+I62+I68+I75+I88+I94+I100+I106+I112+I124+I130+I136+I148+I156+I169+I194+I206+I212+I218+I224+I230+I244+I250+I262+I268+I282+I288-I293</f>
    </oc>
    <nc r="I319">
      <f>I16+I22+I56+I62+I75+I88+I94+I100+I106+I112+I124+I130+I136+I148+I156+I169+I194+I206+I212+I218+I224+I230+I244+I250+I262+I268+I282+I288-I293+I28+I35+I69+I163</f>
    </nc>
  </rcc>
  <rcc rId="32122" sId="8">
    <oc r="J319">
      <f>J16+J22+J49+J56+J62+J68+J75+J88+J94+J100+J106+J112+J124+J130+J136+J148+J156+J169+J194+J206+J212+J218+J224+J230+J244+J250+J262+J268+J282+J288-J293</f>
    </oc>
    <nc r="J319">
      <f>J16+J22+J56+J62+J75+J88+J94+J100+J106+J112+J124+J130+J136+J148+J156+J169+J194+J206+J212+J218+J224+J230+J244+J250+J262+J268+J282+J288-J293+J28+J35+J69+J163</f>
    </nc>
  </rcc>
  <rcc rId="32123" sId="8">
    <oc r="K319">
      <f>K16+K22+K49+K56+K62+K68+K75+K88+K94+K100+K106+K112+K124+K130+K136+K148+K156+K169+K194+K206+K212+K218+K224+K230+K244+K250+K262+K268+K282+K288-K293</f>
    </oc>
    <nc r="K319">
      <f>K16+K22+K56+K62+K75+K88+K94+K100+K106+K112+K124+K130+K136+K148+K156+K169+K194+K206+K212+K218+K224+K230+K244+K250+K262+K268+K282+K288-K293+K28+K35+K69+K163</f>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124" sId="8">
    <oc r="B316">
      <f>B13+B19+B46+B53+B59+B65+B72+B85+B91+B97+B103+B109+B121+B127+B133+B145+B153+B166+B191+B203+B209+B215+B221+B227+B241+B247+B259+B265+B279+B285-B290</f>
    </oc>
    <nc r="B316">
      <f>B13+B19+B46+B53+B59+B65+B72+B85+B91+B97+B103+B109+B121+B127+B133+B145+B153+B166+B191+B203+B209+B215+B221+B227+B241+B247+B259+B265+B279+B285-B290</f>
    </nc>
  </rcc>
  <rcc rId="32125" sId="8">
    <oc r="C316">
      <f>C13+C19+C46+C53+C59+C65+C72+C85+C91+C97+C103+C109+C121+C127+C133+C145+C153+C166+C191+C203+C209+C215+C221+C227+C241+C247+C259+C265+C279+C285-C290</f>
    </oc>
    <nc r="C316">
      <f>C13+C19+C46+C53+C59+C65+C72+C85+C91+C97+C103+C109+C121+C127+C133+C145+C153+C166+C191+C203+C209+C215+C221+C227+C241+C247+C259+C265+C279+C285-C290</f>
    </nc>
  </rcc>
  <rcc rId="32126" sId="8">
    <oc r="D316">
      <f>D13+D19+D46+D53+D59+D65+D72+D85+D91+D97+D103+D109+D121+D127+D133+D145+D153+D166+D191+D203+D209+D215+D221+D227+D241+D247+D259+D265+D279+D285-D290</f>
    </oc>
    <nc r="D316">
      <f>D13+D19+D46+D53+D59+D65+D72+D85+D91+D97+D103+D109+D121+D127+D133+D145+D153+D166+D191+D203+D209+D215+D221+D227+D241+D247+D259+D265+D279+D285-D290</f>
    </nc>
  </rcc>
  <rcc rId="32127" sId="8">
    <oc r="E316">
      <f>E13+E19+E46+E53+E59+E65+E72+E85+E91+E97+E103+E109+E121+E127+E133+E145+E153+E166+E191+E203+E209+E215+E221+E227+E241+E247+E259+E265+E279+E285-E290</f>
    </oc>
    <nc r="E316">
      <f>E13+E19+E46+E53+E59+E65+E72+E85+E91+E97+E103+E109+E121+E127+E133+E145+E153+E166+E191+E203+E209+E215+E221+E227+E241+E247+E259+E265+E279+E285-E290</f>
    </nc>
  </rcc>
  <rcc rId="32128" sId="8">
    <oc r="B317">
      <f>B14+B20+B47+B54+B60+B66+B73+B86+B92+B98+B104+B110+B122+B128+B134+B146+B154+B167+B192+B204+B210+B216+B222+B228+B242+B248+B260+B266+B280+B286-B291</f>
    </oc>
    <nc r="B317">
      <f>B14+B20+B47+B54+B60+B66+B73+B86+B92+B98+B104+B110+B122+B128+B134+B146+B154+B167+B192+B204+B210+B216+B222+B228+B242+B248+B260+B266+B280+B286-B291+B33+B26</f>
    </nc>
  </rcc>
  <rcc rId="32129" sId="8">
    <oc r="C317">
      <f>C14+C20+C47+C54+C60+C66+C73+C86+C92+C98+C104+C110+C122+C128+C134+C146+C154+C167+C192+C204+C210+C216+C222+C228+C242+C248+C260+C266+C280+C286-C291</f>
    </oc>
    <nc r="C317">
      <f>C14+C20+C47+C54+C60+C66+C73+C86+C92+C98+C104+C110+C122+C128+C134+C146+C154+C167+C192+C204+C210+C216+C222+C228+C242+C248+C260+C266+C280+C286-C291+C33+C26</f>
    </nc>
  </rcc>
  <rcc rId="32130" sId="8">
    <oc r="D317">
      <f>D14+D20+D47+D54+D60+D66+D73+D86+D92+D98+D104+D110+D122+D128+D134+D146+D154+D167+D192+D204+D210+D216+D222+D228+D242+D248+D260+D266+D280+D286-D291</f>
    </oc>
    <nc r="D317">
      <f>D14+D20+D47+D54+D60+D66+D73+D86+D92+D98+D104+D110+D122+D128+D134+D146+D154+D167+D192+D204+D210+D216+D222+D228+D242+D248+D260+D266+D280+D286-D291+D33+D26</f>
    </nc>
  </rcc>
  <rcc rId="32131" sId="8">
    <oc r="E317">
      <f>E14+E20+E47+E54+E60+E66+E73+E86+E92+E98+E104+E110+E122+E128+E134+E146+E154+E167+E192+E204+E210+E216+E222+E228+E242+E248+E260+E266+E280+E286-E291</f>
    </oc>
    <nc r="E317">
      <f>E14+E20+E47+E54+E60+E66+E73+E86+E92+E98+E104+E110+E122+E128+E134+E146+E154+E167+E192+E204+E210+E216+E222+E228+E242+E248+E260+E266+E280+E286-E291+E33+E26</f>
    </nc>
  </rcc>
  <rcc rId="32132" sId="8">
    <oc r="B318">
      <f>B15+B21+B48+B55+B61+B67+B74+B87+B93+B99+B105+B111+B123+B129+B135+B147+B155+B168+B193+B205+B211+B217+B223+B229+B243+B249+B261+B267+B281+B287-B292</f>
    </oc>
    <nc r="B318">
      <f>B15+B21+B48+B55+B61+B67+B74+B87+B93+B99+B105+B111+B123+B129+B135+B147+B155+B168+B193+B205+B211+B217+B223+B229+B243+B249+B261+B267+B281+B287-B292+B27+B34</f>
    </nc>
  </rcc>
  <rcc rId="32133" sId="8">
    <oc r="C318">
      <f>C15+C21+C48+C55+C61+C67+C74+C87+C93+C99+C105+C111+C123+C129+C135+C147+C155+C168+C193+C205+C211+C217+C223+C229+C243+C249+C261+C267+C281+C287-C292</f>
    </oc>
    <nc r="C318">
      <f>C15+C21+C48+C55+C61+C67+C74+C87+C93+C99+C105+C111+C123+C129+C135+C147+C155+C168+C193+C205+C211+C217+C223+C229+C243+C249+C261+C267+C281+C287-C292+C27+C34</f>
    </nc>
  </rcc>
  <rcc rId="32134" sId="8">
    <oc r="D318">
      <f>D15+D21+D48+D55+D61+D67+D74+D87+D93+D99+D105+D111+D123+D129+D135+D147+D155+D168+D193+D205+D211+D217+D223+D229+D243+D249+D261+D267+D281+D287-D292</f>
    </oc>
    <nc r="D318">
      <f>D15+D21+D48+D55+D61+D67+D74+D87+D93+D99+D105+D111+D123+D129+D135+D147+D155+D168+D193+D205+D211+D217+D223+D229+D243+D249+D261+D267+D281+D287-D292+D27+D34</f>
    </nc>
  </rcc>
  <rcc rId="32135" sId="8">
    <oc r="E318">
      <f>E15+E21+E48+E55+E61+E67+E74+E87+E93+E99+E105+E111+E123+E129+E135+E147+E155+E168+E193+E205+E211+E217+E223+E229+E243+E249+E261+E267+E281+E287-E292</f>
    </oc>
    <nc r="E318">
      <f>E15+E21+E48+E55+E61+E67+E74+E87+E93+E99+E105+E111+E123+E129+E135+E147+E155+E168+E193+E205+E211+E217+E223+E229+E243+E249+E261+E267+E281+E287-E292+E27+E34</f>
    </nc>
  </rcc>
  <rcc rId="32136" sId="8">
    <oc r="B319">
      <f>B16+B22+B49+B56+B62+B68+B75+B88+B94+B100+B106+B112+B124+B130+B136+B148+B156+B169+B194+B206+B212+B218+B224+B230+B244+B250+B262+B268+B282+B288-B293</f>
    </oc>
    <nc r="B319">
      <f>B16+B22+B56+B62+B75+B88+B94+B100+B106+B112+B124+B130+B136+B148+B156+B169+B194+B206+B212+B218+B224+B230+B244+B250+B262+B268+B282+B288-B293+B28+B35+B69+B163</f>
    </nc>
  </rcc>
  <rcc rId="32137" sId="8">
    <oc r="C319">
      <f>C16+C22+C49+C56+C62+C68+C75+C88+C94+C100+C106+C112+C124+C130+C136+C148+C156+C169+C194+C206+C212+C218+C224+C230+C244+C250+C262+C268+C282+C288-C293</f>
    </oc>
    <nc r="C319">
      <f>C16+C22+C56+C62+C75+C88+C94+C100+C106+C112+C124+C130+C136+C148+C156+C169+C194+C206+C212+C218+C224+C230+C244+C250+C262+C268+C282+C288-C293+C28+C35+C69+C163</f>
    </nc>
  </rcc>
  <rcc rId="32138" sId="8">
    <oc r="D319">
      <f>D16+D22+D49+D56+D62+D68+D75+D88+D94+D100+D106+D112+D124+D130+D136+D148+D156+D169+D194+D206+D212+D218+D224+D230+D244+D250+D262+D268+D282+D288-D293</f>
    </oc>
    <nc r="D319">
      <f>D16+D22+D56+D62+D75+D88+D94+D100+D106+D112+D124+D130+D136+D148+D156+D169+D194+D206+D212+D218+D224+D230+D244+D250+D262+D268+D282+D288-D293+D28+D35+D69+D163</f>
    </nc>
  </rcc>
  <rcc rId="32139" sId="8">
    <oc r="E319">
      <f>E16+E22+E49+E56+E62+E68+E75+E88+E94+E100+E106+E112+E124+E130+E136+E148+E156+E169+E194+E206+E212+E218+E224+E230+E244+E250+E262+E268+E282+E288-E293</f>
    </oc>
    <nc r="E319">
      <f>E16+E22+E56+E62+E75+E88+E94+E100+E106+E112+E124+E130+E136+E148+E156+E169+E194+E206+E212+E218+E224+E230+E244+E250+E262+E268+E282+E288-E293+E28+E35+E69+E163</f>
    </nc>
  </rcc>
  <rcc rId="32140" sId="8">
    <oc r="F316">
      <f>F13+F19+F46+F53+F59+F65+F72+F85+F91+F97+F103+F109+F121+F127+F133+F145+F153+F166+F191+F203+F209+F215+F221+F227+F241+F247+F259+F265+F279+F285-F290</f>
    </oc>
    <nc r="F316"/>
  </rcc>
  <rcc rId="32141" sId="8">
    <oc r="G316">
      <f>G13+G19+G46+G53+G59+G65+G72+G85+G91+G97+G103+G109+G121+G127+G133+G145+G153+G166+G191+G203+G209+G215+G221+G227+G241+G247+G259+G265+G279+G285-G290</f>
    </oc>
    <nc r="G316"/>
  </rcc>
  <rcc rId="32142" sId="8">
    <oc r="F317">
      <f>F14+F20+F47+F54+F60+F66+F73+F86+F92+F98+F104+F110+F122+F128+F134+F146+F154+F167+F192+F204+F210+F216+F222+F228+F242+F248+F260+F266+F280+F286-F291</f>
    </oc>
    <nc r="F317"/>
  </rcc>
  <rcc rId="32143" sId="8">
    <oc r="G317">
      <f>G14+G20+G47+G54+G60+G66+G73+G86+G92+G98+G104+G110+G122+G128+G134+G146+G154+G167+G192+G204+G210+G216+G222+G228+G242+G248+G260+G266+G280+G286-G291</f>
    </oc>
    <nc r="G317"/>
  </rcc>
  <rcc rId="32144" sId="8">
    <oc r="F318">
      <f>F15+F21+F48+F55+F61+F67+F74+F87+F93+F99+F105+F111+F123+F129+F135+F147+F155+F168+F193+F205+F211+F217+F223+F229+F243+F249+F261+F267+F281+F287-F292</f>
    </oc>
    <nc r="F318"/>
  </rcc>
  <rcc rId="32145" sId="8">
    <oc r="G318">
      <f>G15+G21+G48+G55+G61+G67+G74+G87+G93+G99+G105+G111+G123+G129+G135+G147+G155+G168+G193+G205+G211+G217+G223+G229+G243+G249+G261+G267+G281+G287-G292</f>
    </oc>
    <nc r="G318"/>
  </rcc>
  <rcc rId="32146" sId="8">
    <oc r="F319">
      <f>F16+F22+F49+F56+F62+F68+F75+F88+F94+F100+F106+F112+F124+F130+F136+F148+F156+F169+F194+F206+F212+F218+F224+F230+F244+F250+F262+F268+F282+F288-F293</f>
    </oc>
    <nc r="F319"/>
  </rcc>
  <rcc rId="32147" sId="8">
    <oc r="G319">
      <f>G16+G22+G49+G56+G62+G68+G75+G88+G94+G100+G106+G112+G124+G130+G136+G148+G156+G169+G194+G206+G212+G218+G224+G230+G244+G250+G262+G268+G282+G288-G293</f>
    </oc>
    <nc r="G319"/>
  </rcc>
  <rcmt sheetId="8" cell="E291" guid="{00000000-0000-0000-0000-000000000000}" action="delete" author="Степаненко Наталья Алексеевна"/>
  <rfmt sheetId="8" sqref="E291">
    <dxf>
      <fill>
        <patternFill>
          <bgColor rgb="FFFFFF00"/>
        </patternFill>
      </fill>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B12:G28" start="0" length="2147483647">
    <dxf>
      <font>
        <color auto="1"/>
      </font>
    </dxf>
  </rfmt>
  <rfmt sheetId="8" sqref="B31:G35" start="0" length="2147483647">
    <dxf>
      <font>
        <color auto="1"/>
      </font>
    </dxf>
  </rfmt>
  <rfmt sheetId="8" sqref="B151:E156" start="0" length="2147483647">
    <dxf>
      <font>
        <color auto="1"/>
      </font>
    </dxf>
  </rfmt>
  <rfmt sheetId="8" sqref="AF23" start="0" length="0">
    <dxf>
      <font>
        <sz val="14"/>
        <color auto="1"/>
        <name val="Times New Roman"/>
        <scheme val="none"/>
      </font>
      <fill>
        <patternFill>
          <bgColor theme="7" tint="0.79998168889431442"/>
        </patternFill>
      </fill>
      <alignment vertical="bottom" wrapText="0" readingOrder="0"/>
    </dxf>
  </rfmt>
  <rfmt sheetId="8" sqref="AF24" start="0" length="0">
    <dxf>
      <font>
        <sz val="14"/>
        <color auto="1"/>
        <name val="Times New Roman"/>
        <scheme val="none"/>
      </font>
      <fill>
        <patternFill patternType="solid">
          <bgColor theme="7" tint="0.79998168889431442"/>
        </patternFill>
      </fill>
      <alignment vertical="bottom" wrapText="0" readingOrder="0"/>
    </dxf>
  </rfmt>
  <rfmt sheetId="8" sqref="AF23">
    <dxf>
      <alignment wrapText="1" readingOrder="0"/>
    </dxf>
  </rfmt>
  <rfmt sheetId="8" sqref="AF24">
    <dxf>
      <alignment wrapText="1" readingOrder="0"/>
    </dxf>
  </rfmt>
  <rfmt sheetId="8" sqref="AF1:AF1048576">
    <dxf>
      <fill>
        <patternFill patternType="none">
          <bgColor auto="1"/>
        </patternFill>
      </fill>
    </dxf>
  </rfmt>
  <rfmt sheetId="8" sqref="AF31" start="0" length="0">
    <dxf>
      <font>
        <sz val="14"/>
        <name val="Times New Roman"/>
        <scheme val="none"/>
      </font>
    </dxf>
  </rfmt>
  <rfmt sheetId="8" sqref="AF1:AF1048576" start="0" length="2147483647">
    <dxf>
      <font/>
    </dxf>
  </rfmt>
  <rfmt sheetId="8" sqref="AF1:AF1048576" start="0" length="2147483647">
    <dxf>
      <font>
        <sz val="14"/>
      </font>
    </dxf>
  </rfmt>
  <rfmt sheetId="8" sqref="AF57">
    <dxf>
      <alignment vertical="top" readingOrder="0"/>
    </dxf>
  </rfmt>
  <rcc rId="32148" sId="8">
    <oc r="AF57" t="inlineStr">
      <is>
        <t>Отклонение возникло:
-по оплате труда и начисления - 205,88т.р (наличие больничных листов);
- услуги связи -15,45т.р. (в учреждении действует режим экономиии на телефонную связь)                                                                                                                                                                                                                                                                                                                                                                                                                                                                                                                                                                                                                                                                                                                                                                                                                                                                           
-по коммунальным услугам -255,91.р.(фактические показания счетчиков);
-по работам и услугам по содержанию имущества-14,01т.р. (остаток средств по дог.содержание,тек. ремонт жил. фонда);
-увеличение стоимости основных средств -125,37т.р. (экономия по запросу котировок, остаток будет использован на приобретение компьютеров в 2025 году).</t>
      </is>
    </oc>
    <nc r="AF57" t="inlineStr">
      <is>
        <r>
          <rPr>
            <b/>
            <sz val="14"/>
            <color rgb="FFFF0000"/>
            <rFont val="Times New Roman"/>
            <family val="1"/>
            <charset val="204"/>
          </rPr>
          <t>ОТКЛОНЕНИЕ ВСЕГО 237,31 ТЫС. РУБ., ПРОПИСАНО БОЛЬШЕ ПО СУММАМ</t>
        </r>
        <r>
          <rPr>
            <sz val="14"/>
            <rFont val="Times New Roman"/>
            <family val="1"/>
            <charset val="204"/>
          </rPr>
          <t xml:space="preserve">
Отклонение возникло:
-по оплате труда и начисления - 205,88т.р (наличие больничных листов);
- услуги связи -15,45т.р. (в учреждении действует режим экономиии на телефонную связь)                                                                                                                                                                                                                                                                                                                                                                                                                                                                                                                                                                                                                                                                                                                                                                                                                                                                           
-по коммунальным услугам -255,91.р.(фактические показания счетчиков);
-по работам и услугам по содержанию имущества-14,01т.р. (остаток средств по дог.содержание,тек. ремонт жил. фонда);
-увеличение стоимости основных средств -125,37т.р. (экономия по запросу котировок, остаток будет использован на приобретение компьютеров в 2025 году).</t>
        </r>
      </is>
    </nc>
  </rcc>
  <rfmt sheetId="8" sqref="AF1:AF1048576">
    <dxf>
      <alignment vertical="top" readingOrder="0"/>
    </dxf>
  </rfmt>
  <rfmt sheetId="8" sqref="AF6:AF7">
    <dxf>
      <alignment vertical="center" readingOrder="0"/>
    </dxf>
  </rfmt>
  <rfmt sheetId="8" sqref="AF81">
    <dxf>
      <alignment wrapText="1" readingOrder="0"/>
    </dxf>
  </rfmt>
  <rfmt sheetId="8" sqref="AF81" start="0" length="2147483647">
    <dxf>
      <font>
        <color rgb="FFFF0000"/>
      </font>
    </dxf>
  </rfmt>
  <rfmt sheetId="8" sqref="AF81" start="0" length="2147483647">
    <dxf>
      <font>
        <b/>
      </font>
    </dxf>
  </rfmt>
  <rfmt sheetId="8" sqref="AM107">
    <dxf>
      <numFmt numFmtId="164" formatCode="_-* #,##0.00\ _₽_-;\-* #,##0.00\ _₽_-;_-* &quot;-&quot;??\ _₽_-;_-@_-"/>
    </dxf>
  </rfmt>
  <rcc rId="32149" sId="8">
    <nc r="AM107">
      <f>1372.486+138.813+293.412+53.426+10.479+15.409+851.356+9.591</f>
    </nc>
  </rcc>
  <rcc rId="32150" sId="8">
    <oc r="AF107" t="inlineStr">
      <is>
        <t>Остаток средств в сумме 1 372,486  т.руб., в т.ч.  остаток по  выплате заработной платы и соц.выплат   - 0  т.р. , начисл. на зар.плату - 138,813 т.руб., оплаты за коммунальные услуги по фактическим расходам и показаниям счетчиков- 293,412 т.р.,оплаты за содержание здания по факту предоставленных документов на оплату от поставщика - 53,426 т.руб., оплата услуг связи - 10,479 т.руб., оплата б/л за счет ср-в работод - 15,409 т.руб.оплаты налога на имущество - 851,356 т.руб.оплата командировочных расходов - 9 591 т.руб.</t>
      </is>
    </oc>
    <nc r="AF107" t="inlineStr">
      <is>
        <r>
          <t xml:space="preserve">Остаток средств в сумме 1 372,486  т.руб., в т.ч.  остаток по  выплате заработной платы и соц.выплат   - 0  т.р. , начисл. на зар.плату - 138,813 т.руб., оплаты за коммунальные услуги по фактическим расходам и показаниям счетчиков- 293,412 т.р.,оплаты за содержание здания по факту предоставленных документов на оплату от поставщика - 53,426 т.руб., оплата услуг связи - 10,479 т.руб., оплата б/л за счет ср-в работод - 15,409 т.руб.оплаты налога на имущество - 851,356 т.руб.оплата командировочных расходов - 9 591 т.руб.
</t>
        </r>
        <r>
          <rPr>
            <b/>
            <sz val="14"/>
            <color rgb="FFFF0000"/>
            <rFont val="Times New Roman"/>
            <family val="1"/>
            <charset val="204"/>
          </rPr>
          <t xml:space="preserve">ПЕРЕРОПВЕРИТЬ СУММЫ, С ОБЩЕЙ НЕ СХОДИТСЯ </t>
        </r>
      </is>
    </nc>
  </rcc>
  <rcv guid="{533DC55B-6AD4-4674-9488-685EF2039F3E}" action="delete"/>
  <rdn rId="0" localSheetId="2" customView="1" name="Z_533DC55B_6AD4_4674_9488_685EF2039F3E_.wvu.Rows" hidden="1" oldHidden="1">
    <formula>'1.СЗН'!$70:$74</formula>
    <oldFormula>'1.СЗН'!$70:$74</oldFormula>
  </rdn>
  <rdn rId="0" localSheetId="2" customView="1" name="Z_533DC55B_6AD4_4674_9488_685EF2039F3E_.wvu.FilterData" hidden="1" oldHidden="1">
    <formula>'1.СЗН'!$A$1:$AF$64</formula>
    <oldFormula>'1.СЗН'!$A$1:$AF$64</oldFormula>
  </rdn>
  <rdn rId="0" localSheetId="3" customView="1" name="Z_533DC55B_6AD4_4674_9488_685EF2039F3E_.wvu.FilterData" hidden="1" oldHidden="1">
    <formula>'2.АПК'!$A$1:$AF$36</formula>
    <oldFormula>'2.АПК'!$A$1:$AF$36</oldFormula>
  </rdn>
  <rdn rId="0" localSheetId="4" customView="1" name="Z_533DC55B_6AD4_4674_9488_685EF2039F3E_.wvu.FilterData" hidden="1" oldHidden="1">
    <formula>'3.БЖД'!$A$1:$AF$17</formula>
    <oldFormula>'3.БЖД'!$A$1:$AF$17</oldFormula>
  </rdn>
  <rdn rId="0" localSheetId="5" customView="1" name="Z_533DC55B_6AD4_4674_9488_685EF2039F3E_.wvu.FilterData" hidden="1" oldHidden="1">
    <formula>'4.УМИ'!$A$1:$AF$11</formula>
    <oldFormula>'4.УМИ'!$A$1:$AF$11</oldFormula>
  </rdn>
  <rdn rId="0" localSheetId="6" customView="1" name="Z_533DC55B_6AD4_4674_9488_685EF2039F3E_.wvu.FilterData" hidden="1" oldHidden="1">
    <formula>'5.Проф. прав.'!$A$1:$AF$12</formula>
    <oldFormula>'5.Проф. прав.'!$A$1:$AF$12</oldFormula>
  </rdn>
  <rdn rId="0" localSheetId="7" customView="1" name="Z_533DC55B_6AD4_4674_9488_685EF2039F3E_.wvu.Rows" hidden="1" oldHidden="1">
    <formula>'6.Экстримизм'!$9:$23,'6.Экстримизм'!$30:$38,'6.Экстримизм'!$44:$49,'6.Экстримизм'!$65:$67,'6.Экстримизм'!$71:$76,'6.Экстримизм'!$86:$88,'6.Экстримизм'!$95:$97</formula>
    <oldFormula>'6.Экстримизм'!$9:$23,'6.Экстримизм'!$30:$38,'6.Экстримизм'!$44:$49,'6.Экстримизм'!$65:$67,'6.Экстримизм'!$71:$76,'6.Экстримизм'!$86:$88,'6.Экстримизм'!$95:$97</oldFormula>
  </rdn>
  <rdn rId="0" localSheetId="7" customView="1" name="Z_533DC55B_6AD4_4674_9488_685EF2039F3E_.wvu.FilterData" hidden="1" oldHidden="1">
    <formula>'6.Экстримизм'!$A$1:$AF$11</formula>
    <oldFormula>'6.Экстримизм'!$A$1:$AF$11</oldFormula>
  </rdn>
  <rdn rId="0" localSheetId="14" customView="1" name="Z_533DC55B_6AD4_4674_9488_685EF2039F3E_.wvu.FilterData" hidden="1" oldHidden="1">
    <formula>'11.МП РО'!$A$7:$AP$125</formula>
    <oldFormula>'11.МП РО'!$A$7:$AP$125</oldFormula>
  </rdn>
  <rdn rId="0" localSheetId="17" customView="1" name="Z_533DC55B_6AD4_4674_9488_685EF2039F3E_.wvu.Rows" hidden="1" oldHidden="1">
    <formula>'13.МП РЖС'!$122:$127</formula>
    <oldFormula>'13.МП РЖС'!$122:$127</oldFormula>
  </rdn>
  <rdn rId="0" localSheetId="17" customView="1" name="Z_533DC55B_6AD4_4674_9488_685EF2039F3E_.wvu.Cols" hidden="1" oldHidden="1">
    <formula>'13.МП РЖС'!$AG:$AG</formula>
    <oldFormula>'13.МП РЖС'!$AG:$AG</oldFormula>
  </rdn>
  <rcv guid="{533DC55B-6AD4-4674-9488-685EF2039F3E}"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162" sId="8">
    <oc r="AH120">
      <f>H120+J120+L120+N120+P120+R120+T120+V120+X120+Z120+AB120+AD120</f>
    </oc>
    <nc r="AH120">
      <f>H120+J120+L120+N120+P120+R120+T120+V120+X120+Z120+AB120+AD120</f>
    </nc>
  </rcc>
  <rcc rId="32163" sId="8">
    <oc r="AH121">
      <f>H121+J121+L121+N121+P121+R121+T121+V121+X121+Z121+AB121+AD121</f>
    </oc>
    <nc r="AH121">
      <f>H121+J121+L121+N121+P121+R121+T121+V121+X121+Z121+AB121+AD121</f>
    </nc>
  </rcc>
  <rcc rId="32164" sId="8">
    <oc r="AI121">
      <f>AH121</f>
    </oc>
    <nc r="AI121">
      <f>AH121</f>
    </nc>
  </rcc>
  <rcc rId="32165" sId="8">
    <oc r="AJ121">
      <f>I121+K121+M121+O121+Q121+S121+U121+W121+Y121+AA121+AC121+AE121</f>
    </oc>
    <nc r="AJ121">
      <f>I121+K121+M121+O121+Q121+S121+U121+W121+Y121+AA121+AC121+AE121</f>
    </nc>
  </rcc>
  <rcc rId="32166" sId="8">
    <oc r="AK121">
      <f>B121-E121</f>
    </oc>
    <nc r="AK121">
      <f>B121-E121</f>
    </nc>
  </rcc>
  <rcc rId="32167" sId="8">
    <oc r="AH122">
      <f>H122+J122+L122+N122+P122+R122+T122+V122+X124+Z124+AB124+AD124</f>
    </oc>
    <nc r="AH122">
      <f>H122+J122+L122+N122+P122+R122+T122+V122+X122+Z122+AB122+AD122</f>
    </nc>
  </rcc>
  <rcc rId="32168" sId="8">
    <oc r="AI122">
      <f>AH122</f>
    </oc>
    <nc r="AI122">
      <f>AH122</f>
    </nc>
  </rcc>
  <rcc rId="32169" sId="8">
    <oc r="AJ122">
      <f>I122+K122+M122+O122+Q122+S122+U122+W122+Y124+AA124+AC124+AE124</f>
    </oc>
    <nc r="AJ122">
      <f>I122+K122+M122+O122+Q122+S122+U122+W122+Y122+AA122+AC122+AE122</f>
    </nc>
  </rcc>
  <rcc rId="32170" sId="8">
    <oc r="AK122">
      <f>B122-E122</f>
    </oc>
    <nc r="AK122">
      <f>B122-E122</f>
    </nc>
  </rcc>
  <rcc rId="32171" sId="8">
    <oc r="AH123">
      <f>H123+J123+L123+N123+P123+R123+T123+V123+X123+Z123+AB123+AD123</f>
    </oc>
    <nc r="AH123">
      <f>H123+J123+L123+N123+P123+R123+T123+V123+X123+Z123+AB123+AD123</f>
    </nc>
  </rcc>
  <rcc rId="32172" sId="8">
    <oc r="AI123">
      <f>AH123</f>
    </oc>
    <nc r="AI123">
      <f>AH123</f>
    </nc>
  </rcc>
  <rcc rId="32173" sId="8">
    <oc r="AJ123">
      <f>I123+K123+M123+O123+Q123+S123+U123+W123+Y123+AA123+AC123+AE123</f>
    </oc>
    <nc r="AJ123">
      <f>I123+K123+M123+O123+Q123+S123+U123+W123+Y123+AA123+AC123+AE123</f>
    </nc>
  </rcc>
  <rcc rId="32174" sId="8">
    <oc r="AK123">
      <f>B123-E123</f>
    </oc>
    <nc r="AK123">
      <f>B123-E123</f>
    </nc>
  </rcc>
  <rcc rId="32175" sId="8">
    <oc r="AH124">
      <f>H124+J124+L124+N124+P124+R124+T124+V124+#REF!+#REF!+#REF!+#REF!</f>
    </oc>
    <nc r="AH124">
      <f>H124+J124+L124+N124+P124+R124+T124+V124+X124+Z124+AB124+AD124</f>
    </nc>
  </rcc>
  <rcc rId="32176" sId="8">
    <oc r="AI124">
      <f>AH124</f>
    </oc>
    <nc r="AI124">
      <f>AH124</f>
    </nc>
  </rcc>
  <rcc rId="32177" sId="8">
    <oc r="AJ124">
      <f>I124+K124+M124+O124+Q124+S124+U124+W124+#REF!+#REF!+#REF!+#REF!</f>
    </oc>
    <nc r="AJ124">
      <f>I124+K124+M124+O124+Q124+S124+U124+W124+Y124+AA124+AC124+AE124</f>
    </nc>
  </rcc>
  <rcc rId="32178" sId="8">
    <oc r="AK124">
      <f>B124-E124</f>
    </oc>
    <nc r="AK124">
      <f>B124-E124</f>
    </nc>
  </rcc>
  <rcc rId="32179" sId="8">
    <oc r="AG121">
      <f>B121-H121-J121-L121-N121-P121-R121-T121-V121-X121-Z121-AB121-AD121</f>
    </oc>
    <nc r="AG121">
      <f>B121-H121-J121-L121-N121-P121-R121-T121-V121-X121-Z121-AB121-AD121</f>
    </nc>
  </rcc>
  <rcc rId="32180" sId="8">
    <oc r="AG122">
      <f>B122-H122-J122-L122-N122-P122-R122-T122-V122-X124-Z124-AB124-AD124</f>
    </oc>
    <nc r="AG122">
      <f>B122-H122-J122-L122-N122-P122-R122-T122-V122-X122-Z122-AB122-AD122</f>
    </nc>
  </rcc>
  <rcc rId="32181" sId="8">
    <oc r="AG123">
      <f>B123-H123-J123-L123-N123-P123-R123-T123-V123-X123-Z123-AB123-AD123</f>
    </oc>
    <nc r="AG123">
      <f>B123-H123-J123-L123-N123-P123-R123-T123-V123-X123-Z123-AB123-AD123</f>
    </nc>
  </rcc>
  <rcc rId="32182" sId="8">
    <oc r="AG124">
      <f>B124-H124-J124-L124-N124-P124-R124-T124-V124-#REF!-#REF!-#REF!-#REF!</f>
    </oc>
    <nc r="AG124">
      <f>B124-H124-J124-L124-N124-P124-R124-T124-V124-X124-Z124-AB124-AD124</f>
    </nc>
  </rcc>
  <rfmt sheetId="8" sqref="AF171" start="0" length="0">
    <dxf>
      <border>
        <left style="thin">
          <color indexed="64"/>
        </left>
        <right style="thin">
          <color indexed="64"/>
        </right>
        <top style="thin">
          <color indexed="64"/>
        </top>
        <bottom style="thin">
          <color indexed="64"/>
        </bottom>
      </border>
    </dxf>
  </rfmt>
  <rfmt sheetId="8" sqref="AF171">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8" sqref="AF164" start="0" length="0">
    <dxf>
      <border>
        <left style="thin">
          <color indexed="64"/>
        </left>
        <right style="thin">
          <color indexed="64"/>
        </right>
        <top style="thin">
          <color indexed="64"/>
        </top>
        <bottom style="thin">
          <color indexed="64"/>
        </bottom>
      </border>
    </dxf>
  </rfmt>
  <rfmt sheetId="8" sqref="AF164">
    <dxf>
      <border>
        <left style="thin">
          <color indexed="64"/>
        </left>
        <right style="thin">
          <color indexed="64"/>
        </right>
        <top style="thin">
          <color indexed="64"/>
        </top>
        <bottom style="thin">
          <color indexed="64"/>
        </bottom>
        <vertical style="thin">
          <color indexed="64"/>
        </vertical>
        <horizontal style="thin">
          <color indexed="64"/>
        </horizontal>
      </border>
    </dxf>
  </rfmt>
  <rcc rId="32183" sId="8">
    <oc r="AF184" t="inlineStr">
      <is>
        <t>Денежные средства не освоены в связи с отменой мероприятия, согласно письма от Управления Федеральной службы по надзору в сфере защиты прав потребителей и благополучия человека по ХМАО-Югре  от 26.03.2024 №438 "О заболеваемости коревой инфекции в г. Когалыме и дополнительных противоэпидемических мероприятий". В декабре месяце были возвращены в бюджетгорода Когалыма</t>
      </is>
    </oc>
    <nc r="AF184" t="inlineStr">
      <is>
        <t>Денежные средства не освоены в связи с отменой мероприятия, согласно письма от Управления Федеральной службы по надзору в сфере защиты прав потребителей и благополучия человека по ХМАО-Югре  от 26.03.2024 №438 "О заболеваемости коревой инфекции в г. Когалыме и дополнительных противоэпидемических мероприятий". В декабре месяце были возвращены в бюджет города Когалыма</t>
      </is>
    </nc>
  </rcc>
  <rcc rId="32184" sId="8">
    <nc r="AF205" t="inlineStr">
      <is>
        <t xml:space="preserve">ПРПИСАТЬ ПРИЧИНЫ ОТКЛОНЕНИЙ 347,43 ТЫС. РУБ </t>
      </is>
    </nc>
  </rcc>
  <rfmt sheetId="8" sqref="AF205" start="0" length="2147483647">
    <dxf>
      <font>
        <color rgb="FFFF0000"/>
      </font>
    </dxf>
  </rfmt>
  <rfmt sheetId="8" sqref="AF205" start="0" length="2147483647">
    <dxf>
      <font>
        <b/>
      </font>
    </dxf>
  </rfmt>
  <rcc rId="32185" sId="8">
    <oc r="AF213" t="inlineStr">
      <is>
        <t>Отклонение -4431,757 тыс. руб., в том числе: 1561,868 тыс. руб. - заработная плата, 16,679 тыс. руб. - оплата листка нетрудоспособности за счет средств работодателя, 0,701тыс. руб. - первичный медосмотр, 722,675 тыс. руб. - начисление на выплаты по оплате труда, 121,538 тыс. руб. - услуги связи, 7,825 тыс. руб. - экономия по транспортным услугам, 32,746 тыс. руб. - экономия по водопотреблению, 179,874 тыс. руб. - услуги по обращению с ТКО, 346,082 тыс. руб. - экономия по техническому обслуживанию зданий, 205,102 тыс. руб. - экономия по противопожарному обслуживанию,44,288 тыс. руб. - анализ сточных вод не производился,  38,075 тыс. руб. - медосмотр,  22,616тыс. руб. - услуги охраны, 0,002тыс. руб. - теплопотребление, 537,576 тыс. руб. - энергопотребление, 458,110тыс руб. - содержание объекта благоустройства Набережная реки Ингу-Ягун., 136,000 тыс.руб.-компенсация стоимости путёвок на санаторно-курортное лечение.</t>
      </is>
    </oc>
    <nc r="AF213" t="inlineStr">
      <is>
        <t>Отклонение - 4 431,757 тыс. руб., в том числе: 1561,868 тыс. руб. - заработная плата, 16,679 тыс. руб. - оплата листка нетрудоспособности за счет средств работодателя, 0,701тыс. руб. - первичный медосмотр, 722,675 тыс. руб. - начисление на выплаты по оплате труда, 121,538 тыс. руб. - услуги связи, 7,825 тыс. руб. - экономия по транспортным услугам, 32,746 тыс. руб. - экономия по водопотреблению, 179,874 тыс. руб. - услуги по обращению с ТКО, 346,082 тыс. руб. - экономия по техническому обслуживанию зданий, 205,102 тыс. руб. - экономия по противопожарному обслуживанию,44,288 тыс. руб. - анализ сточных вод не производился,  38,075 тыс. руб. - медосмотр,  22,616тыс. руб. - услуги охраны, 0,002тыс. руб. - теплопотребление, 537,576 тыс. руб. - энергопотребление, 458,110тыс руб. - содержание объекта благоустройства Набережная реки Ингу-Ягун., 136,000 тыс.руб.-компенсация стоимости путёвок на санаторно-курортное лечение.</t>
      </is>
    </nc>
  </rcc>
  <rcc rId="32186" sId="8">
    <oc r="AF263" t="inlineStr">
      <is>
        <r>
          <t xml:space="preserve">Кассовый расход сформировался меньше планового в связи с: образованием листов временной нетрудоспособности, вакантных ставок (плотник, уборщик служебных помещений, уборщик территорий).
</t>
        </r>
        <r>
          <rPr>
            <b/>
            <sz val="14"/>
            <rFont val="Times New Roman"/>
            <family val="1"/>
            <charset val="204"/>
          </rPr>
          <t xml:space="preserve">ОТКЛОНЕНИЕ 2 777,7 ТЫС. РУБЛЕЙ </t>
        </r>
      </is>
    </oc>
    <nc r="AF263" t="inlineStr">
      <is>
        <r>
          <t xml:space="preserve">Кассовый расход сформировался меньше планового в связи с: образованием листов временной нетрудоспособности, вакантных ставок (плотник, уборщик служебных помещений, уборщик территорий).
</t>
        </r>
        <r>
          <rPr>
            <b/>
            <sz val="14"/>
            <rFont val="Times New Roman"/>
            <family val="1"/>
            <charset val="204"/>
          </rPr>
          <t xml:space="preserve">ОТКЛОНЕНИЕ 2 777,7 ТЫС. РУБЛЕЙ 
</t>
        </r>
        <r>
          <rPr>
            <b/>
            <sz val="14"/>
            <color rgb="FFFF0000"/>
            <rFont val="Times New Roman"/>
            <family val="1"/>
            <charset val="204"/>
          </rPr>
          <t xml:space="preserve">ОТКЛОНЕНИЕ 5 743,70, НУЖНО УТОЧНИТЬ ПОЯСНЕНИЕ  </t>
        </r>
      </is>
    </nc>
  </rcc>
  <rcv guid="{533DC55B-6AD4-4674-9488-685EF2039F3E}" action="delete"/>
  <rdn rId="0" localSheetId="2" customView="1" name="Z_533DC55B_6AD4_4674_9488_685EF2039F3E_.wvu.Rows" hidden="1" oldHidden="1">
    <formula>'1.СЗН'!$70:$74</formula>
    <oldFormula>'1.СЗН'!$70:$74</oldFormula>
  </rdn>
  <rdn rId="0" localSheetId="2" customView="1" name="Z_533DC55B_6AD4_4674_9488_685EF2039F3E_.wvu.FilterData" hidden="1" oldHidden="1">
    <formula>'1.СЗН'!$A$1:$AF$64</formula>
    <oldFormula>'1.СЗН'!$A$1:$AF$64</oldFormula>
  </rdn>
  <rdn rId="0" localSheetId="3" customView="1" name="Z_533DC55B_6AD4_4674_9488_685EF2039F3E_.wvu.FilterData" hidden="1" oldHidden="1">
    <formula>'2.АПК'!$A$1:$AF$36</formula>
    <oldFormula>'2.АПК'!$A$1:$AF$36</oldFormula>
  </rdn>
  <rdn rId="0" localSheetId="4" customView="1" name="Z_533DC55B_6AD4_4674_9488_685EF2039F3E_.wvu.FilterData" hidden="1" oldHidden="1">
    <formula>'3.БЖД'!$A$1:$AF$17</formula>
    <oldFormula>'3.БЖД'!$A$1:$AF$17</oldFormula>
  </rdn>
  <rdn rId="0" localSheetId="5" customView="1" name="Z_533DC55B_6AD4_4674_9488_685EF2039F3E_.wvu.FilterData" hidden="1" oldHidden="1">
    <formula>'4.УМИ'!$A$1:$AF$11</formula>
    <oldFormula>'4.УМИ'!$A$1:$AF$11</oldFormula>
  </rdn>
  <rdn rId="0" localSheetId="6" customView="1" name="Z_533DC55B_6AD4_4674_9488_685EF2039F3E_.wvu.FilterData" hidden="1" oldHidden="1">
    <formula>'5.Проф. прав.'!$A$1:$AF$12</formula>
    <oldFormula>'5.Проф. прав.'!$A$1:$AF$12</oldFormula>
  </rdn>
  <rdn rId="0" localSheetId="7" customView="1" name="Z_533DC55B_6AD4_4674_9488_685EF2039F3E_.wvu.Rows" hidden="1" oldHidden="1">
    <formula>'6.Экстримизм'!$9:$23,'6.Экстримизм'!$30:$38,'6.Экстримизм'!$44:$49,'6.Экстримизм'!$65:$67,'6.Экстримизм'!$71:$76,'6.Экстримизм'!$86:$88,'6.Экстримизм'!$95:$97</formula>
    <oldFormula>'6.Экстримизм'!$9:$23,'6.Экстримизм'!$30:$38,'6.Экстримизм'!$44:$49,'6.Экстримизм'!$65:$67,'6.Экстримизм'!$71:$76,'6.Экстримизм'!$86:$88,'6.Экстримизм'!$95:$97</oldFormula>
  </rdn>
  <rdn rId="0" localSheetId="7" customView="1" name="Z_533DC55B_6AD4_4674_9488_685EF2039F3E_.wvu.FilterData" hidden="1" oldHidden="1">
    <formula>'6.Экстримизм'!$A$1:$AF$11</formula>
    <oldFormula>'6.Экстримизм'!$A$1:$AF$11</oldFormula>
  </rdn>
  <rdn rId="0" localSheetId="14" customView="1" name="Z_533DC55B_6AD4_4674_9488_685EF2039F3E_.wvu.FilterData" hidden="1" oldHidden="1">
    <formula>'11.МП РО'!$A$7:$AP$125</formula>
    <oldFormula>'11.МП РО'!$A$7:$AP$125</oldFormula>
  </rdn>
  <rdn rId="0" localSheetId="17" customView="1" name="Z_533DC55B_6AD4_4674_9488_685EF2039F3E_.wvu.Rows" hidden="1" oldHidden="1">
    <formula>'13.МП РЖС'!$122:$127</formula>
    <oldFormula>'13.МП РЖС'!$122:$127</oldFormula>
  </rdn>
  <rdn rId="0" localSheetId="17" customView="1" name="Z_533DC55B_6AD4_4674_9488_685EF2039F3E_.wvu.Cols" hidden="1" oldHidden="1">
    <formula>'13.МП РЖС'!$AG:$AG</formula>
    <oldFormula>'13.МП РЖС'!$AG:$AG</oldFormula>
  </rdn>
  <rcv guid="{533DC55B-6AD4-4674-9488-685EF2039F3E}"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860" sId="8" numFmtId="4">
    <nc r="D192">
      <v>6514</v>
    </nc>
  </rcc>
  <rcc rId="30861" sId="8" numFmtId="4">
    <oc r="D191">
      <f>E191</f>
    </oc>
    <nc r="D191">
      <v>11154.6</v>
    </nc>
  </rcc>
  <rcc rId="30862" sId="8">
    <oc r="E192">
      <f>SUM(I192,K192,M192,O192,Q192,S192,U192,W192,Y192,AA192,AC192,AE192)</f>
    </oc>
    <nc r="E192">
      <f>SUM(I192,K192,M192,O192,Q192,S192,U192,W192,Y192,AA192,AC192,AE192)</f>
    </nc>
  </rcc>
  <rcc rId="30863" sId="8">
    <oc r="E191">
      <f>SUM(I191,K191,M191,O191,Q191,S191,U191,W191,Y191,AA191,AC191,AE191)</f>
    </oc>
    <nc r="E191">
      <f>SUM(I191,K191,M191,O191,Q191,S191,U191,W191,Y191,AA191,AC191,AE191)</f>
    </nc>
  </rcc>
  <rcc rId="30864" sId="8">
    <oc r="E197">
      <f>SUM(I197,K197,M197,O197,Q197,S197,U197,W197,Y197,AA197,AC197,AE197)</f>
    </oc>
    <nc r="E197">
      <f>SUM(I197,K197,M197,O197,Q197,S197,U197,W197,Y197,AA197,AC197,AE197)</f>
    </nc>
  </rcc>
  <rcc rId="30865" sId="8">
    <oc r="E203">
      <f>SUM(I203,K203,M203,O203,Q203,S203,U203,W203,Y203,AA203,AC203,AE203)</f>
    </oc>
    <nc r="E203">
      <f>SUM(I203,K203,M203,O203,Q203,S203,U203,W203,Y203,AA203,AC203,AE203)</f>
    </nc>
  </rcc>
  <rcc rId="30866" sId="8">
    <oc r="E209">
      <f>SUM(I209,K209,M209,O209,Q209,S209,U209,W209,Y209,AA209,AC209,AE209)</f>
    </oc>
    <nc r="E209">
      <f>SUM(I209,K209,M209,O209,Q209,S209,U209,W209,Y209,AA209,AC209,AE209)</f>
    </nc>
  </rcc>
  <rcc rId="30867" sId="8">
    <oc r="E215">
      <f>SUM(I215,K215,M215,O215,Q215,S215,U215,W215,Y215,AA215,AC215,AE215)</f>
    </oc>
    <nc r="E215">
      <f>SUM(I215,K215,M215,O215,Q215,S215,U215,W215,Y215,AA215,AC215,AE215)</f>
    </nc>
  </rcc>
  <rcc rId="30868" sId="8">
    <nc r="C186">
      <f>C192</f>
    </nc>
  </rcc>
  <rcc rId="30869" sId="8">
    <nc r="D186">
      <f>D192</f>
    </nc>
  </rcc>
  <rcc rId="30870" sId="8" numFmtId="4">
    <oc r="D203">
      <f>E203</f>
    </oc>
    <nc r="D203">
      <v>149839.489</v>
    </nc>
  </rcc>
  <rfmt sheetId="8" sqref="C182:D187">
    <dxf>
      <fill>
        <patternFill>
          <bgColor theme="7" tint="0.79998168889431442"/>
        </patternFill>
      </fill>
    </dxf>
  </rfmt>
  <rfmt sheetId="8" sqref="C187:D187">
    <dxf>
      <fill>
        <patternFill patternType="none">
          <bgColor auto="1"/>
        </patternFill>
      </fill>
    </dxf>
  </rfmt>
  <rfmt sheetId="8" sqref="G185" start="0" length="2147483647">
    <dxf>
      <font>
        <color auto="1"/>
      </font>
    </dxf>
  </rfmt>
  <rcc rId="30871" sId="8">
    <oc r="AF187" t="inlineStr">
      <is>
        <r>
          <t xml:space="preserve">Отклонение - 347,433тыс.руб. - в том числе: 47,154 тыс. руб. - командировочные расходы,  132,002 тыс. руб. -экономия по оплате транспортных услуг на мер. Новый год, "Проводы зимы", "День Победы", "День города", 137,901 тыс. руб. - оплата за участие в конкурсах-фестивалях, 0,376 тыс. руб. - экономия по потреблению электроэнергии предоставлены на меньшую сумму, 30,0 тыс руб. - экономия по проведению мастер-классов в рамках мер. "Творческая лаборатория", 
</t>
        </r>
        <r>
          <rPr>
            <b/>
            <sz val="14"/>
            <color rgb="FFFF0000"/>
            <rFont val="Times New Roman"/>
            <family val="1"/>
            <charset val="204"/>
          </rPr>
          <t xml:space="preserve">ТУТ НЕ БУДЕТ ОТКЛОНЕНИЯ, 100 % ОСОВОЕНИЕ. НЕОБХОДИМО ПРОПИСАТЬ КАКАЯ РАБОТА ПРОВЕДЕНА, СКОЛЬКО МЕРОПРИЯТИЙ ПРОШЛО, СКОЛЬКО ЗРИТЕЛЕЙ </t>
        </r>
      </is>
    </oc>
    <nc r="AF187" t="inlineStr">
      <is>
        <r>
          <t xml:space="preserve">
</t>
        </r>
        <r>
          <rPr>
            <b/>
            <sz val="14"/>
            <color rgb="FFFF0000"/>
            <rFont val="Times New Roman"/>
            <family val="1"/>
            <charset val="204"/>
          </rPr>
          <t xml:space="preserve">ТУТ НЕ БУДЕТ ОТКЛОНЕНИЯ, 100 % ОСОВОЕНИЕ. НЕОБХОДИМО ПРОПИСАТЬ КАКАЯ РАБОТА ПРОВЕДЕНА, СКОЛЬКО МЕРОПРИЯТИЙ ПРОШЛО, СКОЛЬКО ЗРИТЕЛЕЙ </t>
        </r>
      </is>
    </nc>
  </rcc>
  <rfmt sheetId="8" sqref="B188:E198">
    <dxf>
      <fill>
        <patternFill patternType="none">
          <bgColor auto="1"/>
        </patternFill>
      </fill>
    </dxf>
  </rfmt>
  <rcmt sheetId="8" cell="C188" guid="{00000000-0000-0000-0000-000000000000}" action="delete" author="Степаненко Наталья Алексеевна"/>
  <rcmt sheetId="8" cell="D188" guid="{00000000-0000-0000-0000-000000000000}" action="delete" author="Степаненко Наталья Алексеевна"/>
  <rcmt sheetId="8" cell="E188" guid="{00000000-0000-0000-0000-000000000000}" action="delete" author="Степаненко Наталья Алексеевна"/>
  <rcmt sheetId="8" cell="C194" guid="{00000000-0000-0000-0000-000000000000}" action="delete" author="Степаненко Наталья Алексеевна"/>
  <rcmt sheetId="8" cell="C197" guid="{00000000-0000-0000-0000-000000000000}" action="delete" author="Степаненко Наталья Алексеевна"/>
  <rfmt sheetId="8" sqref="G188:G196" start="0" length="2147483647">
    <dxf>
      <font>
        <color auto="1"/>
      </font>
    </dxf>
  </rfmt>
  <rfmt sheetId="8" sqref="B200:G203">
    <dxf>
      <fill>
        <patternFill patternType="none">
          <bgColor auto="1"/>
        </patternFill>
      </fill>
    </dxf>
  </rfmt>
  <rfmt sheetId="8" sqref="B200:G203" start="0" length="2147483647">
    <dxf>
      <font>
        <color auto="1"/>
      </font>
    </dxf>
  </rfmt>
  <rfmt sheetId="8" sqref="B206:D214">
    <dxf>
      <fill>
        <patternFill patternType="none">
          <bgColor auto="1"/>
        </patternFill>
      </fill>
    </dxf>
  </rfmt>
  <rcc rId="30872" sId="8">
    <oc r="C229">
      <f>SUM(H229+J229+L229+N229)</f>
    </oc>
    <nc r="C229">
      <f>H229+J229+L229+N229+P229+R229+T229+V229+X229+Z229+AB229+AD229</f>
    </nc>
  </rcc>
  <rcc rId="30873" sId="8">
    <oc r="C235">
      <f>SUM(H235+J235+L235+N235)</f>
    </oc>
    <nc r="C235">
      <f>H235+J235+L235+N235+P235+R235+T235+V235+X235+Z235+AB235+AD235</f>
    </nc>
  </rcc>
  <rfmt sheetId="8" sqref="B220:G223">
    <dxf>
      <fill>
        <patternFill>
          <bgColor theme="7" tint="0.79998168889431442"/>
        </patternFill>
      </fill>
    </dxf>
  </rfmt>
  <rfmt sheetId="8" sqref="B220:G223" start="0" length="2147483647">
    <dxf>
      <font>
        <color auto="1"/>
      </font>
    </dxf>
  </rfmt>
  <rfmt sheetId="8" sqref="B226:G235">
    <dxf>
      <fill>
        <patternFill patternType="none">
          <bgColor auto="1"/>
        </patternFill>
      </fill>
    </dxf>
  </rfmt>
  <rfmt sheetId="8" sqref="B226:G235" start="0" length="2147483647">
    <dxf>
      <font>
        <color auto="1"/>
      </font>
    </dxf>
  </rfmt>
  <rcc rId="30874" sId="8">
    <oc r="C246">
      <f>SUM(H246)</f>
    </oc>
    <nc r="C246">
      <f>H246+J246+L246+N246+P246+R246+T246+V246+X246+Z246+AB246+AD246</f>
    </nc>
  </rcc>
  <rfmt sheetId="8" sqref="B238:H242">
    <dxf>
      <fill>
        <patternFill patternType="none">
          <bgColor auto="1"/>
        </patternFill>
      </fill>
    </dxf>
  </rfmt>
  <rfmt sheetId="8" sqref="B238:H242" start="0" length="2147483647">
    <dxf>
      <font>
        <color auto="1"/>
      </font>
    </dxf>
  </rfmt>
  <rfmt sheetId="8" sqref="B238:H242">
    <dxf>
      <fill>
        <patternFill patternType="solid">
          <bgColor theme="7" tint="0.79998168889431442"/>
        </patternFill>
      </fill>
    </dxf>
  </rfmt>
  <rfmt sheetId="8" sqref="B244:G247" start="0" length="2147483647">
    <dxf>
      <font>
        <color auto="1"/>
      </font>
    </dxf>
  </rfmt>
  <rfmt sheetId="8" sqref="B244:G247">
    <dxf>
      <fill>
        <patternFill patternType="none">
          <bgColor auto="1"/>
        </patternFill>
      </fill>
    </dxf>
  </rfmt>
  <rcc rId="30875" sId="8" odxf="1" dxf="1">
    <oc r="AF237" t="inlineStr">
      <is>
        <t xml:space="preserve">НЕОБОХОДИМО ПРОПИСАТЬ РЕЗУЛЬТАТЫ РЕАЛИЗАЦИИ МЕРОПРИЯТИЙ, МОЖЕТ ЧТО ТО ПРИОБРЕТАЛИ </t>
      </is>
    </oc>
    <nc r="AF237" t="inlineStr">
      <is>
        <t>Приобретены архивные короба в количестве 138 шт.</t>
      </is>
    </nc>
    <odxf>
      <font>
        <b/>
        <sz val="14"/>
        <color rgb="FFFF0000"/>
        <name val="Times New Roman"/>
        <scheme val="none"/>
      </font>
      <numFmt numFmtId="0" formatCode="General"/>
      <fill>
        <patternFill patternType="solid">
          <bgColor theme="7" tint="0.79998168889431442"/>
        </patternFill>
      </fill>
      <alignment vertical="top" readingOrder="0"/>
      <border outline="0">
        <bottom style="thin">
          <color indexed="64"/>
        </bottom>
      </border>
    </odxf>
    <ndxf>
      <font>
        <b val="0"/>
        <sz val="12"/>
        <color auto="1"/>
        <name val="Times New Roman"/>
        <scheme val="none"/>
      </font>
      <numFmt numFmtId="168" formatCode="#,##0.00\ _₽"/>
      <fill>
        <patternFill patternType="none">
          <bgColor indexed="65"/>
        </patternFill>
      </fill>
      <alignment vertical="center" readingOrder="0"/>
      <border outline="0">
        <bottom/>
      </border>
    </ndxf>
  </rcc>
  <rcc rId="30876" sId="8">
    <oc r="AF243" t="inlineStr">
      <is>
        <t>Приобретены архивные короба в количестве 138 шт.</t>
      </is>
    </oc>
    <nc r="AF243"/>
  </rcc>
  <rfmt sheetId="8" sqref="AF237">
    <dxf>
      <fill>
        <patternFill>
          <bgColor auto="1"/>
        </patternFill>
      </fill>
    </dxf>
  </rfmt>
  <rfmt sheetId="8" sqref="AF237">
    <dxf>
      <fill>
        <patternFill patternType="solid">
          <bgColor theme="7" tint="0.79998168889431442"/>
        </patternFill>
      </fill>
    </dxf>
  </rfmt>
  <rcmt sheetId="8" cell="C246" guid="{00000000-0000-0000-0000-000000000000}" action="delete" author="Степаненко Наталья Алексеевна"/>
  <rcmt sheetId="8" cell="C229" guid="{00000000-0000-0000-0000-000000000000}" action="delete" author="Степаненко Наталья Алексеевна"/>
  <rcc rId="30877" sId="8" numFmtId="4">
    <oc r="D253">
      <f>E253</f>
    </oc>
    <nc r="D253">
      <v>53971.017999999996</v>
    </nc>
  </rcc>
  <rcc rId="30878" sId="8">
    <oc r="C253">
      <f>SUM(H253+J253+L253+N253)</f>
    </oc>
    <nc r="C253">
      <f>H253+J253+L253+N253+P253+R253+T253+V253+X253+Z253+AB253+AD253</f>
    </nc>
  </rcc>
  <rcc rId="30879" sId="8">
    <oc r="E253">
      <f>SUM(I253,K253,M253,O253,Q253,S253,U253,W253,Y253,AA253,AC253,AE253)</f>
    </oc>
    <nc r="E253">
      <f>SUM(I253,K253,M253,O253,Q253,S253,U253,W253,Y253,AA253,AC253,AE253)</f>
    </nc>
  </rcc>
  <rfmt sheetId="8" sqref="B250:G254">
    <dxf>
      <fill>
        <patternFill>
          <bgColor theme="7" tint="0.79998168889431442"/>
        </patternFill>
      </fill>
    </dxf>
  </rfmt>
  <rfmt sheetId="8" sqref="B250:G254" start="0" length="2147483647">
    <dxf>
      <font>
        <color auto="1"/>
      </font>
    </dxf>
  </rfmt>
  <rcmt sheetId="8" cell="D253" guid="{00000000-0000-0000-0000-000000000000}" action="delete" author="Степаненко Наталья Алексеевна"/>
  <rcmt sheetId="8" cell="E253" guid="{00000000-0000-0000-0000-000000000000}" action="delete" author="Степаненко Наталья Алексеевна"/>
  <rfmt sheetId="8" sqref="AF249" start="0" length="2147483647">
    <dxf>
      <font>
        <color auto="1"/>
      </font>
    </dxf>
  </rfmt>
  <rcc rId="30880" sId="8">
    <oc r="C267">
      <f>SUM(H267+J267+L267+N267)</f>
    </oc>
    <nc r="C267">
      <f>H267+J267+L267+N267+P267+R267+T267+V267+X267+Z267+AB267+AD267</f>
    </nc>
  </rcc>
  <rfmt sheetId="8" sqref="C258:H262">
    <dxf>
      <fill>
        <patternFill>
          <bgColor theme="7" tint="0.79998168889431442"/>
        </patternFill>
      </fill>
    </dxf>
  </rfmt>
  <rfmt sheetId="8" sqref="C258:H262" start="0" length="2147483647">
    <dxf>
      <font>
        <color auto="1"/>
      </font>
    </dxf>
  </rfmt>
  <rfmt sheetId="8" sqref="B264:H268" start="0" length="2147483647">
    <dxf>
      <font>
        <color auto="1"/>
      </font>
    </dxf>
  </rfmt>
  <rfmt sheetId="8" sqref="B264:H268">
    <dxf>
      <fill>
        <patternFill patternType="none">
          <bgColor auto="1"/>
        </patternFill>
      </fill>
    </dxf>
  </rfmt>
  <rcmt sheetId="8" cell="C267" guid="{00000000-0000-0000-0000-000000000000}" action="delete" author="Степаненко Наталья Алексеевна"/>
  <rcc rId="30881" sId="8">
    <oc r="C278">
      <f>N278</f>
    </oc>
    <nc r="C278">
      <f>H278+J278+L278+N278+P278+R278+T278+V278+X278+Z278+AB278+AD278</f>
    </nc>
  </rcc>
  <rcc rId="30882" sId="8">
    <oc r="C279">
      <f>N279+L279</f>
    </oc>
    <nc r="C279">
      <f>H279+J279+L279+N279+P279+R279+T279+V279+X279+Z279+AB279+AD279</f>
    </nc>
  </rcc>
  <rcc rId="30883" sId="8">
    <oc r="C284">
      <f>N284</f>
    </oc>
    <nc r="C284">
      <f>H284+J284+L284+N284+P284+R284+T284+V284+X284+Z284+AB284+AD284</f>
    </nc>
  </rcc>
  <rcc rId="30884" sId="8">
    <oc r="C285">
      <f>N285+L285</f>
    </oc>
    <nc r="C285">
      <f>H285+J285+L285+N285+P285+R285+T285+V285+X285+Z285+AB285+AD285</f>
    </nc>
  </rcc>
  <rfmt sheetId="8" sqref="C276:C281">
    <dxf>
      <fill>
        <patternFill>
          <bgColor theme="7" tint="0.79998168889431442"/>
        </patternFill>
      </fill>
    </dxf>
  </rfmt>
  <rfmt sheetId="8" sqref="C282:D286">
    <dxf>
      <fill>
        <patternFill>
          <bgColor theme="7" tint="0.79998168889431442"/>
        </patternFill>
      </fill>
    </dxf>
  </rfmt>
  <rcmt sheetId="8" cell="C276" guid="{00000000-0000-0000-0000-000000000000}" action="delete" author="Степаненко Наталья Алексеевна"/>
  <rcmt sheetId="8" cell="C282" guid="{00000000-0000-0000-0000-000000000000}" action="delete" author="Степаненко Наталья Алексеевна"/>
  <rcc rId="30885" sId="8">
    <oc r="B291">
      <f>B29+B68+B104+B149+B186+B224+B242+B254+B262+B142+B128+B22+B16</f>
    </oc>
    <nc r="B291">
      <f>J291+L291+N291+P291+R291+T291+V291+X291+Z291+AB291+AD291+H291</f>
    </nc>
  </rcc>
  <rcc rId="30886" sId="8">
    <oc r="B290">
      <f>B28+B67+B103+B148+B185+B223+B241+B253+B261+B141+B127+B21+B15+B279+B285</f>
    </oc>
    <nc r="B290">
      <f>J290+L290+N290+P290+R290+T290+V290+X290+Z290+AB290+AD290+H290</f>
    </nc>
  </rcc>
  <rcc rId="30887" sId="8">
    <oc r="B289">
      <f>B27+B66+B102+B147+B184+B222+B240+B252+B260+B140+B126+B20+B14+B278+B284</f>
    </oc>
    <nc r="B289">
      <f>J289+L289+N289+P289+R289+T289+V289+X289+Z289+AB289+AD289+H289</f>
    </nc>
  </rcc>
  <rcc rId="30888" sId="8">
    <oc r="B288">
      <f>B26+B65+B101+B146+B183+B221+B239+B251+B259+B139+B125+B19+B13+B277</f>
    </oc>
    <nc r="B288">
      <f>J288+L288+N288+P288+R288+T288+V288+X288+Z288+AB288+AD288+H288</f>
    </nc>
  </rcc>
  <rcc rId="30889" sId="8">
    <oc r="C291">
      <f>C29+C68+C104+C149+C186+C224+C242+C254+C262+C142+C128+C22+C16</f>
    </oc>
    <nc r="C291">
      <f>H291+J291+L291+N291+P291+R291+T291+V291+X291+Z291+AB291+AD291</f>
    </nc>
  </rcc>
  <rcc rId="30890" sId="8">
    <oc r="C290">
      <f>C28+C67+C103+C148+C185+C223+C241+C253+C261+C141+C127+C21+C15</f>
    </oc>
    <nc r="C290">
      <f>H290+J290+L290+N290+P290+R290+T290+V290+X290+Z290+AB290+AD290</f>
    </nc>
  </rcc>
  <rcc rId="30891" sId="8">
    <oc r="C289">
      <f>C27+C66+C102+C147+C184+C222+C240+C252+C260+C140+C126+C20+C14</f>
    </oc>
    <nc r="C289">
      <f>H289+J289+L289+N289+P289+R289+T289+V289+X289+Z289+AB289+AD289</f>
    </nc>
  </rcc>
  <rcc rId="30892" sId="8">
    <oc r="C288">
      <f>C26+C65+C101+C146+C183+C221+C239+C251+C259+C139+C125+C19+C13</f>
    </oc>
    <nc r="C288">
      <f>H288+J288+L288+N288+P288+R288+T288+V288+X288+Z288+AB288+AD288</f>
    </nc>
  </rcc>
  <rcc rId="30893" sId="8">
    <oc r="E291">
      <f>E29+E68+E104+E149+E186+E224+E242+E254+E262+E142+E128+E22+E16</f>
    </oc>
    <nc r="E291">
      <f>SUM(I291,K291,M291,O291,Q291,S291,U291,W291,Y291,AA291,AC291,AE291)</f>
    </nc>
  </rcc>
  <rcc rId="30894" sId="8">
    <oc r="E290">
      <f>E28+E67+E103+E148+E185+E223+E241+E253+E261+E141+E127+E21+E15+E279+E285</f>
    </oc>
    <nc r="E290">
      <f>SUM(I290,K290,M290,O290,Q290,S290,U290,W290,Y290,AA290,AC290,AE290)</f>
    </nc>
  </rcc>
  <rcc rId="30895" sId="8">
    <oc r="E289">
      <f>E27+E66+E102+E147+E184+E222+E240+E252+E260+E140+E126+E20+E14+E278+E284</f>
    </oc>
    <nc r="E289">
      <f>SUM(I289,K289,M289,O289,Q289,S289,U289,W289,Y289,AA289,AC289,AE289)</f>
    </nc>
  </rcc>
  <rcc rId="30896" sId="8">
    <oc r="E288">
      <f>E26+E65+E101+E146+E183+E221+E239+E251+E259+E139+E125+E19+E13</f>
    </oc>
    <nc r="E288">
      <f>SUM(I288,K288,M288,O288,Q288,S288,U288,W288,Y288,AA288,AC288,AE288)</f>
    </nc>
  </rcc>
  <rcc rId="30897" sId="8">
    <oc r="C287">
      <f>C288+C289+C290</f>
    </oc>
    <nc r="C287">
      <f>C288+C289+C290+C291</f>
    </nc>
  </rcc>
  <rcc rId="30898" sId="8">
    <oc r="B302">
      <f>B35+B42+B48+B55++B74+B80+B86+B92+B98+B110+B116+B122+B155+B180+B192+B198+B204+B210+B216+B230+B236+B248+B254+B268+B134+B274+B61</f>
    </oc>
    <nc r="B302">
      <f>J302+L302+N302+P302+R302+T302+V302+X302+Z302+AB302+AD302+H302</f>
    </nc>
  </rcc>
  <rcc rId="30899" sId="8">
    <oc r="B301">
      <f>B34+B41+B47+B53++B73+B79+B85+B91+B97+B109+B115+B121+B154+B179+B191+B197+B203+B209+B215+B229+B235+B247+B253+B267+B133+B273+B60+B279+B285</f>
    </oc>
    <nc r="B301">
      <f>J301+L301+N301+P301+R301+T301+V301+X301+Z301+AB301+AD301+H301</f>
    </nc>
  </rcc>
  <rcc rId="30900" sId="8">
    <oc r="B300">
      <f>B33+B40+B46+B52++B72+B78+B84+B90+B96+B108+B114+B120+B153+B178+B190+B196+B202+B208+B214+B228+B234+B246+B252+B266+B132+B272+B59+B278+B284</f>
    </oc>
    <nc r="B300">
      <f>J300+L300+N300+P300+R300+T300+V300+X300+Z300+AB300+AD300+H300</f>
    </nc>
  </rcc>
  <rcc rId="30901" sId="8">
    <oc r="B299">
      <f>B32+B39+B45+B51++B71+B77+B83+B89+B95+B107+B113+B119+B152+B177+B189+B195+B201+B207+B213+B227+B233+B245+B251+B265+B131+B271+B58</f>
    </oc>
    <nc r="B299">
      <f>J299+L299+N299+P299+R299+T299+V299+X299+Z299+AB299+AD299+H299</f>
    </nc>
  </rcc>
  <rcc rId="30902" sId="8">
    <oc r="C302">
      <f>C35+C42+C48+C54++C74+C80+C86+C92+C98+C110+C116+C122+C155+C180+C192+C198+C204+C210+C216+C230+C236+C248+C254+C268+C134+C274+C61</f>
    </oc>
    <nc r="C302">
      <f>H302+J302+L302+N302+P302+R302+T302+V302+X302+Z302+AB302+AD302</f>
    </nc>
  </rcc>
  <rcc rId="30903" sId="8">
    <oc r="C301">
      <f>C34+C41+C47+C53++C73+C79+C85+C91+C97+C109+C115+C121+C154+C179+C191+C197+C203+C209+C215+C229+C235+C247+C253+C267+C133+C273+C60+C279+C285</f>
    </oc>
    <nc r="C301">
      <f>H301+J301+L301+N301+P301+R301+T301+V301+X301+Z301+AB301+AD301</f>
    </nc>
  </rcc>
  <rcc rId="30904" sId="8">
    <oc r="C300">
      <f>C33+C40+C46+C52++C72+C78+C84+C90+C96+C108+C114+C120+C153+C178+C190+C196+C202+C208+C214+C228+C234+C246+C252+C266+C132+C272+C59</f>
    </oc>
    <nc r="C300">
      <f>H300+J300+L300+N300+P300+R300+T300+V300+X300+Z300+AB300+AD300</f>
    </nc>
  </rcc>
  <rcc rId="30905" sId="8">
    <oc r="C299">
      <f>C32+C39+C45+C51++C71+C77+C83+C89+C95+C107+C113+C119+C152+C177+C189+C195+C201+C207+C213+C227+C233+C245+C251+C265+C131+C271+C58</f>
    </oc>
    <nc r="C299">
      <f>H299+J299+L299+N299+P299+R299+T299+V299+X299+Z299+AB299+AD299</f>
    </nc>
  </rcc>
  <rcc rId="30906" sId="8">
    <oc r="C298">
      <f>C299+C300+C301</f>
    </oc>
    <nc r="C298">
      <f>C299+C300+C301+C302</f>
    </nc>
  </rcc>
  <rcc rId="30907" sId="8">
    <oc r="E302">
      <f>E42+E48+E74+E80+E86+E92+E98+E110+E116+E122+E155+E180+E192+E198+E204+E210+E216+E230+E236+E248+E254+E268+E134+E274+E61</f>
    </oc>
    <nc r="E302">
      <f>SUM(I302,K302,M302,O302,Q302,S302,U302,W302,Y302,AA302,AC302,AE302)</f>
    </nc>
  </rcc>
  <rcc rId="30908" sId="8">
    <oc r="E301">
      <f>E34+E41+E47+E53++E73+E79+E85+E91+E97+E109+E115+E121+E154+E179+E191+E197+E203+E209+E215+E229+E235+E247+E253+E267+E133+E273+E60+E279+E285</f>
    </oc>
    <nc r="E301">
      <f>SUM(I301,K301,M301,O301,Q301,S301,U301,W301,Y301,AA301,AC301,AE301)</f>
    </nc>
  </rcc>
  <rcc rId="30909" sId="8">
    <oc r="E300">
      <f>E33+E40+E46+E52++E72+E78+E84+E90+E96+E108+E114+E120+E153+E178+E190+E196+E202+E208+E214+E228+E234+E246+E252+E266+E132+E272+E59+E278+E284</f>
    </oc>
    <nc r="E300">
      <f>SUM(I300,K300,M300,O300,Q300,S300,U300,W300,Y300,AA300,AC300,AE300)</f>
    </nc>
  </rcc>
  <rcc rId="30910" sId="8">
    <oc r="E299">
      <f>E32+E39+E45+E51++E71+E77+E83+E89+E95+E107+E113+E119+E152+E177+E189+E195+E201+E207+E213+E227+E233+E245+E251+E265+E131+E271+E58</f>
    </oc>
    <nc r="E299">
      <f>SUM(I299,K299,M299,O299,Q299,S299,U299,W299,Y299,AA299,AC299,AE299)</f>
    </nc>
  </rcc>
  <rcc rId="30911" sId="8">
    <oc r="D298">
      <f>D299+D300+D301</f>
    </oc>
    <nc r="D298">
      <f>D299+D300+D301+D302</f>
    </nc>
  </rcc>
  <rcc rId="30912" sId="8">
    <oc r="D287">
      <f>D288+D289+D290</f>
    </oc>
    <nc r="D287">
      <f>D288+D289+D290+D291</f>
    </nc>
  </rcc>
  <rcc rId="30913" sId="8">
    <oc r="V304">
      <f>V287-V293-V298</f>
    </oc>
    <nc r="V304">
      <f>V287-V293-V298</f>
    </nc>
  </rcc>
  <rcc rId="30914" sId="8">
    <oc r="V287">
      <f>V288+V289+V290+V291</f>
    </oc>
    <nc r="V287">
      <f>V288+V289+V290+V291</f>
    </nc>
  </rcc>
  <rcc rId="30915" sId="8">
    <oc r="V293">
      <f>V294+V295+V296+V297</f>
    </oc>
    <nc r="V293">
      <f>V294+V295+V296+V297</f>
    </nc>
  </rcc>
  <rcc rId="30916" sId="8">
    <oc r="E304">
      <f>E287-E293-E298</f>
    </oc>
    <nc r="E304">
      <f>E287-E293-E298</f>
    </nc>
  </rcc>
  <rcc rId="30917" sId="8">
    <nc r="X289">
      <f>X27+X66+X102+X147+X184+X222+X240+X252+X260+X140+X126+X20+X14+X278</f>
    </nc>
  </rcc>
  <rcc rId="30918" sId="8">
    <nc r="V289">
      <f>V27+V66+V102+V147+V184+V222+V240+V252+V260+V140+V126+V20+V14+V284</f>
    </nc>
  </rcc>
  <rcc rId="30919" sId="8">
    <nc r="X289">
      <f>X27+X66+X102+X147+X184+X222+X240+X252+X260+X140+X126+X20+X14+X284</f>
    </nc>
  </rcc>
  <rcc rId="30920" sId="8">
    <oc r="H288">
      <f>H26+H65+H101+H146+H183+H221+H239+H251+H259+H139+H125+H19+H13</f>
    </oc>
    <nc r="H288">
      <f>H26+H65+H101+H146+H183+H221+H239+H251+H259+H139+H125+H19+H13+H277+H283</f>
    </nc>
  </rcc>
  <rcc rId="30921" sId="8">
    <oc r="J288">
      <f>J26+J65+J101+J146+J183+J221+J239+J251+J259+J139+J125+J19+J13</f>
    </oc>
    <nc r="J288">
      <f>J26+J65+J101+J146+J183+J221+J239+J251+J259+J139+J125+J19+J13+J277+J283</f>
    </nc>
  </rcc>
  <rcc rId="30922" sId="8">
    <oc r="L288">
      <f>L26+L65+L101+L146+L183+L221+L239+L251+L259+L139+L125+L19+L13</f>
    </oc>
    <nc r="L288">
      <f>L26+L65+L101+L146+L183+L221+L239+L251+L259+L139+L125+L19+L13+L277+L283</f>
    </nc>
  </rcc>
  <rcc rId="30923" sId="8">
    <oc r="N288">
      <f>N26+N65+N101+N146+N183+N221+N239+N251+N259+N139+N125+N19+N13</f>
    </oc>
    <nc r="N288">
      <f>N26+N65+N101+N146+N183+N221+N239+N251+N259+N139+N125+N19+N13+N277+N283</f>
    </nc>
  </rcc>
  <rcc rId="30924" sId="8">
    <oc r="P288">
      <f>P26+P65+P101+P146+P183+P221+P239+P251+P259+P139+P125+P19+P13</f>
    </oc>
    <nc r="P288">
      <f>P26+P65+P101+P146+P183+P221+P239+P251+P259+P139+P125+P19+P13+P277+P283</f>
    </nc>
  </rcc>
  <rcc rId="30925" sId="8">
    <oc r="R288">
      <f>R26+R65+R101+R146+R183+R221+R239+R251+R259+R139+R125+R19+R13</f>
    </oc>
    <nc r="R288">
      <f>R26+R65+R101+R146+R183+R221+R239+R251+R259+R139+R125+R19+R13+R277+R283</f>
    </nc>
  </rcc>
  <rcc rId="30926" sId="8">
    <oc r="T288">
      <f>T26+T65+T101+T146+T183+T221+T239+T251+T259+T139+T125+T19+T13</f>
    </oc>
    <nc r="T288">
      <f>T26+T65+T101+T146+T183+T221+T239+T251+T259+T139+T125+T19+T13+T277+T283</f>
    </nc>
  </rcc>
  <rcc rId="30927" sId="8">
    <oc r="V288">
      <f>V26+V65+V101+V146+V183+V221+V239+V251+V259+V139+V125+V19+V13</f>
    </oc>
    <nc r="V288">
      <f>V26+V65+V101+V146+V183+V221+V239+V251+V259+V139+V125+V19+V13+V277+V283</f>
    </nc>
  </rcc>
  <rcc rId="30928" sId="8">
    <oc r="X288">
      <f>X26+X65+X101+X146+X183+X221+X239+X251+X259+X139+X125+X19+X13</f>
    </oc>
    <nc r="X288">
      <f>X26+X65+X101+X146+X183+X221+X239+X251+X259+X139+X125+X19+X13+X277+X283</f>
    </nc>
  </rcc>
  <rcc rId="30929" sId="8">
    <oc r="Z288">
      <f>Z26+Z65+Z101+Z146+Z183+Z221+Z239+Z251+Z259+Z139+Z125+Z19+Z13</f>
    </oc>
    <nc r="Z288">
      <f>Z26+Z65+Z101+Z146+Z183+Z221+Z239+Z251+Z259+Z139+Z125+Z19+Z13+Z277+Z283</f>
    </nc>
  </rcc>
  <rcc rId="30930" sId="8">
    <oc r="AB288">
      <f>AB26+AB65+AB101+AB146+AB183+AB221+AB239+AB251+AB259+AB139+AB125+AB19+AB13</f>
    </oc>
    <nc r="AB288">
      <f>AB26+AB65+AB101+AB146+AB183+AB221+AB239+AB251+AB259+AB139+AB125+AB19+AB13+AB277+AB283</f>
    </nc>
  </rcc>
  <rcc rId="30931" sId="8">
    <oc r="AD288">
      <f>AD26+AD65+AD101+AD146+AD183+AD221+AD239+AD251+AD259+AD139+AD125+AD19+AD13</f>
    </oc>
    <nc r="AD288">
      <f>AD26+AD65+AD101+AD146+AD183+AD221+AD239+AD251+AD259+AD139+AD125+AD19+AD13+AD277+AD283</f>
    </nc>
  </rcc>
  <rcc rId="30932" sId="8">
    <oc r="I288">
      <f>I26+I65+I101+I146+I183+I221+I239+I251+I259+I139+I125+I19+I13</f>
    </oc>
    <nc r="I288">
      <f>I26+I65+I101+I146+I183+I221+I239+I251+I259+I139+I125+I19+I13+I277+I283</f>
    </nc>
  </rcc>
  <rcc rId="30933" sId="8">
    <oc r="K288">
      <f>K26+K65+K101+K146+K183+K221+K239+K251+K259+K139+K125+K19+K13</f>
    </oc>
    <nc r="K288">
      <f>K26+K65+K101+K146+K183+K221+K239+K251+K259+K139+K125+K19+K13+K277+K283</f>
    </nc>
  </rcc>
  <rcc rId="30934" sId="8">
    <oc r="M288">
      <f>M26+M65+M101+M146+M183+M221+M239+M251+M259+M139+M125+M19+M13</f>
    </oc>
    <nc r="M288">
      <f>M26+M65+M101+M146+M183+M221+M239+M251+M259+M139+M125+M19+M13+M277+M283</f>
    </nc>
  </rcc>
  <rcc rId="30935" sId="8">
    <oc r="O288">
      <f>O26+O65+O101+O146+O183+O221+O239+O251+O259+O139+O125+O19+O13</f>
    </oc>
    <nc r="O288">
      <f>O26+O65+O101+O146+O183+O221+O239+O251+O259+O139+O125+O19+O13+O277+O283</f>
    </nc>
  </rcc>
  <rcc rId="30936" sId="8">
    <oc r="Q288">
      <f>Q26+Q65+Q101+Q146+Q183+Q221+Q239+Q251+Q259+Q139+Q125+Q19+Q13</f>
    </oc>
    <nc r="Q288">
      <f>Q26+Q65+Q101+Q146+Q183+Q221+Q239+Q251+Q259+Q139+Q125+Q19+Q13+Q277+Q283</f>
    </nc>
  </rcc>
  <rcc rId="30937" sId="8">
    <oc r="S288">
      <f>S26+S65+S101+S146+S183+S221+S239+S251+S259+S139+S125+S19+S13</f>
    </oc>
    <nc r="S288">
      <f>S26+S65+S101+S146+S183+S221+S239+S251+S259+S139+S125+S19+S13+S277+S283</f>
    </nc>
  </rcc>
  <rcc rId="30938" sId="8">
    <oc r="U288">
      <f>U26+U65+U101+U146+U183+U221+U239+U251+U259+U139+U125+U19+U13</f>
    </oc>
    <nc r="U288">
      <f>U26+U65+U101+U146+U183+U221+U239+U251+U259+U139+U125+U19+U13+U277+U283</f>
    </nc>
  </rcc>
  <rcc rId="30939" sId="8">
    <oc r="W288">
      <f>W26+W65+W101+W146+W183+W221+W239+W251+W259+W139+W125+W19+W13</f>
    </oc>
    <nc r="W288">
      <f>W26+W65+W101+W146+W183+W221+W239+W251+W259+W139+W125+W19+W13+W277+W283</f>
    </nc>
  </rcc>
  <rcc rId="30940" sId="8">
    <oc r="Y288">
      <f>Y26+Y65+Y101+Y146+Y183+Y221+Y239+Y251+Y259+Y139+Y125+Y19+Y13</f>
    </oc>
    <nc r="Y288">
      <f>Y26+Y65+Y101+Y146+Y183+Y221+Y239+Y251+Y259+Y139+Y125+Y19+Y13+Y277+Y283</f>
    </nc>
  </rcc>
  <rcc rId="30941" sId="8">
    <oc r="AA288">
      <f>AA26+AA65+AA101+AA146+AA183+AA221+AA239+AA251+AA259+AA139+AA125+AA19+AA13</f>
    </oc>
    <nc r="AA288">
      <f>AA26+AA65+AA101+AA146+AA183+AA221+AA239+AA251+AA259+AA139+AA125+AA19+AA13+AA277+AA283</f>
    </nc>
  </rcc>
  <rcc rId="30942" sId="8">
    <oc r="AC288">
      <f>AC26+AC65+AC101+AC146+AC183+AC221+AC239+AC251+AC259+AC139+AC125+AC19+AC13</f>
    </oc>
    <nc r="AC288">
      <f>AC26+AC65+AC101+AC146+AC183+AC221+AC239+AC251+AC259+AC139+AC125+AC19+AC13+AC277+AC283</f>
    </nc>
  </rcc>
  <rcc rId="30943" sId="8">
    <oc r="AE288">
      <f>AE26+AE65+AE101+AE146+AE183+AE221+AE239+AE251+AE259+AE139+AE125+AE19+AE13</f>
    </oc>
    <nc r="AE288">
      <f>AE26+AE65+AE101+AE146+AE183+AE221+AE239+AE251+AE259+AE139+AE125+AE19+AE13+AE277+AE283</f>
    </nc>
  </rcc>
  <rcc rId="30944" sId="8">
    <oc r="H289">
      <f>H27+H66+H102+H147+H184+H222+H240+H252+H260+H140+H126+H20+H14</f>
    </oc>
    <nc r="H289">
      <f>H27+H66+H102+H147+H184+H222+H240+H252+H260+H140+H126+H20+H14+H278+H284</f>
    </nc>
  </rcc>
  <rcc rId="30945" sId="8">
    <oc r="I289">
      <f>I27+I66+I102+I147+I184+I222+I240+I252+I260+I140+I126+I20+I14</f>
    </oc>
    <nc r="I289">
      <f>I27+I66+I102+I147+I184+I222+I240+I252+I260+I140+I126+I20+I14+I278+I284</f>
    </nc>
  </rcc>
  <rcc rId="30946" sId="8">
    <oc r="J289">
      <f>J27+J66+J102+J147+J184+J222+J240+J252+J260+J140+J126+J20+J14</f>
    </oc>
    <nc r="J289">
      <f>J27+J66+J102+J147+J184+J222+J240+J252+J260+J140+J126+J20+J14+J278+J284</f>
    </nc>
  </rcc>
  <rcc rId="30947" sId="8">
    <oc r="K289">
      <f>K27+K66+K102+K147+K184+K222+K240+K252+K260+K140+K126+K20+K14</f>
    </oc>
    <nc r="K289">
      <f>K27+K66+K102+K147+K184+K222+K240+K252+K260+K140+K126+K20+K14+K278+K284</f>
    </nc>
  </rcc>
  <rcc rId="30948" sId="8">
    <oc r="L289">
      <f>L27+L66+L102+L147+L184+L222+L240+L252+L260+L140+L126+L20+L14</f>
    </oc>
    <nc r="L289">
      <f>L27+L66+L102+L147+L184+L222+L240+L252+L260+L140+L126+L20+L14+L278+L284</f>
    </nc>
  </rcc>
  <rcc rId="30949" sId="8">
    <oc r="M289">
      <f>M27+M66+M102+M147+M184+M222+M240+M252+M260+M140+M126+M20+M14</f>
    </oc>
    <nc r="M289">
      <f>M27+M66+M102+M147+M184+M222+M240+M252+M260+M140+M126+M20+M14+M278+M284</f>
    </nc>
  </rcc>
  <rcc rId="30950" sId="8">
    <nc r="N289">
      <f>N27+N66+N102+N147+N184+N222+N240+N252+N260+N140+N126+N20+N14+N278+N284</f>
    </nc>
  </rcc>
  <rcc rId="30951" sId="8">
    <oc r="O289">
      <f>O27+O66+O102+O147+O184+O222+O240+O252+O260+O140+O126+O20+O14</f>
    </oc>
    <nc r="O289">
      <f>O27+O66+O102+O147+O184+O222+O240+O252+O260+O140+O126+O20+O14+O278+O284</f>
    </nc>
  </rcc>
  <rcc rId="30952" sId="8">
    <oc r="P289">
      <f>P27+P66+P102+P147+P184+P222+P240+P252+P260+P140+P126+P20+P14</f>
    </oc>
    <nc r="P289">
      <f>P27+P66+P102+P147+P184+P222+P240+P252+P260+P140+P126+P20+P14+P278+P284</f>
    </nc>
  </rcc>
  <rcc rId="30953" sId="8">
    <oc r="Q289">
      <f>Q27+Q66+Q102+Q147+Q184+Q222+Q240+Q252+Q260+Q140+Q126+Q20+Q14</f>
    </oc>
    <nc r="Q289">
      <f>Q27+Q66+Q102+Q147+Q184+Q222+Q240+Q252+Q260+Q140+Q126+Q20+Q14+Q278+Q284</f>
    </nc>
  </rcc>
  <rcc rId="30954" sId="8">
    <oc r="R289">
      <f>R27+R66+R102+R147+R184+R222+R240+R252+R260+R140+R126+R20+R14</f>
    </oc>
    <nc r="R289">
      <f>R27+R66+R102+R147+R184+R222+R240+R252+R260+R140+R126+R20+R14+R278+R284</f>
    </nc>
  </rcc>
  <rcc rId="30955" sId="8">
    <oc r="S289">
      <f>S27+S66+S102+S147+S184+S222+S240+S252+S260+S140+S126+S20+S14</f>
    </oc>
    <nc r="S289">
      <f>S27+S66+S102+S147+S184+S222+S240+S252+S260+S140+S126+S20+S14+S278+S284</f>
    </nc>
  </rcc>
  <rcc rId="30956" sId="8">
    <oc r="T289">
      <f>T27+T66+T102+T147+T184+T222+T240+T252+T260+T140+T126+T20+T14</f>
    </oc>
    <nc r="T289">
      <f>T27+T66+T102+T147+T184+T222+T240+T252+T260+T140+T126+T20+T14+T278+T284</f>
    </nc>
  </rcc>
  <rcc rId="30957" sId="8">
    <oc r="U289">
      <f>U27+U66+U102+U147+U184+U222+U240+U252+U260+U140+U126+U20+U14</f>
    </oc>
    <nc r="U289">
      <f>U27+U66+U102+U147+U184+U222+U240+U252+U260+U140+U126+U20+U14+U278+U284</f>
    </nc>
  </rcc>
  <rcc rId="30958" sId="8">
    <nc r="V289">
      <f>V27+V66+V102+V147+V184+V222+V240+V252+V260+V140+V126+V20+V14+V278+V284</f>
    </nc>
  </rcc>
  <rcc rId="30959" sId="8">
    <oc r="W289">
      <f>W27+W66+W102+W147+W184+W222+W240+W252+W260+W140+W126+W20+W14</f>
    </oc>
    <nc r="W289">
      <f>W27+W66+W102+W147+W184+W222+W240+W252+W260+W140+W126+W20+W14+W278+W284</f>
    </nc>
  </rcc>
  <rcc rId="30960" sId="8">
    <nc r="X289">
      <f>X27+X66+X102+X147+X184+X222+X240+X252+X260+X140+X126+X20+X14+X278+X284</f>
    </nc>
  </rcc>
  <rcc rId="30961" sId="8">
    <oc r="Y289">
      <f>Y27+Y66+Y102+Y147+Y184+Y222+Y240+Y252+Y260+Y140+Y126+Y20+Y14</f>
    </oc>
    <nc r="Y289">
      <f>Y27+Y66+Y102+Y147+Y184+Y222+Y240+Y252+Y260+Y140+Y126+Y20+Y14+Y278+Y284</f>
    </nc>
  </rcc>
  <rcc rId="30962" sId="8">
    <oc r="Z289">
      <f>Z27+Z66+Z102+Z147+Z184+Z222+Z240+Z252+Z260+Z140+Z126+Z20+Z14</f>
    </oc>
    <nc r="Z289">
      <f>Z27+Z66+Z102+Z147+Z184+Z222+Z240+Z252+Z260+Z140+Z126+Z20+Z14+Z278+Z284</f>
    </nc>
  </rcc>
  <rcc rId="30963" sId="8">
    <oc r="AA289">
      <f>AA27+AA66+AA102+AA147+AA184+AA222+AA240+AA252+AA260+AA140+AA126+AA20+AA14</f>
    </oc>
    <nc r="AA289">
      <f>AA27+AA66+AA102+AA147+AA184+AA222+AA240+AA252+AA260+AA140+AA126+AA20+AA14+AA278+AA284</f>
    </nc>
  </rcc>
  <rcc rId="30964" sId="8">
    <oc r="AB289">
      <f>AB27+AB66+AB102+AB147+AB184+AB222+AB240+AB252+AB260+AB140+AB126+AB20+AB14</f>
    </oc>
    <nc r="AB289">
      <f>AB27+AB66+AB102+AB147+AB184+AB222+AB240+AB252+AB260+AB140+AB126+AB20+AB14+AB278+AB284</f>
    </nc>
  </rcc>
  <rcc rId="30965" sId="8">
    <oc r="AC289">
      <f>AC27+AC66+AC102+AC147+AC184+AC222+AC240+AC252+AC260+AC140+AC126+AC20+AC14</f>
    </oc>
    <nc r="AC289">
      <f>AC27+AC66+AC102+AC147+AC184+AC222+AC240+AC252+AC260+AC140+AC126+AC20+AC14+AC278+AC284</f>
    </nc>
  </rcc>
  <rcc rId="30966" sId="8">
    <oc r="AD289">
      <f>AD27+AD66+AD102+AD147+AD184+AD222+AD240+AD252+AD260+AD140+AD126+AD20+AD14</f>
    </oc>
    <nc r="AD289">
      <f>AD27+AD66+AD102+AD147+AD184+AD222+AD240+AD252+AD260+AD140+AD126+AD20+AD14+AD278+AD284</f>
    </nc>
  </rcc>
  <rcc rId="30967" sId="8">
    <oc r="AE289">
      <f>AE27+AE66+AE102+AE147+AE184+AE222+AE240+AE252+AE260+AE140+AE126+AE20+AE14</f>
    </oc>
    <nc r="AE289">
      <f>AE27+AE66+AE102+AE147+AE184+AE222+AE240+AE252+AE260+AE140+AE126+AE20+AE14+AE278+AE284</f>
    </nc>
  </rcc>
  <rcmt sheetId="8" cell="C288" guid="{00000000-0000-0000-0000-000000000000}" action="delete" author="Степаненко Наталья Алексеевна"/>
  <rfmt sheetId="8" sqref="C288" start="0" length="2147483647">
    <dxf>
      <font>
        <color auto="1"/>
      </font>
    </dxf>
  </rfmt>
  <rcc rId="30968" sId="8">
    <oc r="H290">
      <f>H28+H67+H103+H148+H185+H223+H241+H253+H261+H141+H127+H21+H15</f>
    </oc>
    <nc r="H290">
      <f>H28+H67+H103+H148+H185+H223+H241+H253+H261+H141+H127+H21+H15+H279+H285</f>
    </nc>
  </rcc>
  <rcc rId="30969" sId="8">
    <oc r="I290">
      <f>I28+I67+I103+I148+I185+I223+I241+I253+I261+I141+I127+I21+I15</f>
    </oc>
    <nc r="I290">
      <f>I28+I67+I103+I148+I185+I223+I241+I253+I261+I141+I127+I21+I15+I279+I285</f>
    </nc>
  </rcc>
  <rcc rId="30970" sId="8">
    <oc r="J290">
      <f>J28+J67+J103+J148+J185+J223+J241+J253+J261+J141+J127+J21+J15</f>
    </oc>
    <nc r="J290">
      <f>J28+J67+J103+J148+J185+J223+J241+J253+J261+J141+J127+J21+J15+J279+J285</f>
    </nc>
  </rcc>
  <rcc rId="30971" sId="8">
    <oc r="K290">
      <f>K28+K67+K103+K148+K185+K223+K241+K253+K261+K141+K127+K21+K15</f>
    </oc>
    <nc r="K290">
      <f>K28+K67+K103+K148+K185+K223+K241+K253+K261+K141+K127+K21+K15+K279+K285</f>
    </nc>
  </rcc>
  <rcc rId="30972" sId="8">
    <oc r="L290">
      <f>L28+L67+L103+L148+L185+L223+L241+L253+L261+L141+L127+L21+L15</f>
    </oc>
    <nc r="L290">
      <f>L28+L67+L103+L148+L185+L223+L241+L253+L261+L141+L127+L21+L15+L279+L285</f>
    </nc>
  </rcc>
  <rcc rId="30973" sId="8">
    <oc r="M290">
      <f>M28+M67+M103+M148+M185+M223+M241+M253+M261+M141+M127+M21+M15</f>
    </oc>
    <nc r="M290">
      <f>M28+M67+M103+M148+M185+M223+M241+M253+M261+M141+M127+M21+M15+M279+M285</f>
    </nc>
  </rcc>
  <rcc rId="30974" sId="8">
    <oc r="N290">
      <f>N28+N67+N103+N148+N185+N223+N241+N253+N261+N141+N127+N21+N15</f>
    </oc>
    <nc r="N290">
      <f>N28+N67+N103+N148+N185+N223+N241+N253+N261+N141+N127+N21+N15+N279+N285</f>
    </nc>
  </rcc>
  <rcc rId="30975" sId="8">
    <oc r="O290">
      <f>O28+O67+O103+O148+O185+O223+O241+O253+O261+O141+O127+O21+O15</f>
    </oc>
    <nc r="O290">
      <f>O28+O67+O103+O148+O185+O223+O241+O253+O261+O141+O127+O21+O15+O279+O285</f>
    </nc>
  </rcc>
  <rcc rId="30976" sId="8">
    <oc r="P290">
      <f>P28+P67+P103+P148+P185+P223+P241+P253+P261+P141+P127+P21+P15</f>
    </oc>
    <nc r="P290">
      <f>P28+P67+P103+P148+P185+P223+P241+P253+P261+P141+P127+P21+P15+P279+P285</f>
    </nc>
  </rcc>
  <rcc rId="30977" sId="8">
    <oc r="Q290">
      <f>Q28+Q67+Q103+Q148+Q185+Q223+Q241+Q253+Q261+Q141+Q127+Q21+Q15</f>
    </oc>
    <nc r="Q290">
      <f>Q28+Q67+Q103+Q148+Q185+Q223+Q241+Q253+Q261+Q141+Q127+Q21+Q15+Q279+Q285</f>
    </nc>
  </rcc>
  <rcc rId="30978" sId="8">
    <oc r="R290">
      <f>R28+R67+R103+R148+R185+R223+R241+R253+R261+R141+R127+R21+R15</f>
    </oc>
    <nc r="R290">
      <f>R28+R67+R103+R148+R185+R223+R241+R253+R261+R141+R127+R21+R15+R279+R285</f>
    </nc>
  </rcc>
  <rcc rId="30979" sId="8">
    <oc r="S290">
      <f>S28+S67+S103+S148+S185+S223+S241+S253+S261+S141+S127+S21+S15</f>
    </oc>
    <nc r="S290">
      <f>S28+S67+S103+S148+S185+S223+S241+S253+S261+S141+S127+S21+S15+S279+S285</f>
    </nc>
  </rcc>
  <rcc rId="30980" sId="8">
    <oc r="T290">
      <f>T28+T67+T103+T148+T185+T223+T241+T253+T261+T141+T127+T21+T15</f>
    </oc>
    <nc r="T290">
      <f>T28+T67+T103+T148+T185+T223+T241+T253+T261+T141+T127+T21+T15+T279+T285</f>
    </nc>
  </rcc>
  <rcc rId="30981" sId="8">
    <oc r="U290">
      <f>U28+U67+U103+U148+U185+U223+U241+U253+U261+U141+U127+U21+U15</f>
    </oc>
    <nc r="U290">
      <f>U28+U67+U103+U148+U185+U223+U241+U253+U261+U141+U127+U21+U15+U279+U285</f>
    </nc>
  </rcc>
  <rcc rId="30982" sId="8">
    <oc r="W290">
      <f>W28+W67+W103+W148+W185+W223+W241+W253+W261+W141+W127+W21+W15</f>
    </oc>
    <nc r="W290">
      <f>W28+W67+W103+W148+W185+W223+W241+W253+W261+W141+W127+W21+W15+W279+W285</f>
    </nc>
  </rcc>
  <rcc rId="30983" sId="8">
    <oc r="X290">
      <f>X28+X67+X103+X148+X185+X223+X241+X253+X261+X141+X127+X21+X15</f>
    </oc>
    <nc r="X290">
      <f>X28+X67+X103+X148+X185+X223+X241+X253+X261+X141+X127+X21+X15+X279+X285</f>
    </nc>
  </rcc>
  <rcc rId="30984" sId="8">
    <oc r="Y290">
      <f>Y28+Y67+Y103+Y148+Y185+Y223+Y241+Y253+Y261+Y141+Y127+Y21+Y15</f>
    </oc>
    <nc r="Y290">
      <f>Y28+Y67+Y103+Y148+Y185+Y223+Y241+Y253+Y261+Y141+Y127+Y21+Y15+Y279+Y285</f>
    </nc>
  </rcc>
  <rcc rId="30985" sId="8">
    <oc r="Z290">
      <f>Z28+Z67+Z103+Z148+Z185+Z223+Z241+Z253+Z261+Z141+Z127+Z21+Z15</f>
    </oc>
    <nc r="Z290">
      <f>Z28+Z67+Z103+Z148+Z185+Z223+Z241+Z253+Z261+Z141+Z127+Z21+Z15+Z279+Z285</f>
    </nc>
  </rcc>
  <rcc rId="30986" sId="8">
    <oc r="AA290">
      <f>AA28+AA67+AA103+AA148+AA185+AA223+AA241+AA253+AA261+AA141+AA127+AA21+AA15</f>
    </oc>
    <nc r="AA290">
      <f>AA28+AA67+AA103+AA148+AA185+AA223+AA241+AA253+AA261+AA141+AA127+AA21+AA15+AA279+AA285</f>
    </nc>
  </rcc>
  <rcc rId="30987" sId="8">
    <oc r="AB290">
      <f>AB28+AB67+AB103+AB148+AB185+AB223+AB241+AB253+AB261+AB141+AB127+AB21+AB15</f>
    </oc>
    <nc r="AB290">
      <f>AB28+AB67+AB103+AB148+AB185+AB223+AB241+AB253+AB261+AB141+AB127+AB21+AB15+AB279+AB285</f>
    </nc>
  </rcc>
  <rcc rId="30988" sId="8">
    <oc r="AC290">
      <f>AC28+AC67+AC103+AC148+AC185+AC223+AC241+AC253+AC261+AC141+AC127+AC21+AC15</f>
    </oc>
    <nc r="AC290">
      <f>AC28+AC67+AC103+AC148+AC185+AC223+AC241+AC253+AC261+AC141+AC127+AC21+AC15+AC279+AC285</f>
    </nc>
  </rcc>
  <rcc rId="30989" sId="8">
    <oc r="AD290">
      <f>AD28+AD67+AD103+AD148+AD185+AD223+AD241+AD253+AD261+AD141+AD127+AD21+AD15</f>
    </oc>
    <nc r="AD290">
      <f>AD28+AD67+AD103+AD148+AD185+AD223+AD241+AD253+AD261+AD141+AD127+AD21+AD15+AD279+AD285</f>
    </nc>
  </rcc>
  <rcc rId="30990" sId="8">
    <oc r="AE290">
      <f>AE28+AE67+AE103+AE148+AE185+AE223+AE241+AE253+AE261+AE141+AE127+AE21+AE15</f>
    </oc>
    <nc r="AE290">
      <f>AE28+AE67+AE103+AE148+AE185+AE223+AE241+AE253+AE261+AE141+AE127+AE21+AE15+AE279+AE285</f>
    </nc>
  </rcc>
  <rcc rId="30991" sId="8">
    <oc r="N289">
      <f>N27+N66+N102+N147+N184+N222+N240+N252+N260+N140+N126+N20+N14</f>
    </oc>
    <nc r="N289">
      <f>N27+N66+N102+N147+N184+N222+N240+N252+N260+N140+N126+N20+N14+N278+N284</f>
    </nc>
  </rcc>
  <rcc rId="30992" sId="8">
    <oc r="X289">
      <f>X27+X66+X102+X147+X184+X222+X240+X252+X260+X140+X126+X20+X14</f>
    </oc>
    <nc r="X289">
      <f>X27+X66+X102+X147+X184+X222+X240+X252+X260+X140+X126+X20+X14+X278+X284</f>
    </nc>
  </rcc>
  <rcc rId="30993" sId="8" numFmtId="4">
    <oc r="D289">
      <f>D27+D66+D102+D147+D184+D222+D240+D252+D260+D140+D126+D20+D14</f>
    </oc>
    <nc r="D289">
      <v>1169.0820000000001</v>
    </nc>
  </rcc>
  <rcc rId="30994" sId="8" numFmtId="4">
    <oc r="D300">
      <f>D33+D40+D46+D52++D72+D78+D84+D90+D96+D108+D114+D120+D153+D178+D190+D196+D202+D208+D214+D228+D234+D246+D252+D266+D132+D272+D59</f>
    </oc>
    <nc r="D300">
      <v>1169.08</v>
    </nc>
  </rcc>
  <rcc rId="30995" sId="8">
    <oc r="R26">
      <f>R32+R39+R45+R51+R58</f>
    </oc>
    <nc r="R26">
      <f>R32+R39+R45+R51+R58</f>
    </nc>
  </rcc>
  <rcc rId="30996" sId="8">
    <nc r="X102">
      <f>X108+X114+X120</f>
    </nc>
  </rcc>
  <rcc rId="30997" sId="8">
    <nc r="AE102">
      <f>AE108+AE114+AE120</f>
    </nc>
  </rcc>
  <rcc rId="30998" sId="8">
    <nc r="H102">
      <f>H108+H114+H120</f>
    </nc>
  </rcc>
  <rcc rId="30999" sId="8">
    <nc r="I102">
      <f>I108+I114+I120</f>
    </nc>
  </rcc>
  <rcc rId="31000" sId="8">
    <nc r="J102">
      <f>J108+J114+J120</f>
    </nc>
  </rcc>
  <rcc rId="31001" sId="8">
    <nc r="K102">
      <f>K108+K114+K120</f>
    </nc>
  </rcc>
  <rcc rId="31002" sId="8">
    <nc r="L102">
      <f>L108+L114+L120</f>
    </nc>
  </rcc>
  <rcc rId="31003" sId="8">
    <nc r="M102">
      <f>M108+M114+M120</f>
    </nc>
  </rcc>
  <rcc rId="31004" sId="8">
    <nc r="N102">
      <f>N108+N114+N120</f>
    </nc>
  </rcc>
  <rcc rId="31005" sId="8">
    <nc r="O102">
      <f>O108+O114+O120</f>
    </nc>
  </rcc>
  <rcc rId="31006" sId="8">
    <nc r="P102">
      <f>P108+P114+P120</f>
    </nc>
  </rcc>
  <rcc rId="31007" sId="8">
    <nc r="Q102">
      <f>Q108+Q114+Q120</f>
    </nc>
  </rcc>
  <rcc rId="31008" sId="8">
    <nc r="R102">
      <f>R108+R114+R120</f>
    </nc>
  </rcc>
  <rcc rId="31009" sId="8">
    <nc r="S102">
      <f>S108+S114+S120</f>
    </nc>
  </rcc>
  <rcc rId="31010" sId="8">
    <nc r="T102">
      <f>T108+T114+T120</f>
    </nc>
  </rcc>
  <rcc rId="31011" sId="8">
    <nc r="U102">
      <f>U108+U114+U120</f>
    </nc>
  </rcc>
  <rcc rId="31012" sId="8">
    <nc r="V102">
      <f>V108+V114+V120</f>
    </nc>
  </rcc>
  <rcc rId="31013" sId="8">
    <nc r="W102">
      <f>W108+W114+W120</f>
    </nc>
  </rcc>
  <rcc rId="31014" sId="8">
    <nc r="X102">
      <f>X108+X114+X120</f>
    </nc>
  </rcc>
  <rcc rId="31015" sId="8">
    <nc r="Y102">
      <f>Y108+Y114+Y120</f>
    </nc>
  </rcc>
  <rcc rId="31016" sId="8">
    <nc r="Z102">
      <f>Z108+Z114+Z120</f>
    </nc>
  </rcc>
  <rcc rId="31017" sId="8">
    <nc r="AA102">
      <f>AA108+AA114+AA120</f>
    </nc>
  </rcc>
  <rcc rId="31018" sId="8">
    <nc r="AB102">
      <f>AB108+AB114+AB120</f>
    </nc>
  </rcc>
  <rcc rId="31019" sId="8">
    <nc r="AC102">
      <f>AC108+AC114+AC120</f>
    </nc>
  </rcc>
  <rcc rId="31020" sId="8">
    <nc r="AD102">
      <f>AD108+AD114+AD120</f>
    </nc>
  </rcc>
  <rcc rId="31021" sId="8">
    <nc r="AE102">
      <f>AE108+AE114+AE120</f>
    </nc>
  </rcc>
  <rcc rId="31022" sId="8">
    <oc r="B27">
      <f>B33+B40+B46+B52+B59</f>
    </oc>
    <nc r="B27">
      <f>B33+B40+B46+B52+B59</f>
    </nc>
  </rcc>
  <rcc rId="31023" sId="8">
    <oc r="H27">
      <f>H33+H40+H46+H52+H59</f>
    </oc>
    <nc r="H27">
      <f>H33+H40+H46+H52+H59</f>
    </nc>
  </rcc>
  <rcc rId="31024" sId="8">
    <oc r="I27">
      <f>I33+I40+I46+I52+I59</f>
    </oc>
    <nc r="I27">
      <f>I33+I40+I46+I52+I59</f>
    </nc>
  </rcc>
  <rcc rId="31025" sId="8">
    <oc r="J27">
      <f>J33+J40+J46+J52+J59</f>
    </oc>
    <nc r="J27">
      <f>J33+J40+J46+J52+J59</f>
    </nc>
  </rcc>
  <rcc rId="31026" sId="8">
    <oc r="K27">
      <f>K33+K40+K46+K52+K59</f>
    </oc>
    <nc r="K27">
      <f>K33+K40+K46+K52+K59</f>
    </nc>
  </rcc>
  <rcc rId="31027" sId="8">
    <oc r="L27">
      <f>L33+L40+L46+L52+L59</f>
    </oc>
    <nc r="L27">
      <f>L33+L40+L46+L52+L59</f>
    </nc>
  </rcc>
  <rcc rId="31028" sId="8">
    <oc r="M27">
      <f>M33+M40+M46+M52+M59</f>
    </oc>
    <nc r="M27">
      <f>M33+M40+M46+M52+M59</f>
    </nc>
  </rcc>
  <rcc rId="31029" sId="8">
    <oc r="N27">
      <f>N33+N40+N46+N52+N59</f>
    </oc>
    <nc r="N27">
      <f>N33+N40+N46+N52+N59</f>
    </nc>
  </rcc>
  <rcc rId="31030" sId="8">
    <oc r="O27">
      <f>O33+O40+O46+O52+O59</f>
    </oc>
    <nc r="O27">
      <f>O33+O40+O46+O52+O59</f>
    </nc>
  </rcc>
  <rcc rId="31031" sId="8">
    <oc r="P27">
      <f>P33+P40+P46+P52+P59</f>
    </oc>
    <nc r="P27">
      <f>P33+P40+P46+P52+P59</f>
    </nc>
  </rcc>
  <rcc rId="31032" sId="8">
    <oc r="Q27">
      <f>Q33+Q40+Q46+Q52+Q59</f>
    </oc>
    <nc r="Q27">
      <f>Q33+Q40+Q46+Q52+Q59</f>
    </nc>
  </rcc>
  <rcc rId="31033" sId="8">
    <oc r="R27">
      <f>R33+R40+R46+R52+R59</f>
    </oc>
    <nc r="R27">
      <f>R33+R40+R46+R52+R59</f>
    </nc>
  </rcc>
  <rcc rId="31034" sId="8">
    <oc r="S27">
      <f>S33+S40+S46+S52+S59</f>
    </oc>
    <nc r="S27">
      <f>S33+S40+S46+S52+S59</f>
    </nc>
  </rcc>
  <rcc rId="31035" sId="8">
    <oc r="T27">
      <f>T33+T40+T46+T52+T59</f>
    </oc>
    <nc r="T27">
      <f>T33+T40+T46+T52+T59</f>
    </nc>
  </rcc>
  <rcc rId="31036" sId="8">
    <oc r="U27">
      <f>U33+U40+U46+U52+U59</f>
    </oc>
    <nc r="U27">
      <f>U33+U40+U46+U52+U59</f>
    </nc>
  </rcc>
  <rcc rId="31037" sId="8">
    <oc r="V27">
      <f>V33+V40+V46+V52+V59</f>
    </oc>
    <nc r="V27">
      <f>V33+V40+V46+V52+V59</f>
    </nc>
  </rcc>
  <rcc rId="31038" sId="8">
    <oc r="W27">
      <f>W33+W40+W46+W52+W59</f>
    </oc>
    <nc r="W27">
      <f>W33+W40+W46+W52+W59</f>
    </nc>
  </rcc>
  <rcc rId="31039" sId="8">
    <oc r="X27">
      <f>X33+X40+X46+X52+X59</f>
    </oc>
    <nc r="X27">
      <f>X33+X40+X46+X52+X59</f>
    </nc>
  </rcc>
  <rcc rId="31040" sId="8">
    <oc r="Y27">
      <f>Y33+Y40+Y46+Y52+Y59</f>
    </oc>
    <nc r="Y27">
      <f>Y33+Y40+Y46+Y52+Y59</f>
    </nc>
  </rcc>
  <rcc rId="31041" sId="8">
    <oc r="Z27">
      <f>Z33+Z40+Z46+Z52+Z59</f>
    </oc>
    <nc r="Z27">
      <f>Z33+Z40+Z46+Z52+Z59</f>
    </nc>
  </rcc>
  <rcc rId="31042" sId="8">
    <oc r="AA27">
      <f>AA33+AA40+AA46+AA52+AA59</f>
    </oc>
    <nc r="AA27">
      <f>AA33+AA40+AA46+AA52+AA59</f>
    </nc>
  </rcc>
  <rcc rId="31043" sId="8">
    <oc r="AB27">
      <f>AB33+AB40+AB46+AB52+AB59</f>
    </oc>
    <nc r="AB27">
      <f>AB33+AB40+AB46+AB52+AB59</f>
    </nc>
  </rcc>
  <rcc rId="31044" sId="8">
    <oc r="AC27">
      <f>AC33+AC40+AC46+AC52+AC59</f>
    </oc>
    <nc r="AC27">
      <f>AC33+AC40+AC46+AC52+AC59</f>
    </nc>
  </rcc>
  <rcc rId="31045" sId="8">
    <oc r="AD27">
      <f>AD33+AD40+AD46+AD52+AD59</f>
    </oc>
    <nc r="AD27">
      <f>AD33+AD40+AD46+AD52+AD59</f>
    </nc>
  </rcc>
  <rcc rId="31046" sId="8">
    <oc r="AE27">
      <f>AE33+AE40+AE46+AE52+AE59</f>
    </oc>
    <nc r="AE27">
      <f>AE33+AE40+AE46+AE52+AE59</f>
    </nc>
  </rcc>
  <rcc rId="31047" sId="8">
    <oc r="H300">
      <f>H33+H40+H46+H52++H72+H78+H84+H90+H96+H108+H114+H120+H153+H178+H190+H196+H202+H208+H214+H228+H234+H246+H252+H266+H132+H272+H59</f>
    </oc>
    <nc r="H300">
      <f>H33+H40+H46+H52++H72+H78+H84+H90+H96+H108+H114+H120+H153+H178+H190+H196+H202+H208+H214+H228+H234+H246+H252+H266+H132+H272+H59+H278+H284</f>
    </nc>
  </rcc>
  <rcc rId="31048" sId="8">
    <oc r="I300">
      <f>I33+I40+I46+I52++I72+I78+I84+I90+I96+I108+I114+I120+I153+I178+I190+I196+I202+I208+I214+I228+I234+I246+I252+I266+I132+I272+I59</f>
    </oc>
    <nc r="I300">
      <f>I33+I40+I46+I52++I72+I78+I84+I90+I96+I108+I114+I120+I153+I178+I190+I196+I202+I208+I214+I228+I234+I246+I252+I266+I132+I272+I59+I278+I284</f>
    </nc>
  </rcc>
  <rcc rId="31049" sId="8">
    <oc r="J300">
      <f>J33+J40+J46+J52++J72+J78+J84+J90+J96+J108+J114+J120+J153+J178+J190+J196+J202+J208+J214+J228+J234+J246+J252+J266+J132+J272+J59</f>
    </oc>
    <nc r="J300">
      <f>J33+J40+J46+J52++J72+J78+J84+J90+J96+J108+J114+J120+J153+J178+J190+J196+J202+J208+J214+J228+J234+J246+J252+J266+J132+J272+J59+J278+J284</f>
    </nc>
  </rcc>
  <rcc rId="31050" sId="8">
    <oc r="K300">
      <f>K33+K40+K46+K52++K72+K78+K84+K90+K96+K108+K114+K120+K153+K178+K190+K196+K202+K208+K214+K228+K234+K246+K252+K266+K132+K272+K59</f>
    </oc>
    <nc r="K300">
      <f>K33+K40+K46+K52++K72+K78+K84+K90+K96+K108+K114+K120+K153+K178+K190+K196+K202+K208+K214+K228+K234+K246+K252+K266+K132+K272+K59+K278+K284</f>
    </nc>
  </rcc>
  <rcc rId="31051" sId="8">
    <oc r="L300">
      <f>L33+L40+L46+L52++L72+L78+L84+L90+L96+L108+L114+L120+L153+L178+L190+L196+L202+L208+L214+L228+L234+L246+L252+L266+L132+L272+L59</f>
    </oc>
    <nc r="L300">
      <f>L33+L40+L46+L52++L72+L78+L84+L90+L96+L108+L114+L120+L153+L178+L190+L196+L202+L208+L214+L228+L234+L246+L252+L266+L132+L272+L59+L278+L284</f>
    </nc>
  </rcc>
  <rcc rId="31052" sId="8">
    <oc r="M300">
      <f>M33+M40+M46+M52++M72+M78+M84+M90+M96+M108+M114+M120+M153+M178+M190+M196+M202+M208+M214+M228+M234+M246+M252+M266+M132+M272+M59</f>
    </oc>
    <nc r="M300">
      <f>M33+M40+M46+M52++M72+M78+M84+M90+M96+M108+M114+M120+M153+M178+M190+M196+M202+M208+M214+M228+M234+M246+M252+M266+M132+M272+M59+M278+M284</f>
    </nc>
  </rcc>
  <rcc rId="31053" sId="8">
    <oc r="N300">
      <f>N33+N40+N46+N52++N72+N78+N84+N90+N96+N108+N114+N120+N153+N178+N190+N196+N202+N208+N214+N228+N234+N246+N252+N266+N132+N272+N59</f>
    </oc>
    <nc r="N300">
      <f>N33+N40+N46+N52++N72+N78+N84+N90+N96+N108+N114+N120+N153+N178+N190+N196+N202+N208+N214+N228+N234+N246+N252+N266+N132+N272+N59+N278+N284</f>
    </nc>
  </rcc>
  <rcc rId="31054" sId="8">
    <oc r="O300">
      <f>O33+O40+O46+O52++O72+O78+O84+O90+O96+O108+O114+O120+O153+O178+O190+O196+O202+O208+O214+O228+O234+O246+O252+O266+O132+O272+O59</f>
    </oc>
    <nc r="O300">
      <f>O33+O40+O46+O52++O72+O78+O84+O90+O96+O108+O114+O120+O153+O178+O190+O196+O202+O208+O214+O228+O234+O246+O252+O266+O132+O272+O59+O278+O284</f>
    </nc>
  </rcc>
  <rcc rId="31055" sId="8">
    <oc r="P300">
      <f>P33+P40+P46+P52++P72+P78+P84+P90+P96+P108+P114+P120+P153+P178+P190+P196+P202+P208+P214+P228+P234+P246+P252+P266+P132+P272+P59</f>
    </oc>
    <nc r="P300">
      <f>P33+P40+P46+P52++P72+P78+P84+P90+P96+P108+P114+P120+P153+P178+P190+P196+P202+P208+P214+P228+P234+P246+P252+P266+P132+P272+P59+P278+P284</f>
    </nc>
  </rcc>
  <rcc rId="31056" sId="8">
    <oc r="Q300">
      <f>Q33+Q40+Q46+Q52++Q72+Q78+Q84+Q90+Q96+Q108+Q114+Q120+Q153+Q178+Q190+Q196+Q202+Q208+Q214+Q228+Q234+Q246+Q252+Q266+Q132+Q272+Q59</f>
    </oc>
    <nc r="Q300">
      <f>Q33+Q40+Q46+Q52++Q72+Q78+Q84+Q90+Q96+Q108+Q114+Q120+Q153+Q178+Q190+Q196+Q202+Q208+Q214+Q228+Q234+Q246+Q252+Q266+Q132+Q272+Q59+Q278+Q284</f>
    </nc>
  </rcc>
  <rcc rId="31057" sId="8">
    <oc r="R300">
      <f>R33+R40+R46+R52++R72+R78+R84+R90+R96+R108+R114+R120+R153+R178+R190+R196+R202+R208+R214+R228+R234+R246+R252+R266+R132+R272+R59</f>
    </oc>
    <nc r="R300">
      <f>R33+R40+R46+R52++R72+R78+R84+R90+R96+R108+R114+R120+R153+R178+R190+R196+R202+R208+R214+R228+R234+R246+R252+R266+R132+R272+R59+R278+R284</f>
    </nc>
  </rcc>
  <rcc rId="31058" sId="8">
    <oc r="S300">
      <f>S33+S40+S46+S52++S72+S78+S84+S90+S96+S108+S114+S120+S153+S178+S190+S196+S202+S208+S214+S228+S234+S246+S252+S266+S132+S272+S59</f>
    </oc>
    <nc r="S300">
      <f>S33+S40+S46+S52++S72+S78+S84+S90+S96+S108+S114+S120+S153+S178+S190+S196+S202+S208+S214+S228+S234+S246+S252+S266+S132+S272+S59+S278+S284</f>
    </nc>
  </rcc>
  <rcc rId="31059" sId="8">
    <oc r="T300">
      <f>T33+T40+T46+T52++T72+T78+T84+T90+T96+T108+T114+T120+T153+T178+T190+T196+T202+T208+T214+T228+T234+T246+T252+T266+T132+T272+T59</f>
    </oc>
    <nc r="T300">
      <f>T33+T40+T46+T52++T72+T78+T84+T90+T96+T108+T114+T120+T153+T178+T190+T196+T202+T208+T214+T228+T234+T246+T252+T266+T132+T272+T59+T278+T284</f>
    </nc>
  </rcc>
  <rcc rId="31060" sId="8">
    <oc r="U300">
      <f>U33+U40+U46+U52++U72+U78+U84+U90+U96+U108+U114+U120+U153+U178+U190+U196+U202+U208+U214+U228+U234+U246+U252+U266+U132+U272+U59</f>
    </oc>
    <nc r="U300">
      <f>U33+U40+U46+U52++U72+U78+U84+U90+U96+U108+U114+U120+U153+U178+U190+U196+U202+U208+U214+U228+U234+U246+U252+U266+U132+U272+U59+U278+U284</f>
    </nc>
  </rcc>
  <rcc rId="31061" sId="8">
    <oc r="V300">
      <f>V33+V40+V46+V52++V72+V78+V84+V90+V96+V108+V114+V120+V153+V178+V190+V196+V202+V208+V214+V228+V234+V246+V252+V266+V132+V272+V59</f>
    </oc>
    <nc r="V300">
      <f>V33+V40+V46+V52++V72+V78+V84+V90+V96+V108+V114+V120+V153+V178+V190+V196+V202+V208+V214+V228+V234+V246+V252+V266+V132+V272+V59+V278+V284</f>
    </nc>
  </rcc>
  <rcc rId="31062" sId="8">
    <oc r="W300">
      <f>W33+W40+W46+W52++W72+W78+W84+W90+W96+W108+W114+W120+W153+W178+W190+W196+W202+W208+W214+W228+W234+W246+W252+W266+W132+W272+W59</f>
    </oc>
    <nc r="W300">
      <f>W33+W40+W46+W52++W72+W78+W84+W90+W96+W108+W114+W120+W153+W178+W190+W196+W202+W208+W214+W228+W234+W246+W252+W266+W132+W272+W59+W278+W284</f>
    </nc>
  </rcc>
  <rcc rId="31063" sId="8">
    <oc r="X300">
      <f>X33+X40+X46+X52++X72+X78+X84+X90+X96+X108+X114+X120+X153+X178+X190+X196+X202+X208+X214+X228+X234+X246+X252+X266+X132+X272+X59</f>
    </oc>
    <nc r="X300">
      <f>X33+X40+X46+X52++X72+X78+X84+X90+X96+X108+X114+X120+X153+X178+X190+X196+X202+X208+X214+X228+X234+X246+X252+X266+X132+X272+X59+X278+X284</f>
    </nc>
  </rcc>
  <rcc rId="31064" sId="8">
    <oc r="Y300">
      <f>Y33+Y40+Y46+Y52++Y72+Y78+Y84+Y90+Y96+Y108+Y114+Y120+Y153+Y178+Y190+Y196+Y202+Y208+Y214+Y228+Y234+Y246+Y252+Y266+Y132+Y272+Y59</f>
    </oc>
    <nc r="Y300">
      <f>Y33+Y40+Y46+Y52++Y72+Y78+Y84+Y90+Y96+Y108+Y114+Y120+Y153+Y178+Y190+Y196+Y202+Y208+Y214+Y228+Y234+Y246+Y252+Y266+Y132+Y272+Y59+Y278+Y284</f>
    </nc>
  </rcc>
  <rcc rId="31065" sId="8">
    <oc r="Z300">
      <f>Z33+Z40+Z46+Z52++Z72+Z78+Z84+Z90+Z96+Z108+Z114+Z120+Z153+Z178+Z190+Z196+Z202+Z208+Z214+Z228+Z234+Z246+Z252+Z266+Z132+Z272+Z59</f>
    </oc>
    <nc r="Z300">
      <f>Z33+Z40+Z46+Z52++Z72+Z78+Z84+Z90+Z96+Z108+Z114+Z120+Z153+Z178+Z190+Z196+Z202+Z208+Z214+Z228+Z234+Z246+Z252+Z266+Z132+Z272+Z59+Z278+Z284</f>
    </nc>
  </rcc>
  <rcc rId="31066" sId="8">
    <oc r="AA300">
      <f>AA33+AA40+AA46+AA52++AA72+AA78+AA84+AA90+AA96+AA108+AA114+AA120+AA153+AA178+AA190+AA196+AA202+AA208+AA214+AA228+AA234+AA246+AA252+AA266+AA132+AA272+AA59</f>
    </oc>
    <nc r="AA300">
      <f>AA33+AA40+AA46+AA52++AA72+AA78+AA84+AA90+AA96+AA108+AA114+AA120+AA153+AA178+AA190+AA196+AA202+AA208+AA214+AA228+AA234+AA246+AA252+AA266+AA132+AA272+AA59+AA278+AA284</f>
    </nc>
  </rcc>
  <rcc rId="31067" sId="8">
    <oc r="AB300">
      <f>AB33+AB40+AB46+AB52++AB72+AB78+AB84+AB90+AB96+AB108+AB114+AB120+AB153+AB178+AB190+AB196+AB202+AB208+AB214+AB228+AB234+AB246+AB252+AB266+AB132+AB272+AB59</f>
    </oc>
    <nc r="AB300">
      <f>AB33+AB40+AB46+AB52++AB72+AB78+AB84+AB90+AB96+AB108+AB114+AB120+AB153+AB178+AB190+AB196+AB202+AB208+AB214+AB228+AB234+AB246+AB252+AB266+AB132+AB272+AB59+AB278+AB284</f>
    </nc>
  </rcc>
  <rcc rId="31068" sId="8">
    <oc r="AC300">
      <f>AC33+AC40+AC46+AC52++AC72+AC78+AC84+AC90+AC96+AC108+AC114+AC120+AC153+AC178+AC190+AC196+AC202+AC208+AC214+AC228+AC234+AC246+AC252+AC266+AC132+AC272+AC59</f>
    </oc>
    <nc r="AC300">
      <f>AC33+AC40+AC46+AC52++AC72+AC78+AC84+AC90+AC96+AC108+AC114+AC120+AC153+AC178+AC190+AC196+AC202+AC208+AC214+AC228+AC234+AC246+AC252+AC266+AC132+AC272+AC59+AC278+AC284</f>
    </nc>
  </rcc>
  <rcc rId="31069" sId="8">
    <oc r="AD300">
      <f>AD33+AD40+AD46+AD52++AD72+AD78+AD84+AD90+AD96+AD108+AD114+AD120+AD153+AD178+AD190+AD196+AD202+AD208+AD214+AD228+AD234+AD246+AD252+AD266+AD132+AD272+AD59</f>
    </oc>
    <nc r="AD300">
      <f>AD33+AD40+AD46+AD52++AD72+AD78+AD84+AD90+AD96+AD108+AD114+AD120+AD153+AD178+AD190+AD196+AD202+AD208+AD214+AD228+AD234+AD246+AD252+AD266+AD132+AD272+AD59+AD278+AD284</f>
    </nc>
  </rcc>
  <rcc rId="31070" sId="8">
    <oc r="AE300">
      <f>AE33+AE40+AE46+AE52++AE72+AE78+AE84+AE90+AE96+AE108+AE114+AE120+AE153+AE178+AE190+AE196+AE202+AE208+AE214+AE228+AE234+AE246+AE252+AE266+AE132+AE272+AE59</f>
    </oc>
    <nc r="AE300">
      <f>AE33+AE40+AE46+AE52++AE72+AE78+AE84+AE90+AE96+AE108+AE114+AE120+AE153+AE178+AE190+AE196+AE202+AE208+AE214+AE228+AE234+AE246+AE252+AE266+AE132+AE272+AE59+AE278+AE284</f>
    </nc>
  </rcc>
  <rcc rId="31071" sId="8">
    <oc r="V290">
      <f>V28+V67+V103+V148+V185+V223+V241+V253+V261+V141+V127+V21+V15</f>
    </oc>
    <nc r="V290">
      <f>V28+V67+V103+V148+V185+V223+V241+V253+V261+V141+V127+V21+V15+V279+V285</f>
    </nc>
  </rcc>
  <rcc rId="31072" sId="8">
    <oc r="V301">
      <f>V34+V41+V47+V53++V73+V79+V85+V91+V97+V109+V115+V121+V154+V179+V191+V197+V203+V209+V215+V229+V235+V247+V253+V267+V133+V273+V60</f>
    </oc>
    <nc r="V301">
      <f>V34+V41+V47+V53++V73+V79+V85+V91+V97+V109+V115+V121+V154+V179+V191+V197+V203+V209+V215+V229+V235+V247+V253+V267+V133+V273+V60+V285</f>
    </nc>
  </rcc>
  <rcc rId="31073" sId="8">
    <oc r="V298">
      <f>V299+V300+V301+V302</f>
    </oc>
    <nc r="V298">
      <f>V299+V300+V301</f>
    </nc>
  </rcc>
  <rcc rId="31074" sId="8">
    <oc r="W301">
      <f>W34+W41+W47+W53++W73+W79+W85+W91+W97+W109+W115+W121+W154+W179+W191+W197+W203+W209+W215+W229+W235+W247+W253+W267+W133+W273+W60</f>
    </oc>
    <nc r="W301">
      <f>W34+W41+W47+W53++W73+W79+W85+W91+W97+W109+W115+W121+W154+W179+W191+W197+W203+W209+W215+W229+W235+W247+W253+W267+W133+W273+W60+W285</f>
    </nc>
  </rcc>
  <rcc rId="31075" sId="8">
    <oc r="X301">
      <f>X34+X41+X47+X53++X73+X79+X85+X91+X97+X109+X115+X121+X154+X179+X191+X197+X203+X209+X215+X229+X235+X247+X253+X267+X133+X273+X60</f>
    </oc>
    <nc r="X301">
      <f>X34+X41+X47+X53++X73+X79+X85+X91+X97+X109+X115+X121+X154+X179+X191+X197+X203+X209+X215+X229+X235+X247+X253+X267+X133+X273+X60+X279</f>
    </nc>
  </rcc>
  <rcc rId="31076" sId="8">
    <oc r="Y301">
      <f>Y34+Y41+Y47+Y53++Y73+Y79+Y85+Y91+Y97+Y109+Y115+Y121+Y154+Y179+Y191+Y197+Y203+Y209+Y215+Y229+Y235+Y247+Y253+Y267+Y133+Y273+Y60</f>
    </oc>
    <nc r="Y301">
      <f>Y34+Y41+Y47+Y53++Y73+Y79+Y85+Y91+Y97+Y109+Y115+Y121+Y154+Y179+Y191+Y197+Y203+Y209+Y215+Y229+Y235+Y247+Y253+Y267+Y133+Y273+Y60+Y279</f>
    </nc>
  </rcc>
  <rcc rId="31077" sId="8">
    <oc r="L302">
      <f>L35+L42+L48+L54++L74+L80+L86+L92+L98+L110+L116+L122+L155+L180+L192+L198+L204+L210+L216+L230+L236+L248+L254+L268+L134+L274+L61</f>
    </oc>
    <nc r="L302">
      <f>L42+L48+L55++L74+L80+L86+L92+L98+L110+L116+L122+L155+L180+L192+L198+L204+L210+L216+L230+L236+L248+L254+L268+L134+L274+L61</f>
    </nc>
  </rcc>
  <rcc rId="31078" sId="8">
    <oc r="M302">
      <f>M35+M42+M48+M54++M74+M80+M86+M92+M98+M110+M116+M122+M155+M180+M192+M198+M204+M210+M216+M230+M236+M248+M254+M268+M134+M274+M61</f>
    </oc>
    <nc r="M302">
      <f>M42+M48+M55++M74+M80+M86+M92+M98+M110+M116+M122+M155+M180+M192+M198+M204+M210+M216+M230+M236+M248+M254+M268+M134+M274+M61</f>
    </nc>
  </rcc>
  <rcc rId="31079" sId="8">
    <oc r="N302">
      <f>N35+N42+N48+N54++N74+N80+N86+N92+N98+N110+N116+N122+N155+N180+N192+N198+N204+N210+N216+N230+N236+N248+N254+N268+N134+N274+N61</f>
    </oc>
    <nc r="N302">
      <f>N42+N48+N55++N74+N80+N86+N92+N98+N110+N116+N122+N155+N180+N192+N198+N204+N210+N216+N230+N236+N248+N254+N268+N134+N274+N61</f>
    </nc>
  </rcc>
  <rcc rId="31080" sId="8">
    <oc r="O302">
      <f>O35+O42+O48+O54++O74+O80+O86+O92+O98+O110+O116+O122+O155+O180+O192+O198+O204+O210+O216+O230+O236+O248+O254+O268+O134+O274+O61</f>
    </oc>
    <nc r="O302">
      <f>O42+O48+O55++O74+O80+O86+O92+O98+O110+O116+O122+O155+O180+O192+O198+O204+O210+O216+O230+O236+O248+O254+O268+O134+O274+O61</f>
    </nc>
  </rcc>
  <rcc rId="31081" sId="8">
    <oc r="P302">
      <f>P35+P42+P48+P54++P74+P80+P86+P92+P98+P110+P116+P122+P155+P180+P192+P198+P204+P210+P216+P230+P236+P248+P254+P268+P134+P274+P61</f>
    </oc>
    <nc r="P302">
      <f>P42+P48+P55++P74+P80+P86+P92+P98+P110+P116+P122+P155+P180+P192+P198+P204+P210+P216+P230+P236+P248+P254+P268+P134+P274+P61</f>
    </nc>
  </rcc>
  <rcc rId="31082" sId="8">
    <oc r="Q302">
      <f>Q35+Q42+Q48+Q54++Q74+Q80+Q86+Q92+Q98+Q110+Q116+Q122+Q155+Q180+Q192+Q198+Q204+Q210+Q216+Q230+Q236+Q248+Q254+Q268+Q134+Q274+Q61</f>
    </oc>
    <nc r="Q302">
      <f>Q42+Q48+Q55++Q74+Q80+Q86+Q92+Q98+Q110+Q116+Q122+Q155+Q180+Q192+Q198+Q204+Q210+Q216+Q230+Q236+Q248+Q254+Q268+Q134+Q274+Q61</f>
    </nc>
  </rcc>
  <rcc rId="31083" sId="8">
    <oc r="R302">
      <f>R35+R42+R48+R54++R74+R80+R86+R92+R98+R110+R116+R122+R155+R180+R192+R198+R204+R210+R216+R230+R236+R248+R254+R268+R134+R274+R61</f>
    </oc>
    <nc r="R302">
      <f>R42+R48+R55++R74+R80+R86+R92+R98+R110+R116+R122+R155+R180+R192+R198+R204+R210+R216+R230+R236+R248+R254+R268+R134+R274+R61</f>
    </nc>
  </rcc>
  <rcc rId="31084" sId="8">
    <oc r="S302">
      <f>S35+S42+S48+S54++S74+S80+S86+S92+S98+S110+S116+S122+S155+S180+S192+S198+S204+S210+S216+S230+S236+S248+S254+S268+S134+S274+S61</f>
    </oc>
    <nc r="S302">
      <f>S42+S48+S55++S74+S80+S86+S92+S98+S110+S116+S122+S155+S180+S192+S198+S204+S210+S216+S230+S236+S248+S254+S268+S134+S274+S61</f>
    </nc>
  </rcc>
  <rcc rId="31085" sId="8">
    <oc r="T302">
      <f>T35+T42+T48+T54++T74+T80+T86+T92+T98+T110+T116+T122+T155+T180+T192+T198+T204+T210+T216+T230+T236+T248+T254+T268+T134+T274+T61</f>
    </oc>
    <nc r="T302">
      <f>T42+T48+T55++T74+T80+T86+T92+T98+T110+T116+T122+T155+T180+T192+T198+T204+T210+T216+T230+T236+T248+T254+T268+T134+T274+T61</f>
    </nc>
  </rcc>
  <rcc rId="31086" sId="8">
    <oc r="U302">
      <f>U35+U42+U48+U54++U74+U80+U86+U92+U98+U110+U116+U122+U155+U180+U192+U198+U204+U210+U216+U230+U236+U248+U254+U268+U134+U274+U61</f>
    </oc>
    <nc r="U302">
      <f>U42+U48+U55++U74+U80+U86+U92+U98+U110+U116+U122+U155+U180+U192+U198+U204+U210+U216+U230+U236+U248+U254+U268+U134+U274+U61</f>
    </nc>
  </rcc>
  <rcc rId="31087" sId="8">
    <oc r="V302">
      <f>V35+V42+V48+V54++V74+V80+V86+V92+V98+V110+V116+V122+V155+V180+V192+V198+V204+V210+V216+V230+V236+V248+V254+V268+V134+V274+V61</f>
    </oc>
    <nc r="V302">
      <f>V42+V48+V55++V74+V80+V86+V92+V98+V110+V116+V122+V155+V180+V192+V198+V204+V210+V216+V230+V236+V248+V254+V268+V134+V274+V61</f>
    </nc>
  </rcc>
  <rcc rId="31088" sId="8">
    <oc r="W302">
      <f>W35+W42+W48+W54++W74+W80+W86+W92+W98+W110+W116+W122+W155+W180+W192+W198+W204+W210+W216+W230+W236+W248+W254+W268+W134+W274+W61</f>
    </oc>
    <nc r="W302">
      <f>W42+W48+W55++W74+W80+W86+W92+W98+W110+W116+W122+W155+W180+W192+W198+W204+W210+W216+W230+W236+W248+W254+W268+W134+W274+W61</f>
    </nc>
  </rcc>
  <rcc rId="31089" sId="8">
    <oc r="X302">
      <f>X35+X42+X48+X54++X74+X80+X86+X92+X98+X110+X116+X122+X155+X180+X192+X198+X204+X210+X216+X230+X236+X248+X254+X268+X134+X274+X61</f>
    </oc>
    <nc r="X302">
      <f>X42+X48+X55++X74+X80+X86+X92+X98+X110+X116+X122+X155+X180+X192+X198+X204+X210+X216+X230+X236+X248+X254+X268+X134+X274+X61</f>
    </nc>
  </rcc>
  <rcc rId="31090" sId="8">
    <oc r="Y302">
      <f>Y35+Y42+Y48+Y54++Y74+Y80+Y86+Y92+Y98+Y110+Y116+Y122+Y155+Y180+Y192+Y198+Y204+Y210+Y216+Y230+Y236+Y248+Y254+Y268+Y134+Y274+Y61</f>
    </oc>
    <nc r="Y302">
      <f>Y42+Y48+Y55++Y74+Y80+Y86+Y92+Y98+Y110+Y116+Y122+Y155+Y180+Y192+Y198+Y204+Y210+Y216+Y230+Y236+Y248+Y254+Y268+Y134+Y274+Y61</f>
    </nc>
  </rcc>
  <rcc rId="31091" sId="8">
    <oc r="Z302">
      <f>Z35+Z42+Z48+Z54++Z74+Z80+Z86+Z92+Z98+Z110+Z116+Z122+Z155+Z180+Z192+Z198+Z204+Z210+Z216+Z230+Z236+Z248+Z254+Z268+Z134+Z274+Z61</f>
    </oc>
    <nc r="Z302">
      <f>Z42+Z48+Z55++Z74+Z80+Z86+Z92+Z98+Z110+Z116+Z122+Z155+Z180+Z192+Z198+Z204+Z210+Z216+Z230+Z236+Z248+Z254+Z268+Z134+Z274+Z61</f>
    </nc>
  </rcc>
  <rcc rId="31092" sId="8">
    <oc r="AA302">
      <f>AA35+AA42+AA48+AA54++AA74+AA80+AA86+AA92+AA98+AA110+AA116+AA122+AA155+AA180+AA192+AA198+AA204+AA210+AA216+AA230+AA236+AA248+AA254+AA268+AA134+AA274+AA61</f>
    </oc>
    <nc r="AA302">
      <f>AA42+AA48+AA55++AA74+AA80+AA86+AA92+AA98+AA110+AA116+AA122+AA155+AA180+AA192+AA198+AA204+AA210+AA216+AA230+AA236+AA248+AA254+AA268+AA134+AA274+AA61</f>
    </nc>
  </rcc>
  <rcc rId="31093" sId="8">
    <oc r="AB302">
      <f>AB35+AB42+AB48+AB54++AB74+AB80+AB86+AB92+AB98+AB110+AB116+AB122+AB155+AB180+AB192+AB198+AB204+AB210+AB216+AB230+AB236+AB248+AB254+AB268+AB134+AB274+AB61</f>
    </oc>
    <nc r="AB302">
      <f>AB42+AB48+AB55++AB74+AB80+AB86+AB92+AB98+AB110+AB116+AB122+AB155+AB180+AB192+AB198+AB204+AB210+AB216+AB230+AB236+AB248+AB254+AB268+AB134+AB274+AB61</f>
    </nc>
  </rcc>
  <rcc rId="31094" sId="8">
    <oc r="AC302">
      <f>AC35+AC42+AC48+AC54++AC74+AC80+AC86+AC92+AC98+AC110+AC116+AC122+AC155+AC180+AC192+AC198+AC204+AC210+AC216+AC230+AC236+AC248+AC254+AC268+AC134+AC274+AC61</f>
    </oc>
    <nc r="AC302">
      <f>AC42+AC48+AC55++AC74+AC80+AC86+AC92+AC98+AC110+AC116+AC122+AC155+AC180+AC192+AC198+AC204+AC210+AC216+AC230+AC236+AC248+AC254+AC268+AC134+AC274+AC61</f>
    </nc>
  </rcc>
  <rcc rId="31095" sId="8">
    <oc r="AD302">
      <f>AD35+AD42+AD48+AD54++AD74+AD80+AD86+AD92+AD98+AD110+AD116+AD122+AD155+AD180+AD192+AD198+AD204+AD210+AD216+AD230+AD236+AD248+AD254+AD268+AD134+AD274+AD61</f>
    </oc>
    <nc r="AD302">
      <f>AD42+AD48+AD55++AD74+AD80+AD86+AD92+AD98+AD110+AD116+AD122+AD155+AD180+AD192+AD198+AD204+AD210+AD216+AD230+AD236+AD248+AD254+AD268+AD134+AD274+AD61</f>
    </nc>
  </rcc>
  <rcc rId="31096" sId="8">
    <oc r="AE302">
      <f>AE35+AE42+AE48+AE54++AE74+AE80+AE86+AE92+AE98+AE110+AE116+AE122+AE155+AE180+AE192+AE198+AE204+AE210+AE216+AE230+AE236+AE248+AE254+AE268+AE134+AE274+AE61</f>
    </oc>
    <nc r="AE302">
      <f>AE42+AE48+AE55++AE74+AE80+AE86+AE92+AE98+AE110+AE116+AE122+AE155+AE180+AE192+AE198+AE204+AE210+AE216+AE230+AE236+AE248+AE254+AE268+AE134+AE274+AE61</f>
    </nc>
  </rcc>
  <rcc rId="31097" sId="8">
    <oc r="H291">
      <f>H29+H68+H104+H149+H186+H224+H242+H254+H262+H142+H128+H22+H16</f>
    </oc>
    <nc r="H291">
      <f>H29+H68+H104+H149+H186+H224+H242+H254+H262+H142+H128+H22+H16</f>
    </nc>
  </rcc>
  <rcc rId="31098" sId="8">
    <oc r="I291">
      <f>I29+I68+I104+I149+I186+I224+I242+I254+I262+I142+I128+I22+I16</f>
    </oc>
    <nc r="I291">
      <f>I29+I68+I104+I149+I186+I224+I242+I254+I262+I142+I128+I22+I16</f>
    </nc>
  </rcc>
  <rcc rId="31099" sId="8">
    <oc r="J291">
      <f>J29+J68+J104+J149+J186+J224+J242+J254+J262+J142+J128+J22+J16</f>
    </oc>
    <nc r="J291">
      <f>J29+J68+J104+J149+J186+J224+J242+J254+J262+J142+J128+J22+J16</f>
    </nc>
  </rcc>
  <rcc rId="31100" sId="8">
    <oc r="K291">
      <f>K29+K68+K104+K149+K186+K224+K242+K254+K262+K142+K128+K22+K16</f>
    </oc>
    <nc r="K291">
      <f>K29+K68+K104+K149+K186+K224+K242+K254+K262+K142+K128+K22+K16</f>
    </nc>
  </rcc>
  <rcc rId="31101" sId="8">
    <oc r="L291">
      <f>L29+L68+L104+L149+L186+L224+L242+L254+L262+L142+L128+L22+L16</f>
    </oc>
    <nc r="L291">
      <f>L29+L68+L104+L149+L186+L224+L242+L254+L262+L142+L128+L22+L16</f>
    </nc>
  </rcc>
  <rcc rId="31102" sId="8">
    <oc r="M291">
      <f>M29+M68+M104+M149+M186+M224+M242+M254+M262+M142+M128+M22+M16</f>
    </oc>
    <nc r="M291">
      <f>M29+M68+M104+M149+M186+M224+M242+M254+M262+M142+M128+M22+M16</f>
    </nc>
  </rcc>
  <rcc rId="31103" sId="8">
    <oc r="N291">
      <f>N29+N68+N104+N149+N186+N224+N242+N254+N262+N142+N128+N22+N16</f>
    </oc>
    <nc r="N291">
      <f>N29+N68+N104+N149+N186+N224+N242+N254+N262+N142+N128+N22+N16</f>
    </nc>
  </rcc>
  <rcc rId="31104" sId="8">
    <oc r="O291">
      <f>O29+O68+O104+O149+O186+O224+O242+O254+O262+O142+O128+O22+O16</f>
    </oc>
    <nc r="O291">
      <f>O29+O68+O104+O149+O186+O224+O242+O254+O262+O142+O128+O22+O16</f>
    </nc>
  </rcc>
  <rcc rId="31105" sId="8">
    <oc r="P291">
      <f>P29+P68+P104+P149+P186+P224+P242+P254+P262+P142+P128+P22+P16</f>
    </oc>
    <nc r="P291">
      <f>P29+P68+P104+P149+P186+P224+P242+P254+P262+P142+P128+P22+P16</f>
    </nc>
  </rcc>
  <rcc rId="31106" sId="8">
    <nc r="Q291">
      <f>Q29+Q68+Q104+Q149+Q186+Q224+Q242+Q254+Q262+Q142+Q128+Q22+Q16</f>
    </nc>
  </rcc>
  <rcc rId="31107" sId="8">
    <oc r="R291">
      <f>R29+R68+R104+R149+R186+R224+R242+R254+R262+R142+R128+R22+R16</f>
    </oc>
    <nc r="R291">
      <f>R29+R68+R104+R149+R186+R224+R242+R254+R262+R142+R128+R22+R16</f>
    </nc>
  </rcc>
  <rcc rId="31108" sId="8">
    <oc r="S291">
      <f>S29+S68+S104+S149+S186+S224+S242+S254+S262+S142+S128+S22+S16</f>
    </oc>
    <nc r="S291">
      <f>S29+S68+S104+S149+S186+S224+S242+S254+S262+S142+S128+S22+S16</f>
    </nc>
  </rcc>
  <rcc rId="31109" sId="8">
    <oc r="T291">
      <f>T29+T68+T104+T149+T186+T224+T242+T254+T262+T142+T128+T22+T16</f>
    </oc>
    <nc r="T291">
      <f>T29+T68+T104+T149+T186+T224+T242+T254+T262+T142+T128+T22+T16</f>
    </nc>
  </rcc>
  <rcc rId="31110" sId="8">
    <oc r="U291">
      <f>U29+U68+U104+U149+U186+U224+U242+U254+U262+U142+U128+U22+U16</f>
    </oc>
    <nc r="U291">
      <f>U29+U68+U104+U149+U186+U224+U242+U254+U262+U142+U128+U22+U16</f>
    </nc>
  </rcc>
  <rcc rId="31111" sId="8">
    <oc r="V291">
      <f>V29+V68+V104+V149+V186+V224+V242+V254+V262+V142+V128+V22+V16</f>
    </oc>
    <nc r="V291">
      <f>V29+V68+V104+V149+V186+V224+V242+V254+V262+V142+V128+V22+V16</f>
    </nc>
  </rcc>
  <rcc rId="31112" sId="8">
    <oc r="W291">
      <f>W29+W68+W104+W149+W186+W224+W242+W254+W262+W142+W128+W22+W16</f>
    </oc>
    <nc r="W291">
      <f>W29+W68+W104+W149+W186+W224+W242+W254+W262+W142+W128+W22+W16</f>
    </nc>
  </rcc>
  <rcc rId="31113" sId="8">
    <oc r="X291">
      <f>X29+X68+X104+X149+X186+X224+X242+X254+X262+X142+X128+X22+X16</f>
    </oc>
    <nc r="X291">
      <f>X29+X68+X104+X149+X186+X224+X242+X254+X262+X142+X128+X22+X16</f>
    </nc>
  </rcc>
  <rcc rId="31114" sId="8">
    <oc r="Y291">
      <f>Y29+Y68+Y104+Y149+Y186+Y224+Y242+Y254+Y262+Y142+Y128+Y22+Y16</f>
    </oc>
    <nc r="Y291">
      <f>Y29+Y68+Y104+Y149+Y186+Y224+Y242+Y254+Y262+Y142+Y128+Y22+Y16</f>
    </nc>
  </rcc>
  <rcc rId="31115" sId="8">
    <oc r="Z291">
      <f>Z29+Z68+Z104+Z149+Z186+Z224+Z242+Z254+Z262+Z142+Z128+Z22+Z16</f>
    </oc>
    <nc r="Z291">
      <f>Z29+Z68+Z104+Z149+Z186+Z224+Z242+Z254+Z262+Z142+Z128+Z22+Z16</f>
    </nc>
  </rcc>
  <rcc rId="31116" sId="8">
    <oc r="AA291">
      <f>AA29+AA68+AA104+AA149+AA186+AA224+AA242+AA254+AA262+AA142+AA128+AA22+AA16</f>
    </oc>
    <nc r="AA291">
      <f>AA29+AA68+AA104+AA149+AA186+AA224+AA242+AA254+AA262+AA142+AA128+AA22+AA16</f>
    </nc>
  </rcc>
  <rcc rId="31117" sId="8">
    <oc r="AB291">
      <f>AB29+AB68+AB104+AB149+AB186+AB224+AB242+AB254+AB262+AB142+AB128+AB22+AB16</f>
    </oc>
    <nc r="AB291">
      <f>AB29+AB68+AB104+AB149+AB186+AB224+AB242+AB254+AB262+AB142+AB128+AB22+AB16</f>
    </nc>
  </rcc>
  <rcc rId="31118" sId="8">
    <oc r="AC291">
      <f>AC29+AC68+AC104+AC149+AC186+AC224+AC242+AC254+AC262+AC142+AC128+AC22+AC16</f>
    </oc>
    <nc r="AC291">
      <f>AC29+AC68+AC104+AC149+AC186+AC224+AC242+AC254+AC262+AC142+AC128+AC22+AC16</f>
    </nc>
  </rcc>
  <rcc rId="31119" sId="8">
    <oc r="AD291">
      <f>AD29+AD68+AD104+AD149+AD186+AD224+AD242+AD254+AD262+AD142+AD128+AD22+AD16</f>
    </oc>
    <nc r="AD291">
      <f>AD29+AD68+AD104+AD149+AD186+AD224+AD242+AD254+AD262+AD142+AD128+AD22+AD16</f>
    </nc>
  </rcc>
  <rcc rId="31120" sId="8">
    <oc r="AE291">
      <f>AE29+AE68+AE104+AE149+AE186+AE224+AE242+AE254+AE262+AE142+AE128+AE22+AE16</f>
    </oc>
    <nc r="AE291">
      <f>AE29+AE68+AE104+AE149+AE186+AE224+AE242+AE254+AE262+AE142+AE128+AE22+AE16</f>
    </nc>
  </rcc>
  <rcc rId="31121" sId="8">
    <oc r="Q291">
      <f>Q29+Q68+Q104+Q149+Q186+Q224+Q242+Q254+Q262+Q142+Q128+Q22+Q16</f>
    </oc>
    <nc r="Q291">
      <f>Q29+Q68+Q104+Q149+Q186+Q224+Q242+Q254+Q262+Q142+Q128+Q22+Q16</f>
    </nc>
  </rcc>
  <rcc rId="31122" sId="8">
    <oc r="H29">
      <f>H35+H42+H48+H54+H61</f>
    </oc>
    <nc r="H29">
      <f>H36+H42+H48+H55+H61</f>
    </nc>
  </rcc>
  <rcc rId="31123" sId="8">
    <oc r="I29">
      <f>I35+I42+I48+I54+I61</f>
    </oc>
    <nc r="I29">
      <f>I36+I42+I48+I55+I61</f>
    </nc>
  </rcc>
  <rcc rId="31124" sId="8">
    <oc r="J29">
      <f>J35+J42+J48+J54+J61</f>
    </oc>
    <nc r="J29">
      <f>J36+J42+J48+J55+J61</f>
    </nc>
  </rcc>
  <rcc rId="31125" sId="8">
    <oc r="K29">
      <f>K35+K42+K48+K54+K61</f>
    </oc>
    <nc r="K29">
      <f>K36+K42+K48+K55+K61</f>
    </nc>
  </rcc>
  <rcc rId="31126" sId="8">
    <oc r="L29">
      <f>L36+L42+L48+L61+L55</f>
    </oc>
    <nc r="L29">
      <f>L36+L42+L48+L55+L61</f>
    </nc>
  </rcc>
  <rcc rId="31127" sId="8">
    <oc r="M29">
      <f>M36+M42+M48+M61+M55</f>
    </oc>
    <nc r="M29">
      <f>M36+M42+M48+M55+M61</f>
    </nc>
  </rcc>
  <rcc rId="31128" sId="8">
    <oc r="N29">
      <f>N36+N42+N48+N61+N55</f>
    </oc>
    <nc r="N29">
      <f>N36+N42+N48+N55+N61</f>
    </nc>
  </rcc>
  <rcc rId="31129" sId="8">
    <oc r="O29">
      <f>O36+O42+O48+O61+O55</f>
    </oc>
    <nc r="O29">
      <f>O36+O42+O48+O55+O61</f>
    </nc>
  </rcc>
  <rcc rId="31130" sId="8">
    <oc r="P29">
      <f>P36+P42+P48+P61+P55</f>
    </oc>
    <nc r="P29">
      <f>P36+P42+P48+P55+P61</f>
    </nc>
  </rcc>
  <rcc rId="31131" sId="8">
    <oc r="Q29">
      <f>Q35+Q42+Q48+Q54+Q61</f>
    </oc>
    <nc r="Q29">
      <f>Q36+Q42+Q48+Q55+Q61</f>
    </nc>
  </rcc>
  <rcc rId="31132" sId="8">
    <oc r="R29">
      <f>R36+R42+R48+R61+R55</f>
    </oc>
    <nc r="R29">
      <f>R36+R42+R48+R55+R61</f>
    </nc>
  </rcc>
  <rcc rId="31133" sId="8">
    <oc r="S29">
      <f>S35+S42+S48+S54+S61</f>
    </oc>
    <nc r="S29">
      <f>S36+S42+S48+S55+S61</f>
    </nc>
  </rcc>
  <rcc rId="31134" sId="8">
    <oc r="T29">
      <f>T36+T42+T48+T61+T55</f>
    </oc>
    <nc r="T29">
      <f>T36+T42+T48+T55+T61</f>
    </nc>
  </rcc>
  <rcc rId="31135" sId="8">
    <oc r="U29">
      <f>U35+U42+U48+U54+U61</f>
    </oc>
    <nc r="U29">
      <f>U36+U42+U48+U55+U61</f>
    </nc>
  </rcc>
  <rcc rId="31136" sId="8">
    <oc r="V29">
      <f>V36+V42+V48+V61+V55</f>
    </oc>
    <nc r="V29">
      <f>V36+V42+V48+V55+V61</f>
    </nc>
  </rcc>
  <rcc rId="31137" sId="8">
    <oc r="W29">
      <f>W35+W42+W48+W54+W61</f>
    </oc>
    <nc r="W29">
      <f>W36+W42+W48+W55+W61</f>
    </nc>
  </rcc>
  <rcc rId="31138" sId="8">
    <oc r="X29">
      <f>X36+X42+X48+X61+X55</f>
    </oc>
    <nc r="X29">
      <f>X36+X42+X48+X55+X61</f>
    </nc>
  </rcc>
  <rcc rId="31139" sId="8">
    <oc r="Y29">
      <f>Y35+Y42+Y48+Y54+Y61</f>
    </oc>
    <nc r="Y29">
      <f>Y36+Y42+Y48+Y55+Y61</f>
    </nc>
  </rcc>
  <rcc rId="31140" sId="8">
    <oc r="Z29">
      <f>Z36+Z42+Z48+Z61+Z55</f>
    </oc>
    <nc r="Z29">
      <f>Z36+Z42+Z48+Z55+Z61</f>
    </nc>
  </rcc>
  <rcc rId="31141" sId="8">
    <oc r="AA29">
      <f>AA35+AA42+AA48+AA54+AA61</f>
    </oc>
    <nc r="AA29">
      <f>AA36+AA42+AA48+AA55+AA61</f>
    </nc>
  </rcc>
  <rcc rId="31142" sId="8">
    <oc r="AB29">
      <f>AB36+AB42+AB48+AB55+AB61</f>
    </oc>
    <nc r="AB29">
      <f>AB36+AB42+AB48+AB55+AB61</f>
    </nc>
  </rcc>
  <rcc rId="31143" sId="8">
    <oc r="AC29">
      <f>AC35+AC42+AC48+AC54+AC61</f>
    </oc>
    <nc r="AC29">
      <f>AC36+AC42+AC48+AC55+AC61</f>
    </nc>
  </rcc>
  <rcc rId="31144" sId="8">
    <oc r="AD29">
      <f>AD36+AD42+AD48+AD55+AD61</f>
    </oc>
    <nc r="AD29">
      <f>AD36+AD42+AD48+AD55+AD61</f>
    </nc>
  </rcc>
  <rcc rId="31145" sId="8">
    <oc r="AE29">
      <f>AE35+AE42+AE48+AE54+AE61</f>
    </oc>
    <nc r="AE29">
      <f>AE36+AE42+AE48+AE55+AE61</f>
    </nc>
  </rcc>
  <rcc rId="31146" sId="8" numFmtId="4">
    <oc r="D302">
      <f>D35+D42+D48+D54++D74+D80+D86+D92+D98+D110+D116+D122+D155+D180+D192+D198+D204+D210+D216+D230+D236+D248+D254+D268+D134+D274+D61</f>
    </oc>
    <nc r="D302">
      <v>6514</v>
    </nc>
  </rcc>
  <rcc rId="31147" sId="8">
    <oc r="B314">
      <f>B14+B20+B33+B40+B46+B52+B59+B72+B78+B84+B90+B96+B108+B114+B120+B132+B140+B153+B178+B190+B196+B202+B208+B214+B228+B234+B246+B252+B266+B272-B289</f>
    </oc>
    <nc r="B314">
      <f>B14+B20+B33+B40+B46+B52+B59+B72+B78+B84+B90+B96+B108+B114+B120+B132+B140+B153+B178+B190+B196+B202+B208+B214+B228+B234+B246+B252+B266+B272-B289</f>
    </nc>
  </rcc>
  <rcc rId="31148" sId="8">
    <oc r="V314">
      <f>V14+V20+V33+V40+V46+V52+V59+V72+V78+V84+V90+V96+V108+V114+V120+V132+V140+V153+V178+V190+V196+V202+V208+V214+V228+V234+V246+V252+V266+V272-V289</f>
    </oc>
    <nc r="V314">
      <f>V14+V20+V33+V40+V46+V52+V59+V72+V78+V84+V90+V96+V108+V114+V120+V132+V140+V153+V178+V190+V196+V202+V208+V214+V228+V234+V246+V252+V266+V272-V289</f>
    </nc>
  </rcc>
  <rcc rId="31149" sId="8">
    <oc r="V289">
      <f>V27+V66+V102+V147+V184+V222+V240+V252+V260+V140+V126+V20+V14</f>
    </oc>
    <nc r="V289">
      <f>V27+V66+V102+V147+V184+V222+V240+V252+V260+V140+V126+V20+V14+V278+V284</f>
    </nc>
  </rcc>
  <rfmt sheetId="8" sqref="F287:G302" start="0" length="2147483647">
    <dxf>
      <font>
        <color auto="1"/>
      </font>
    </dxf>
  </rfmt>
  <rcv guid="{7C130984-112A-4861-AA43-E2940708E3DC}" action="delete"/>
  <rdn rId="0" localSheetId="2" customView="1" name="Z_7C130984_112A_4861_AA43_E2940708E3DC_.wvu.Rows" hidden="1" oldHidden="1">
    <formula>'1.СЗН'!$70:$74</formula>
    <oldFormula>'1.СЗН'!$70:$74</oldFormula>
  </rdn>
  <rdn rId="0" localSheetId="2" customView="1" name="Z_7C130984_112A_4861_AA43_E2940708E3DC_.wvu.FilterData" hidden="1" oldHidden="1">
    <formula>'1.СЗН'!$A$1:$AF$64</formula>
    <oldFormula>'1.СЗН'!$A$1:$AF$64</oldFormula>
  </rdn>
  <rdn rId="0" localSheetId="3" customView="1" name="Z_7C130984_112A_4861_AA43_E2940708E3DC_.wvu.FilterData" hidden="1" oldHidden="1">
    <formula>'2.АПК'!$A$1:$AF$36</formula>
    <oldFormula>'2.АПК'!$A$1:$AF$36</oldFormula>
  </rdn>
  <rdn rId="0" localSheetId="4" customView="1" name="Z_7C130984_112A_4861_AA43_E2940708E3DC_.wvu.FilterData" hidden="1" oldHidden="1">
    <formula>'3.БЖД'!$A$1:$AF$17</formula>
    <oldFormula>'3.БЖД'!$A$1:$AF$17</oldFormula>
  </rdn>
  <rdn rId="0" localSheetId="5" customView="1" name="Z_7C130984_112A_4861_AA43_E2940708E3DC_.wvu.FilterData" hidden="1" oldHidden="1">
    <formula>'4.УМИ'!$A$1:$AF$11</formula>
    <oldFormula>'4.УМИ'!$A$1:$AF$11</oldFormula>
  </rdn>
  <rdn rId="0" localSheetId="6" customView="1" name="Z_7C130984_112A_4861_AA43_E2940708E3DC_.wvu.FilterData" hidden="1" oldHidden="1">
    <formula>'5.Проф. прав.'!$A$1:$AF$12</formula>
    <oldFormula>'5.Проф. прав.'!$A$1:$AF$12</oldFormula>
  </rdn>
  <rdn rId="0" localSheetId="7" customView="1" name="Z_7C130984_112A_4861_AA43_E2940708E3DC_.wvu.Rows" hidden="1" oldHidden="1">
    <formula>'6.Экстримизм'!$9:$23,'6.Экстримизм'!$30:$38,'6.Экстримизм'!$44:$49,'6.Экстримизм'!$65:$67,'6.Экстримизм'!$71:$76,'6.Экстримизм'!$86:$88,'6.Экстримизм'!$95:$97</formula>
    <oldFormula>'6.Экстримизм'!$9:$23,'6.Экстримизм'!$30:$38,'6.Экстримизм'!$44:$49,'6.Экстримизм'!$65:$67,'6.Экстримизм'!$71:$76,'6.Экстримизм'!$86:$88,'6.Экстримизм'!$95:$97</oldFormula>
  </rdn>
  <rdn rId="0" localSheetId="7" customView="1" name="Z_7C130984_112A_4861_AA43_E2940708E3DC_.wvu.FilterData" hidden="1" oldHidden="1">
    <formula>'6.Экстримизм'!$A$1:$AF$11</formula>
    <oldFormula>'6.Экстримизм'!$A$1:$AF$11</oldFormula>
  </rdn>
  <rdn rId="0" localSheetId="8" customView="1" name="Z_7C130984_112A_4861_AA43_E2940708E3DC_.wvu.Cols" hidden="1" oldHidden="1">
    <formula>'7.МП КП'!$H:$AC</formula>
  </rdn>
  <rdn rId="0" localSheetId="14" customView="1" name="Z_7C130984_112A_4861_AA43_E2940708E3DC_.wvu.FilterData" hidden="1" oldHidden="1">
    <formula>'11.МП РО'!$A$7:$AP$125</formula>
    <oldFormula>'11.МП РО'!$A$7:$AP$125</oldFormula>
  </rdn>
  <rdn rId="0" localSheetId="17" customView="1" name="Z_7C130984_112A_4861_AA43_E2940708E3DC_.wvu.Rows" hidden="1" oldHidden="1">
    <formula>'13.МП РЖС'!$122:$127</formula>
    <oldFormula>'13.МП РЖС'!$122:$127</oldFormula>
  </rdn>
  <rdn rId="0" localSheetId="17" customView="1" name="Z_7C130984_112A_4861_AA43_E2940708E3DC_.wvu.Cols" hidden="1" oldHidden="1">
    <formula>'13.МП РЖС'!$AG:$AG</formula>
    <oldFormula>'13.МП РЖС'!$AG:$AG</oldFormula>
  </rdn>
  <rcv guid="{7C130984-112A-4861-AA43-E2940708E3DC}"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198" sId="8" numFmtId="4">
    <nc r="H116">
      <v>0</v>
    </nc>
  </rcc>
  <rcc rId="32199" sId="8" numFmtId="4">
    <nc r="I116">
      <v>0</v>
    </nc>
  </rcc>
  <rcc rId="32200" sId="8" numFmtId="4">
    <nc r="J116">
      <v>0</v>
    </nc>
  </rcc>
  <rcc rId="32201" sId="8" numFmtId="4">
    <nc r="K116">
      <v>0</v>
    </nc>
  </rcc>
  <rcc rId="32202" sId="8" numFmtId="4">
    <nc r="L116">
      <v>0</v>
    </nc>
  </rcc>
  <rcc rId="32203" sId="8" numFmtId="4">
    <nc r="M116">
      <v>0</v>
    </nc>
  </rcc>
  <rcc rId="32204" sId="8" numFmtId="4">
    <nc r="N116">
      <v>0</v>
    </nc>
  </rcc>
  <rcc rId="32205" sId="8" numFmtId="4">
    <nc r="O116">
      <v>0</v>
    </nc>
  </rcc>
  <rcc rId="32206" sId="8" numFmtId="4">
    <nc r="P116">
      <v>0</v>
    </nc>
  </rcc>
  <rcc rId="32207" sId="8" numFmtId="4">
    <nc r="Q116">
      <v>0</v>
    </nc>
  </rcc>
  <rcc rId="32208" sId="8" numFmtId="4">
    <nc r="R116">
      <v>0</v>
    </nc>
  </rcc>
  <rcc rId="32209" sId="8" numFmtId="4">
    <nc r="S116">
      <v>0</v>
    </nc>
  </rcc>
  <rcc rId="32210" sId="8" numFmtId="4">
    <nc r="T116">
      <v>0</v>
    </nc>
  </rcc>
  <rcc rId="32211" sId="8" numFmtId="4">
    <nc r="U116">
      <v>0</v>
    </nc>
  </rcc>
  <rcc rId="32212" sId="8" numFmtId="4">
    <nc r="V116">
      <v>0</v>
    </nc>
  </rcc>
  <rcc rId="32213" sId="8" numFmtId="4">
    <nc r="W116">
      <v>0</v>
    </nc>
  </rcc>
  <rcc rId="32214" sId="8" numFmtId="4">
    <nc r="X116">
      <v>0</v>
    </nc>
  </rcc>
  <rcc rId="32215" sId="8" numFmtId="4">
    <nc r="Y116">
      <v>0</v>
    </nc>
  </rcc>
  <rcc rId="32216" sId="8" numFmtId="4">
    <nc r="Z116">
      <v>0</v>
    </nc>
  </rcc>
  <rcc rId="32217" sId="8" numFmtId="4">
    <nc r="AA116">
      <v>0</v>
    </nc>
  </rcc>
  <rcc rId="32218" sId="8" numFmtId="4">
    <nc r="AB116">
      <v>0</v>
    </nc>
  </rcc>
  <rcc rId="32219" sId="8" numFmtId="4">
    <nc r="AC116">
      <v>0</v>
    </nc>
  </rcc>
  <rcc rId="32220" sId="8" numFmtId="4">
    <nc r="AD116">
      <v>0</v>
    </nc>
  </rcc>
  <rcc rId="32221" sId="8" numFmtId="4">
    <nc r="AE116">
      <v>0</v>
    </nc>
  </rcc>
  <rfmt sheetId="8" sqref="H116:AE116">
    <dxf>
      <fill>
        <patternFill>
          <bgColor rgb="FFFFFF00"/>
        </patternFill>
      </fill>
    </dxf>
  </rfmt>
  <rcc rId="32222" sId="8" numFmtId="4">
    <nc r="H124">
      <v>0</v>
    </nc>
  </rcc>
  <rcc rId="32223" sId="8" numFmtId="4">
    <nc r="I124">
      <v>0</v>
    </nc>
  </rcc>
  <rcc rId="32224" sId="8" numFmtId="4">
    <nc r="J124">
      <v>0</v>
    </nc>
  </rcc>
  <rcc rId="32225" sId="8" numFmtId="4">
    <nc r="K124">
      <v>0</v>
    </nc>
  </rcc>
  <rcc rId="32226" sId="8" numFmtId="4">
    <nc r="L124">
      <v>0</v>
    </nc>
  </rcc>
  <rcc rId="32227" sId="8" numFmtId="4">
    <nc r="M124">
      <v>0</v>
    </nc>
  </rcc>
  <rcc rId="32228" sId="8" numFmtId="4">
    <nc r="N124">
      <v>0</v>
    </nc>
  </rcc>
  <rcc rId="32229" sId="8" numFmtId="4">
    <nc r="O124">
      <v>0</v>
    </nc>
  </rcc>
  <rcc rId="32230" sId="8" numFmtId="4">
    <nc r="P124">
      <v>0</v>
    </nc>
  </rcc>
  <rcc rId="32231" sId="8" numFmtId="4">
    <nc r="Q124">
      <v>0</v>
    </nc>
  </rcc>
  <rcc rId="32232" sId="8" numFmtId="4">
    <nc r="R124">
      <v>0</v>
    </nc>
  </rcc>
  <rcc rId="32233" sId="8" numFmtId="4">
    <nc r="S124">
      <v>0</v>
    </nc>
  </rcc>
  <rcc rId="32234" sId="8" numFmtId="4">
    <nc r="T124">
      <v>0</v>
    </nc>
  </rcc>
  <rcc rId="32235" sId="8" numFmtId="4">
    <nc r="U124">
      <v>0</v>
    </nc>
  </rcc>
  <rcc rId="32236" sId="8" numFmtId="4">
    <nc r="V124">
      <v>0</v>
    </nc>
  </rcc>
  <rcc rId="32237" sId="8" numFmtId="4">
    <nc r="W124">
      <v>0</v>
    </nc>
  </rcc>
  <rcc rId="32238" sId="8" numFmtId="4">
    <nc r="Z124">
      <v>0</v>
    </nc>
  </rcc>
  <rcc rId="32239" sId="8" numFmtId="4">
    <nc r="AA124">
      <v>0</v>
    </nc>
  </rcc>
  <rcc rId="32240" sId="8" numFmtId="4">
    <nc r="AB124">
      <v>0</v>
    </nc>
  </rcc>
  <rcc rId="32241" sId="8" numFmtId="4">
    <nc r="AC124">
      <v>0</v>
    </nc>
  </rcc>
  <rcc rId="32242" sId="8" numFmtId="4">
    <nc r="AD124">
      <v>0</v>
    </nc>
  </rcc>
  <rfmt sheetId="8" sqref="F196:G196" start="0" length="2147483647">
    <dxf>
      <font>
        <b/>
      </font>
    </dxf>
  </rfmt>
  <rfmt sheetId="8" sqref="F202:G202" start="0" length="2147483647">
    <dxf>
      <font>
        <b/>
      </font>
    </dxf>
  </rfmt>
  <rcc rId="32243" sId="8" numFmtId="4">
    <nc r="H206">
      <v>0</v>
    </nc>
  </rcc>
  <rcc rId="32244" sId="8" numFmtId="4">
    <nc r="I206">
      <v>0</v>
    </nc>
  </rcc>
  <rcc rId="32245" sId="8" numFmtId="4">
    <nc r="J206">
      <v>0</v>
    </nc>
  </rcc>
  <rcc rId="32246" sId="8" numFmtId="4">
    <nc r="K206">
      <v>0</v>
    </nc>
  </rcc>
  <rcc rId="32247" sId="8" numFmtId="4">
    <nc r="L206">
      <v>0</v>
    </nc>
  </rcc>
  <rcc rId="32248" sId="8" numFmtId="4">
    <nc r="M206">
      <v>0</v>
    </nc>
  </rcc>
  <rcc rId="32249" sId="8" numFmtId="4">
    <nc r="N206">
      <v>0</v>
    </nc>
  </rcc>
  <rcc rId="32250" sId="8" numFmtId="4">
    <nc r="O206">
      <v>0</v>
    </nc>
  </rcc>
  <rcc rId="32251" sId="8" numFmtId="4">
    <nc r="P206">
      <v>0</v>
    </nc>
  </rcc>
  <rcc rId="32252" sId="8" numFmtId="4">
    <nc r="Q206">
      <v>0</v>
    </nc>
  </rcc>
  <rcc rId="32253" sId="8" numFmtId="4">
    <nc r="R206">
      <v>0</v>
    </nc>
  </rcc>
  <rcc rId="32254" sId="8" numFmtId="4">
    <nc r="S206">
      <v>0</v>
    </nc>
  </rcc>
  <rcc rId="32255" sId="8" numFmtId="4">
    <nc r="T206">
      <v>0</v>
    </nc>
  </rcc>
  <rcc rId="32256" sId="8" numFmtId="4">
    <nc r="U206">
      <v>0</v>
    </nc>
  </rcc>
  <rcc rId="32257" sId="8" numFmtId="4">
    <nc r="V206">
      <v>0</v>
    </nc>
  </rcc>
  <rcc rId="32258" sId="8" numFmtId="4">
    <nc r="W206">
      <v>0</v>
    </nc>
  </rcc>
  <rcc rId="32259" sId="8" numFmtId="4">
    <nc r="X206">
      <v>0</v>
    </nc>
  </rcc>
  <rcc rId="32260" sId="8" numFmtId="4">
    <nc r="Y206">
      <v>0</v>
    </nc>
  </rcc>
  <rcc rId="32261" sId="8" numFmtId="4">
    <nc r="Z206">
      <v>0</v>
    </nc>
  </rcc>
  <rcc rId="32262" sId="8" numFmtId="4">
    <nc r="AA206">
      <v>0</v>
    </nc>
  </rcc>
  <rcc rId="32263" sId="8" numFmtId="4">
    <nc r="AC206">
      <v>0</v>
    </nc>
  </rcc>
  <rcmt sheetId="8" cell="D217" guid="{00000000-0000-0000-0000-000000000000}" action="delete" author="Степаненко Наталья Алексеевна"/>
  <rcmt sheetId="8" cell="E217" guid="{00000000-0000-0000-0000-000000000000}" action="delete" author="Степаненко Наталья Алексеевна"/>
  <rcc rId="32264" sId="8" numFmtId="4">
    <nc r="H242">
      <v>0</v>
    </nc>
  </rcc>
  <rcc rId="32265" sId="8" numFmtId="4">
    <nc r="I242">
      <v>0</v>
    </nc>
  </rcc>
  <rcc rId="32266" sId="8" numFmtId="4">
    <nc r="J242">
      <v>0</v>
    </nc>
  </rcc>
  <rcc rId="32267" sId="8" numFmtId="4">
    <nc r="K242">
      <v>0</v>
    </nc>
  </rcc>
  <rcc rId="32268" sId="8" numFmtId="4">
    <nc r="L242">
      <v>0</v>
    </nc>
  </rcc>
  <rcc rId="32269" sId="8" numFmtId="4">
    <nc r="M242">
      <v>0</v>
    </nc>
  </rcc>
  <rcc rId="32270" sId="8" numFmtId="4">
    <nc r="N242">
      <v>0</v>
    </nc>
  </rcc>
  <rcc rId="32271" sId="8" numFmtId="4">
    <nc r="O242">
      <v>0</v>
    </nc>
  </rcc>
  <rfmt sheetId="8" sqref="H242:O242">
    <dxf>
      <fill>
        <patternFill patternType="solid">
          <bgColor rgb="FFFFFF00"/>
        </patternFill>
      </fill>
    </dxf>
  </rfmt>
  <rcc rId="32272" sId="8" numFmtId="4">
    <nc r="R242">
      <v>0</v>
    </nc>
  </rcc>
  <rcc rId="32273" sId="8" numFmtId="4">
    <nc r="S242">
      <v>0</v>
    </nc>
  </rcc>
  <rcc rId="32274" sId="8" numFmtId="4">
    <nc r="T242">
      <v>0</v>
    </nc>
  </rcc>
  <rcc rId="32275" sId="8" numFmtId="4">
    <nc r="U242">
      <v>0</v>
    </nc>
  </rcc>
  <rcc rId="32276" sId="8" numFmtId="4">
    <nc r="V242">
      <v>0</v>
    </nc>
  </rcc>
  <rcc rId="32277" sId="8" numFmtId="4">
    <nc r="W242">
      <v>0</v>
    </nc>
  </rcc>
  <rcc rId="32278" sId="8" numFmtId="4">
    <nc r="X242">
      <v>0</v>
    </nc>
  </rcc>
  <rcc rId="32279" sId="8" numFmtId="4">
    <nc r="Y242">
      <v>0</v>
    </nc>
  </rcc>
  <rcc rId="32280" sId="8" numFmtId="4">
    <nc r="Z242">
      <v>0</v>
    </nc>
  </rcc>
  <rcc rId="32281" sId="8" numFmtId="4">
    <nc r="AA242">
      <v>0</v>
    </nc>
  </rcc>
  <rcc rId="32282" sId="8" numFmtId="4">
    <nc r="AB242">
      <v>0</v>
    </nc>
  </rcc>
  <rcc rId="32283" sId="8" numFmtId="4">
    <nc r="AC242">
      <v>0</v>
    </nc>
  </rcc>
  <rcc rId="32284" sId="8" numFmtId="4">
    <nc r="AD242">
      <v>0</v>
    </nc>
  </rcc>
  <rcc rId="32285" sId="8" numFmtId="4">
    <nc r="AE242">
      <v>0</v>
    </nc>
  </rcc>
  <rfmt sheetId="8" sqref="R242:AE242">
    <dxf>
      <fill>
        <patternFill patternType="solid">
          <bgColor rgb="FFFFFF00"/>
        </patternFill>
      </fill>
    </dxf>
  </rfmt>
  <rcmt sheetId="8" cell="B242" guid="{00000000-0000-0000-0000-000000000000}" action="delete" author="Степаненко Наталья Алексеевна"/>
  <rfmt sheetId="8" sqref="I243">
    <dxf>
      <fill>
        <patternFill patternType="solid">
          <bgColor rgb="FFFFC000"/>
        </patternFill>
      </fill>
    </dxf>
  </rfmt>
  <rfmt sheetId="8" sqref="K243">
    <dxf>
      <fill>
        <patternFill patternType="solid">
          <bgColor rgb="FFFFC000"/>
        </patternFill>
      </fill>
    </dxf>
  </rfmt>
  <rfmt sheetId="8" sqref="M243">
    <dxf>
      <fill>
        <patternFill patternType="solid">
          <bgColor rgb="FFFFC000"/>
        </patternFill>
      </fill>
    </dxf>
  </rfmt>
  <rfmt sheetId="8" sqref="O243">
    <dxf>
      <fill>
        <patternFill patternType="solid">
          <bgColor rgb="FFFFC000"/>
        </patternFill>
      </fill>
    </dxf>
  </rfmt>
  <rfmt sheetId="8" sqref="Q243">
    <dxf>
      <fill>
        <patternFill patternType="solid">
          <bgColor rgb="FFFFC000"/>
        </patternFill>
      </fill>
    </dxf>
  </rfmt>
  <rfmt sheetId="8" sqref="S243">
    <dxf>
      <fill>
        <patternFill patternType="solid">
          <bgColor rgb="FFFFC000"/>
        </patternFill>
      </fill>
    </dxf>
  </rfmt>
  <rfmt sheetId="8" sqref="U243">
    <dxf>
      <fill>
        <patternFill patternType="solid">
          <bgColor rgb="FFFFC000"/>
        </patternFill>
      </fill>
    </dxf>
  </rfmt>
  <rfmt sheetId="8" sqref="W243">
    <dxf>
      <fill>
        <patternFill patternType="solid">
          <bgColor rgb="FFFFC000"/>
        </patternFill>
      </fill>
    </dxf>
  </rfmt>
  <rfmt sheetId="8" sqref="Y243">
    <dxf>
      <fill>
        <patternFill patternType="solid">
          <bgColor rgb="FFFFC000"/>
        </patternFill>
      </fill>
    </dxf>
  </rfmt>
  <rfmt sheetId="8" sqref="AA243">
    <dxf>
      <fill>
        <patternFill patternType="solid">
          <bgColor rgb="FFFFC000"/>
        </patternFill>
      </fill>
    </dxf>
  </rfmt>
  <rfmt sheetId="8" sqref="AC243">
    <dxf>
      <fill>
        <patternFill patternType="solid">
          <bgColor rgb="FFFFC000"/>
        </patternFill>
      </fill>
    </dxf>
  </rfmt>
  <rfmt sheetId="8" sqref="AE243">
    <dxf>
      <fill>
        <patternFill patternType="solid">
          <bgColor rgb="FFFFC000"/>
        </patternFill>
      </fill>
    </dxf>
  </rfmt>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E293">
    <dxf>
      <fill>
        <patternFill>
          <bgColor rgb="FFFFFF00"/>
        </patternFill>
      </fill>
    </dxf>
  </rfmt>
  <rcmt sheetId="8" cell="E292" guid="{D678E974-C145-4AAF-9F30-CC82491138C7}" author="Степаненко Наталья Алексеевна" newLength="107"/>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286" sId="8" odxf="1" dxf="1">
    <nc r="AF83" t="inlineStr">
      <is>
        <t>Приобретены музейные предметы для пополнения фонда фонда 8 шт. (Картины художника Гайнановой Л.Н.)</t>
      </is>
    </nc>
    <odxf>
      <font>
        <sz val="14"/>
        <name val="Times New Roman"/>
        <scheme val="none"/>
      </font>
      <fill>
        <patternFill patternType="none">
          <bgColor indexed="65"/>
        </patternFill>
      </fill>
      <alignment vertical="top" wrapText="0" readingOrder="0"/>
    </odxf>
    <ndxf>
      <font>
        <sz val="12"/>
        <color rgb="FFFF0000"/>
        <name val="Times New Roman"/>
        <scheme val="none"/>
      </font>
      <fill>
        <patternFill patternType="solid">
          <bgColor theme="0"/>
        </patternFill>
      </fill>
      <alignment vertical="center" wrapText="1" readingOrder="0"/>
    </ndxf>
  </rcc>
  <rcc rId="32287" sId="8" odxf="1" dxf="1">
    <nc r="AF89" t="inlineStr">
      <is>
        <t>Произведена оплата услуг музейной системы КАМИС.</t>
      </is>
    </nc>
    <odxf>
      <font>
        <sz val="14"/>
        <name val="Times New Roman"/>
        <scheme val="none"/>
      </font>
      <alignment wrapText="0" readingOrder="0"/>
    </odxf>
    <ndxf>
      <font>
        <sz val="14"/>
        <color rgb="FFFF0000"/>
        <name val="Times New Roman"/>
        <scheme val="none"/>
      </font>
      <alignment wrapText="1" readingOrder="0"/>
    </ndxf>
  </rcc>
  <rcc rId="32288" sId="8" odxf="1" dxf="1">
    <nc r="AF95" t="inlineStr">
      <is>
        <t>Приобретены товары для проведения 3 выставок (пленка воздушно- пупырчатая, пленка для ламинирования, крючки и шнур для крепления картин,канцтовары,листовки,афиши,пригласительные,таблички,сопроводительные тексты,ткань и маскировочная сетка, деревянные заготовки для мастер-классов).Оплачены транспортные расходы по перевозке предметов для выставок.</t>
      </is>
    </nc>
    <odxf>
      <font>
        <sz val="14"/>
        <color auto="1"/>
        <name val="Times New Roman"/>
        <scheme val="none"/>
      </font>
      <alignment vertical="top" readingOrder="0"/>
    </odxf>
    <ndxf>
      <font>
        <sz val="12"/>
        <color rgb="FFFF0000"/>
        <name val="Times New Roman"/>
        <scheme val="none"/>
      </font>
      <alignment vertical="center" readingOrder="0"/>
    </ndxf>
  </rcc>
  <rcc rId="32289" sId="8" odxf="1" dxf="1">
    <nc r="AF101" t="inlineStr">
      <is>
        <t>Приобретены манекены в кол-ве 10 шт. на сумму 195,0 т.руб.,  предметы для пополнения фонда в кол-ве  44 ед.  На сумму 105,0 т.руб.(Сервизы Гжель)горизонтальные витрины в кол-ве 2 шт. на сумму 137,9 т.руб., лампа увеличительная 1 щт. На сумму 5,9 т.руб.</t>
      </is>
    </nc>
    <odxf>
      <font>
        <sz val="14"/>
        <color auto="1"/>
        <name val="Times New Roman"/>
        <scheme val="none"/>
      </font>
      <fill>
        <patternFill patternType="none">
          <bgColor indexed="65"/>
        </patternFill>
      </fill>
      <alignment horizontal="justify" vertical="top" readingOrder="0"/>
    </odxf>
    <ndxf>
      <font>
        <sz val="12"/>
        <color rgb="FFFF0000"/>
        <name val="Times New Roman"/>
        <scheme val="none"/>
      </font>
      <fill>
        <patternFill patternType="solid">
          <bgColor theme="0"/>
        </patternFill>
      </fill>
      <alignment horizontal="general" vertical="center" readingOrder="0"/>
    </ndxf>
  </rcc>
  <rcc rId="32290" sId="8" odxf="1" dxf="1">
    <nc r="AF177" t="inlineStr">
      <is>
        <t>Приобретение деревянных заготовок для мастер-классов, приобретены национальные атрибуты народов севера в кол-ве 16 предметов,  услуги по изготовлению дегустационных блюд, услуги по описанию предметов нац.культуры, типографские и полиграфические услуги</t>
      </is>
    </nc>
    <odxf>
      <font>
        <b val="0"/>
        <sz val="14"/>
        <name val="Times New Roman"/>
        <scheme val="none"/>
      </font>
      <fill>
        <patternFill patternType="none">
          <bgColor indexed="65"/>
        </patternFill>
      </fill>
      <alignment wrapText="0" readingOrder="0"/>
    </odxf>
    <ndxf>
      <font>
        <b/>
        <sz val="14"/>
        <color rgb="FFFF0000"/>
        <name val="Times New Roman"/>
        <scheme val="none"/>
      </font>
      <fill>
        <patternFill patternType="solid">
          <bgColor theme="7" tint="0.79998168889431442"/>
        </patternFill>
      </fill>
      <alignment wrapText="1" readingOrder="0"/>
    </ndxf>
  </rcc>
  <rcc rId="32291" sId="8" odxf="1" dxf="1">
    <oc r="AF271" t="inlineStr">
      <is>
        <t xml:space="preserve">НЕОБОХОДИМО ПРОПИСАТЬ РЕЗУЛЬТАТЫ РЕАЛИЗАЦИИ МЕРОПРИЯТИЙ, МОЖЕТ ЧТО ТО ПРИОБРЕТАЛИ, ПРОВОДИЛИ МЕРОПРИЯТИЯ  </t>
      </is>
    </oc>
    <nc r="AF271" t="inlineStr">
      <is>
        <t>Приобретение сувенирной продукции с логотипом, стендов, фирменных стоек, национальных атрибутов народов севера для этностойбища,  услуги фотографа, услуги дизайнера, типографские и полиграфические услуги, услуги по организации мероприятий по изучению культуры ханты, организация мероприятия "День Когалыма в Москве", участие в 4 туристических выставках</t>
      </is>
    </nc>
    <odxf>
      <fill>
        <patternFill patternType="none">
          <bgColor indexed="65"/>
        </patternFill>
      </fill>
    </odxf>
    <ndxf>
      <fill>
        <patternFill patternType="solid">
          <bgColor theme="7" tint="0.79998168889431442"/>
        </patternFill>
      </fill>
    </ndxf>
  </rcc>
  <rfmt sheetId="8" sqref="AF271" start="0" length="2147483647">
    <dxf>
      <font>
        <color auto="1"/>
      </font>
    </dxf>
  </rfmt>
  <rfmt sheetId="8" sqref="AF271" start="0" length="2147483647">
    <dxf>
      <font>
        <b val="0"/>
      </font>
    </dxf>
  </rfmt>
  <rfmt sheetId="8" sqref="AF177" start="0" length="2147483647">
    <dxf>
      <font>
        <color auto="1"/>
      </font>
    </dxf>
  </rfmt>
  <rfmt sheetId="8" sqref="AF177">
    <dxf>
      <fill>
        <patternFill patternType="none">
          <bgColor auto="1"/>
        </patternFill>
      </fill>
    </dxf>
  </rfmt>
  <rfmt sheetId="8" sqref="AF177" start="0" length="2147483647">
    <dxf>
      <font>
        <b val="0"/>
      </font>
    </dxf>
  </rfmt>
  <rfmt sheetId="8" sqref="AF101">
    <dxf>
      <fill>
        <patternFill patternType="none">
          <bgColor auto="1"/>
        </patternFill>
      </fill>
    </dxf>
  </rfmt>
  <rfmt sheetId="8" sqref="AF101" start="0" length="2147483647">
    <dxf>
      <font>
        <color auto="1"/>
      </font>
    </dxf>
  </rfmt>
  <rfmt sheetId="8" sqref="AF101" start="0" length="2147483647">
    <dxf>
      <font>
        <sz val="14"/>
      </font>
    </dxf>
  </rfmt>
  <rfmt sheetId="8" sqref="AF95" start="0" length="2147483647">
    <dxf>
      <font>
        <sz val="14"/>
      </font>
    </dxf>
  </rfmt>
  <rfmt sheetId="8" sqref="AF95">
    <dxf>
      <fill>
        <patternFill>
          <bgColor auto="1"/>
        </patternFill>
      </fill>
    </dxf>
  </rfmt>
  <rfmt sheetId="8" sqref="AF95" start="0" length="2147483647">
    <dxf>
      <font>
        <color auto="1"/>
      </font>
    </dxf>
  </rfmt>
  <rfmt sheetId="8" sqref="AF83:AF89" start="0" length="2147483647">
    <dxf>
      <font>
        <sz val="14"/>
      </font>
    </dxf>
  </rfmt>
  <rfmt sheetId="8" sqref="AF83:AF89" start="0" length="2147483647">
    <dxf>
      <font>
        <color auto="1"/>
      </font>
    </dxf>
  </rfmt>
  <rfmt sheetId="8" sqref="AF83:AF89">
    <dxf>
      <fill>
        <patternFill patternType="none">
          <bgColor auto="1"/>
        </patternFill>
      </fill>
    </dxf>
  </rfmt>
  <rcc rId="32292" sId="8">
    <oc r="AF77" t="inlineStr">
      <is>
        <t xml:space="preserve">ПРОПРИСАТЬ, ЕСЛИ ЧТО ТО БЫЛО ПРИОБРЕТЕНО ДЛЯ ПОПОЛНЕНИЯ ФОНДА МУЗЕЯ </t>
      </is>
    </oc>
    <nc r="AF77"/>
  </rcc>
  <rfmt sheetId="8" sqref="AF205" start="0" length="0">
    <dxf>
      <font>
        <b val="0"/>
        <sz val="11"/>
        <color theme="1"/>
        <name val="Calibri"/>
        <scheme val="minor"/>
      </font>
      <alignment vertical="bottom" wrapText="0" readingOrder="0"/>
      <border outline="0">
        <left/>
        <right/>
        <top/>
        <bottom/>
      </border>
    </dxf>
  </rfmt>
  <rcc rId="32293" sId="8">
    <nc r="AF205" t="inlineStr">
      <is>
        <t>Экономия - 347,433 тыс.руб. в том числе:  отмена конкурса-фестиваля студии "Образ", экономия по оплате транспортных услуг на мер. "Новый год", "Проводы зимы", "День Победы", "День города" в связи с изменением формата мероприятий,  экономия по проведению мастер-класса в рамках мер. "Творческая лаборатория" (договор заключен на меньшую сумму).</t>
      </is>
    </nc>
  </rcc>
  <rcc rId="32294" sId="8" xfDxf="1" dxf="1">
    <oc r="AF205" t="inlineStr">
      <is>
        <t xml:space="preserve">ПРПИСАТЬ ПРИЧИНЫ ОТКЛОНЕНИЙ 347,43 ТЫС. РУБ </t>
      </is>
    </oc>
    <nc r="AF205" t="inlineStr">
      <is>
        <t>Экономия - 347,433 тыс.руб. в том числе:  отмена конкурса-фестиваля студии "Образ", экономия по оплате транспортных услуг на мер. "Новый год", "Проводы зимы", "День Победы", "День города" в связи с изменением формата мероприятий,  экономия по проведению мастер-класса в рамках мер. "Творческая лаборатория" (договор заключен на меньшую сумму).</t>
      </is>
    </nc>
    <ndxf>
      <font>
        <sz val="12"/>
        <name val="Times New Roman"/>
        <scheme val="none"/>
      </font>
      <alignment vertical="center" readingOrder="0"/>
    </ndxf>
  </rcc>
  <rfmt sheetId="8" sqref="AF205">
    <dxf>
      <alignment wrapText="1" readingOrder="0"/>
    </dxf>
  </rfmt>
  <rdn rId="0" localSheetId="8" customView="1" name="Z_7C130984_112A_4861_AA43_E2940708E3DC_.wvu.Cols" hidden="1" oldHidden="1">
    <oldFormula>'7.МП КП'!$H:$AC</oldFormula>
  </rdn>
  <rcv guid="{7C130984-112A-4861-AA43-E2940708E3DC}" action="delete"/>
  <rdn rId="0" localSheetId="2" customView="1" name="Z_7C130984_112A_4861_AA43_E2940708E3DC_.wvu.Rows" hidden="1" oldHidden="1">
    <formula>'1.СЗН'!$70:$74</formula>
    <oldFormula>'1.СЗН'!$70:$74</oldFormula>
  </rdn>
  <rdn rId="0" localSheetId="2" customView="1" name="Z_7C130984_112A_4861_AA43_E2940708E3DC_.wvu.FilterData" hidden="1" oldHidden="1">
    <formula>'1.СЗН'!$A$1:$AF$64</formula>
    <oldFormula>'1.СЗН'!$A$1:$AF$64</oldFormula>
  </rdn>
  <rdn rId="0" localSheetId="3" customView="1" name="Z_7C130984_112A_4861_AA43_E2940708E3DC_.wvu.FilterData" hidden="1" oldHidden="1">
    <formula>'2.АПК'!$A$1:$AF$36</formula>
    <oldFormula>'2.АПК'!$A$1:$AF$36</oldFormula>
  </rdn>
  <rdn rId="0" localSheetId="4" customView="1" name="Z_7C130984_112A_4861_AA43_E2940708E3DC_.wvu.FilterData" hidden="1" oldHidden="1">
    <formula>'3.БЖД'!$A$1:$AF$17</formula>
    <oldFormula>'3.БЖД'!$A$1:$AF$17</oldFormula>
  </rdn>
  <rdn rId="0" localSheetId="5" customView="1" name="Z_7C130984_112A_4861_AA43_E2940708E3DC_.wvu.FilterData" hidden="1" oldHidden="1">
    <formula>'4.УМИ'!$A$1:$AF$11</formula>
    <oldFormula>'4.УМИ'!$A$1:$AF$11</oldFormula>
  </rdn>
  <rdn rId="0" localSheetId="6" customView="1" name="Z_7C130984_112A_4861_AA43_E2940708E3DC_.wvu.FilterData" hidden="1" oldHidden="1">
    <formula>'5.Проф. прав.'!$A$1:$AF$12</formula>
    <oldFormula>'5.Проф. прав.'!$A$1:$AF$12</oldFormula>
  </rdn>
  <rdn rId="0" localSheetId="7" customView="1" name="Z_7C130984_112A_4861_AA43_E2940708E3DC_.wvu.Rows" hidden="1" oldHidden="1">
    <formula>'6.Экстримизм'!$9:$23,'6.Экстримизм'!$30:$38,'6.Экстримизм'!$44:$49,'6.Экстримизм'!$65:$67,'6.Экстримизм'!$71:$76,'6.Экстримизм'!$86:$88,'6.Экстримизм'!$95:$97</formula>
    <oldFormula>'6.Экстримизм'!$9:$23,'6.Экстримизм'!$30:$38,'6.Экстримизм'!$44:$49,'6.Экстримизм'!$65:$67,'6.Экстримизм'!$71:$76,'6.Экстримизм'!$86:$88,'6.Экстримизм'!$95:$97</oldFormula>
  </rdn>
  <rdn rId="0" localSheetId="7" customView="1" name="Z_7C130984_112A_4861_AA43_E2940708E3DC_.wvu.FilterData" hidden="1" oldHidden="1">
    <formula>'6.Экстримизм'!$A$1:$AF$11</formula>
    <oldFormula>'6.Экстримизм'!$A$1:$AF$11</oldFormula>
  </rdn>
  <rdn rId="0" localSheetId="14" customView="1" name="Z_7C130984_112A_4861_AA43_E2940708E3DC_.wvu.FilterData" hidden="1" oldHidden="1">
    <formula>'11.МП РО'!$A$7:$AP$125</formula>
    <oldFormula>'11.МП РО'!$A$7:$AP$125</oldFormula>
  </rdn>
  <rdn rId="0" localSheetId="17" customView="1" name="Z_7C130984_112A_4861_AA43_E2940708E3DC_.wvu.Rows" hidden="1" oldHidden="1">
    <formula>'13.МП РЖС'!$122:$127</formula>
    <oldFormula>'13.МП РЖС'!$122:$127</oldFormula>
  </rdn>
  <rdn rId="0" localSheetId="17" customView="1" name="Z_7C130984_112A_4861_AA43_E2940708E3DC_.wvu.Cols" hidden="1" oldHidden="1">
    <formula>'13.МП РЖС'!$AG:$AG</formula>
    <oldFormula>'13.МП РЖС'!$AG:$AG</oldFormula>
  </rdn>
  <rcv guid="{7C130984-112A-4861-AA43-E2940708E3DC}"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AF57" start="0" length="2147483647">
    <dxf>
      <font>
        <color rgb="FFFF0000"/>
      </font>
    </dxf>
  </rfmt>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307" sId="8">
    <oc r="AF107" t="inlineStr">
      <is>
        <r>
          <t xml:space="preserve">Остаток средств в сумме 1 372,486  т.руб., в т.ч.  остаток по  выплате заработной платы и соц.выплат   - 0  т.р. , начисл. на зар.плату - 138,813 т.руб., оплаты за коммунальные услуги по фактическим расходам и показаниям счетчиков- 293,412 т.р.,оплаты за содержание здания по факту предоставленных документов на оплату от поставщика - 53,426 т.руб., оплата услуг связи - 10,479 т.руб., оплата б/л за счет ср-в работод - 15,409 т.руб.оплаты налога на имущество - 851,356 т.руб.оплата командировочных расходов - 9 591 т.руб.
</t>
        </r>
        <r>
          <rPr>
            <b/>
            <sz val="14"/>
            <color rgb="FFFF0000"/>
            <rFont val="Times New Roman"/>
            <family val="1"/>
            <charset val="204"/>
          </rPr>
          <t xml:space="preserve">ПЕРЕРОПВЕРИТЬ СУММЫ, С ОБЩЕЙ НЕ СХОДИТСЯ </t>
        </r>
      </is>
    </oc>
    <nc r="AF107" t="inlineStr">
      <is>
        <t xml:space="preserve">Остаток средств в сумме 1 372,486  т.руб., в т.ч.  остаток по  выплате заработной платы и соц.выплат   - 0  т.р. , начисл. на зар.плату - 138,813 т.руб., оплаты за коммунальные услуги по фактическим расходам и показаниям счетчиков- 293,412 т.р.,оплаты за содержание здания по факту предоставленных документов на оплату от поставщика - 53,426 т.руб., оплата услуг связи - 10,479 т.руб., оплата б/л за счет ср-в работод - 15,409 т.руб.оплаты налога на имущество - 851,356 т.руб.оплата командировочных расходов - 9,591 т.руб.
</t>
      </is>
    </nc>
  </rcc>
  <rcmt sheetId="8" cell="A29" guid="{00000000-0000-0000-0000-000000000000}" action="delete" author="Степаненко Наталья Алексеевна"/>
  <rfmt sheetId="8" sqref="B29:AE29">
    <dxf>
      <fill>
        <patternFill>
          <bgColor theme="4" tint="0.59999389629810485"/>
        </patternFill>
      </fill>
    </dxf>
  </rfmt>
  <rfmt sheetId="8" sqref="B36:AE36">
    <dxf>
      <fill>
        <patternFill>
          <bgColor theme="4" tint="0.59999389629810485"/>
        </patternFill>
      </fill>
    </dxf>
  </rfmt>
  <rfmt sheetId="8" sqref="A29">
    <dxf>
      <fill>
        <patternFill>
          <bgColor theme="4" tint="0.59999389629810485"/>
        </patternFill>
      </fill>
    </dxf>
  </rfmt>
  <rfmt sheetId="8" sqref="A36">
    <dxf>
      <fill>
        <patternFill>
          <bgColor theme="4" tint="0.59999389629810485"/>
        </patternFill>
      </fill>
    </dxf>
  </rfmt>
  <rcmt sheetId="8" cell="B116" guid="{00000000-0000-0000-0000-000000000000}" action="delete" author="Степаненко Наталья Алексеевна"/>
  <rfmt sheetId="8" sqref="B113:AD118">
    <dxf>
      <fill>
        <patternFill>
          <bgColor theme="7" tint="0.79998168889431442"/>
        </patternFill>
      </fill>
    </dxf>
  </rfmt>
  <rfmt sheetId="8" sqref="AE116">
    <dxf>
      <fill>
        <patternFill>
          <bgColor theme="7" tint="0.79998168889431442"/>
        </patternFill>
      </fill>
    </dxf>
  </rfmt>
  <rcmt sheetId="8" cell="C181" guid="{00000000-0000-0000-0000-000000000000}" action="delete" author="Степаненко Наталья Алексеевна"/>
  <rfmt sheetId="8" sqref="F206:H207">
    <dxf>
      <fill>
        <patternFill>
          <bgColor theme="0"/>
        </patternFill>
      </fill>
    </dxf>
  </rfmt>
  <rfmt sheetId="8" sqref="F202:H203">
    <dxf>
      <fill>
        <patternFill>
          <bgColor theme="0"/>
        </patternFill>
      </fill>
    </dxf>
  </rfmt>
  <rfmt sheetId="8" sqref="F196:G200">
    <dxf>
      <fill>
        <patternFill>
          <bgColor theme="7" tint="0.79998168889431442"/>
        </patternFill>
      </fill>
    </dxf>
  </rfmt>
  <rfmt sheetId="8" sqref="B236:AE237">
    <dxf>
      <fill>
        <patternFill>
          <bgColor theme="7" tint="0.79998168889431442"/>
        </patternFill>
      </fill>
    </dxf>
  </rfmt>
  <rcc rId="32308" sId="8">
    <oc r="B307">
      <f>B289-B295-B301</f>
    </oc>
    <nc r="B307"/>
  </rcc>
  <rcc rId="32309" sId="8">
    <oc r="C307">
      <f>C289-C295-C301</f>
    </oc>
    <nc r="C307"/>
  </rcc>
  <rcc rId="32310" sId="8">
    <oc r="D307">
      <f>D289-D295-D301</f>
    </oc>
    <nc r="D307"/>
  </rcc>
  <rcc rId="32311" sId="8">
    <oc r="E307">
      <f>E289-E295-E301</f>
    </oc>
    <nc r="E307"/>
  </rcc>
  <rcc rId="32312" sId="8">
    <oc r="H307">
      <f>H289-H295-H301</f>
    </oc>
    <nc r="H307"/>
  </rcc>
  <rcc rId="32313" sId="8">
    <oc r="I307">
      <f>I289-I295-I301</f>
    </oc>
    <nc r="I307"/>
  </rcc>
  <rcc rId="32314" sId="8">
    <oc r="J307">
      <f>J289-J295-J301</f>
    </oc>
    <nc r="J307"/>
  </rcc>
  <rcc rId="32315" sId="8">
    <oc r="K307">
      <f>K289-K295-K301</f>
    </oc>
    <nc r="K307"/>
  </rcc>
  <rcc rId="32316" sId="8">
    <oc r="L307">
      <f>L289-L295-L301</f>
    </oc>
    <nc r="L307"/>
  </rcc>
  <rcc rId="32317" sId="8">
    <oc r="M307">
      <f>M289-M295-M301</f>
    </oc>
    <nc r="M307"/>
  </rcc>
  <rcc rId="32318" sId="8">
    <oc r="N307">
      <f>N289-N295-N301</f>
    </oc>
    <nc r="N307"/>
  </rcc>
  <rcc rId="32319" sId="8">
    <oc r="O307">
      <f>O289-O295-O301</f>
    </oc>
    <nc r="O307"/>
  </rcc>
  <rcc rId="32320" sId="8">
    <oc r="P307">
      <f>P289-P295-P301</f>
    </oc>
    <nc r="P307"/>
  </rcc>
  <rcc rId="32321" sId="8">
    <oc r="Q307">
      <f>Q289-Q295-Q301</f>
    </oc>
    <nc r="Q307"/>
  </rcc>
  <rcc rId="32322" sId="8">
    <oc r="R307">
      <f>R289-R295-R301</f>
    </oc>
    <nc r="R307"/>
  </rcc>
  <rcc rId="32323" sId="8">
    <oc r="S307">
      <f>S289-S295-S301</f>
    </oc>
    <nc r="S307"/>
  </rcc>
  <rcc rId="32324" sId="8">
    <oc r="T307">
      <f>T289-T295-T301</f>
    </oc>
    <nc r="T307"/>
  </rcc>
  <rcc rId="32325" sId="8">
    <oc r="U307">
      <f>U289-U295-U301</f>
    </oc>
    <nc r="U307"/>
  </rcc>
  <rcc rId="32326" sId="8">
    <oc r="V307">
      <f>V289-V295-V301</f>
    </oc>
    <nc r="V307"/>
  </rcc>
  <rcc rId="32327" sId="8">
    <oc r="W307">
      <f>W289-W295-W301</f>
    </oc>
    <nc r="W307"/>
  </rcc>
  <rcc rId="32328" sId="8">
    <oc r="X307">
      <f>X289-X295-X301</f>
    </oc>
    <nc r="X307"/>
  </rcc>
  <rcc rId="32329" sId="8">
    <oc r="Y307">
      <f>Y289-Y295-Y301</f>
    </oc>
    <nc r="Y307"/>
  </rcc>
  <rcc rId="32330" sId="8">
    <oc r="Z307">
      <f>Z289-Z295-Z301</f>
    </oc>
    <nc r="Z307"/>
  </rcc>
  <rcc rId="32331" sId="8">
    <oc r="AA307">
      <f>AA289-AA295-AA301</f>
    </oc>
    <nc r="AA307"/>
  </rcc>
  <rcc rId="32332" sId="8">
    <oc r="AB307">
      <f>AB289-AB295-AB301</f>
    </oc>
    <nc r="AB307"/>
  </rcc>
  <rcc rId="32333" sId="8">
    <oc r="AC307">
      <f>AC289-AC295-AC301</f>
    </oc>
    <nc r="AC307"/>
  </rcc>
  <rcc rId="32334" sId="8">
    <oc r="AD307">
      <f>AD289-AD295-AD301</f>
    </oc>
    <nc r="AD307"/>
  </rcc>
  <rcc rId="32335" sId="8">
    <oc r="AE307">
      <f>AE289-AE295-AE301</f>
    </oc>
    <nc r="AE307"/>
  </rcc>
  <rcc rId="32336" sId="8">
    <oc r="A308" t="inlineStr">
      <is>
        <t>федеральный бюджет</t>
      </is>
    </oc>
    <nc r="A308"/>
  </rcc>
  <rcc rId="32337" sId="8">
    <oc r="B308">
      <f>B290-B296-B302</f>
    </oc>
    <nc r="B308"/>
  </rcc>
  <rcc rId="32338" sId="8">
    <oc r="C308">
      <f>C290-C296-C302</f>
    </oc>
    <nc r="C308"/>
  </rcc>
  <rcc rId="32339" sId="8">
    <oc r="D308">
      <f>D290-D296-D302</f>
    </oc>
    <nc r="D308"/>
  </rcc>
  <rcc rId="32340" sId="8">
    <oc r="E308">
      <f>E290-E296-E302</f>
    </oc>
    <nc r="E308"/>
  </rcc>
  <rcc rId="32341" sId="8">
    <oc r="H308">
      <f>H290-H296-H302</f>
    </oc>
    <nc r="H308"/>
  </rcc>
  <rcc rId="32342" sId="8">
    <oc r="I308">
      <f>I290-I296-I302</f>
    </oc>
    <nc r="I308"/>
  </rcc>
  <rcc rId="32343" sId="8">
    <oc r="J308">
      <f>J290-J296-J302</f>
    </oc>
    <nc r="J308"/>
  </rcc>
  <rcc rId="32344" sId="8">
    <oc r="K308">
      <f>K290-K296-K302</f>
    </oc>
    <nc r="K308"/>
  </rcc>
  <rcc rId="32345" sId="8">
    <oc r="L308">
      <f>L290-L296-L302</f>
    </oc>
    <nc r="L308"/>
  </rcc>
  <rcc rId="32346" sId="8">
    <oc r="M308">
      <f>M290-M296-M302</f>
    </oc>
    <nc r="M308"/>
  </rcc>
  <rcc rId="32347" sId="8">
    <oc r="N308">
      <f>N290-N296-N302</f>
    </oc>
    <nc r="N308"/>
  </rcc>
  <rcc rId="32348" sId="8">
    <oc r="O308">
      <f>O290-O296-O302</f>
    </oc>
    <nc r="O308"/>
  </rcc>
  <rcc rId="32349" sId="8">
    <oc r="P308">
      <f>P290-P296-P302</f>
    </oc>
    <nc r="P308"/>
  </rcc>
  <rcc rId="32350" sId="8">
    <oc r="Q308">
      <f>Q290-Q296-Q302</f>
    </oc>
    <nc r="Q308"/>
  </rcc>
  <rcc rId="32351" sId="8">
    <oc r="R308">
      <f>R290-R296-R302</f>
    </oc>
    <nc r="R308"/>
  </rcc>
  <rcc rId="32352" sId="8">
    <oc r="S308">
      <f>S290-S296-S302</f>
    </oc>
    <nc r="S308"/>
  </rcc>
  <rcc rId="32353" sId="8">
    <oc r="T308">
      <f>T290-T296-T302</f>
    </oc>
    <nc r="T308"/>
  </rcc>
  <rcc rId="32354" sId="8">
    <oc r="U308">
      <f>U290-U296-U302</f>
    </oc>
    <nc r="U308"/>
  </rcc>
  <rcc rId="32355" sId="8">
    <oc r="V308">
      <f>V290-V296-V302</f>
    </oc>
    <nc r="V308"/>
  </rcc>
  <rcc rId="32356" sId="8">
    <oc r="W308">
      <f>W290-W296-W302</f>
    </oc>
    <nc r="W308"/>
  </rcc>
  <rcc rId="32357" sId="8">
    <oc r="X308">
      <f>X290-X296-X302</f>
    </oc>
    <nc r="X308"/>
  </rcc>
  <rcc rId="32358" sId="8">
    <oc r="Y308">
      <f>Y290-Y296-Y302</f>
    </oc>
    <nc r="Y308"/>
  </rcc>
  <rcc rId="32359" sId="8">
    <oc r="Z308">
      <f>Z290-Z296-Z302</f>
    </oc>
    <nc r="Z308"/>
  </rcc>
  <rcc rId="32360" sId="8">
    <oc r="AA308">
      <f>AA290-AA296-AA302</f>
    </oc>
    <nc r="AA308"/>
  </rcc>
  <rcc rId="32361" sId="8">
    <oc r="AB308">
      <f>AB290-AB296-AB302</f>
    </oc>
    <nc r="AB308"/>
  </rcc>
  <rcc rId="32362" sId="8">
    <oc r="AC308">
      <f>AC290-AC296-AC302</f>
    </oc>
    <nc r="AC308"/>
  </rcc>
  <rcc rId="32363" sId="8">
    <oc r="AD308">
      <f>AD290-AD296-AD302</f>
    </oc>
    <nc r="AD308"/>
  </rcc>
  <rcc rId="32364" sId="8">
    <oc r="AE308">
      <f>AE290-AE296-AE302</f>
    </oc>
    <nc r="AE308"/>
  </rcc>
  <rcc rId="32365" sId="8">
    <oc r="A309" t="inlineStr">
      <is>
        <t>бюджет автономного округа</t>
      </is>
    </oc>
    <nc r="A309"/>
  </rcc>
  <rcc rId="32366" sId="8">
    <oc r="B309">
      <f>B291-B297-B303</f>
    </oc>
    <nc r="B309"/>
  </rcc>
  <rcc rId="32367" sId="8">
    <oc r="C309">
      <f>C291-C297-C303</f>
    </oc>
    <nc r="C309"/>
  </rcc>
  <rcc rId="32368" sId="8">
    <oc r="D309">
      <f>D291-D297-D303</f>
    </oc>
    <nc r="D309"/>
  </rcc>
  <rcc rId="32369" sId="8">
    <oc r="E309">
      <f>E291-E297-E303</f>
    </oc>
    <nc r="E309"/>
  </rcc>
  <rcc rId="32370" sId="8">
    <oc r="H309">
      <f>H291-H297-H303</f>
    </oc>
    <nc r="H309"/>
  </rcc>
  <rcc rId="32371" sId="8">
    <oc r="I309">
      <f>I291-I297-I303</f>
    </oc>
    <nc r="I309"/>
  </rcc>
  <rcc rId="32372" sId="8">
    <oc r="J309">
      <f>J291-J297-J303</f>
    </oc>
    <nc r="J309"/>
  </rcc>
  <rcc rId="32373" sId="8">
    <oc r="K309">
      <f>K291-K297-K303</f>
    </oc>
    <nc r="K309"/>
  </rcc>
  <rcc rId="32374" sId="8">
    <oc r="L309">
      <f>L291-L297-L303</f>
    </oc>
    <nc r="L309"/>
  </rcc>
  <rcc rId="32375" sId="8">
    <oc r="M309">
      <f>M291-M297-M303</f>
    </oc>
    <nc r="M309"/>
  </rcc>
  <rcc rId="32376" sId="8">
    <oc r="N309">
      <f>N291-N297-N303</f>
    </oc>
    <nc r="N309"/>
  </rcc>
  <rcc rId="32377" sId="8">
    <oc r="O309">
      <f>O291-O297-O303</f>
    </oc>
    <nc r="O309"/>
  </rcc>
  <rcc rId="32378" sId="8">
    <oc r="P309">
      <f>P291-P297-P303</f>
    </oc>
    <nc r="P309"/>
  </rcc>
  <rcc rId="32379" sId="8">
    <oc r="Q309">
      <f>Q291-Q297-Q303</f>
    </oc>
    <nc r="Q309"/>
  </rcc>
  <rcc rId="32380" sId="8">
    <oc r="R309">
      <f>R291-R297-R303</f>
    </oc>
    <nc r="R309"/>
  </rcc>
  <rcc rId="32381" sId="8">
    <oc r="S309">
      <f>S291-S297-S303</f>
    </oc>
    <nc r="S309"/>
  </rcc>
  <rcc rId="32382" sId="8">
    <oc r="T309">
      <f>T291-T297-T303</f>
    </oc>
    <nc r="T309"/>
  </rcc>
  <rcc rId="32383" sId="8">
    <oc r="U309">
      <f>U291-U297-U303</f>
    </oc>
    <nc r="U309"/>
  </rcc>
  <rcc rId="32384" sId="8">
    <oc r="V309">
      <f>V291-V297-V303</f>
    </oc>
    <nc r="V309"/>
  </rcc>
  <rcc rId="32385" sId="8">
    <oc r="W309">
      <f>W291-W297-W303</f>
    </oc>
    <nc r="W309"/>
  </rcc>
  <rcc rId="32386" sId="8">
    <oc r="X309">
      <f>X291-X297-X303</f>
    </oc>
    <nc r="X309"/>
  </rcc>
  <rcc rId="32387" sId="8">
    <oc r="Y309">
      <f>Y291-Y297-Y303</f>
    </oc>
    <nc r="Y309"/>
  </rcc>
  <rcc rId="32388" sId="8">
    <oc r="Z309">
      <f>Z291-Z297-Z303</f>
    </oc>
    <nc r="Z309"/>
  </rcc>
  <rcc rId="32389" sId="8">
    <oc r="AA309">
      <f>AA291-AA297-AA303</f>
    </oc>
    <nc r="AA309"/>
  </rcc>
  <rcc rId="32390" sId="8">
    <oc r="AB309">
      <f>AB291-AB297-AB303</f>
    </oc>
    <nc r="AB309"/>
  </rcc>
  <rcc rId="32391" sId="8">
    <oc r="AC309">
      <f>AC291-AC297-AC303</f>
    </oc>
    <nc r="AC309"/>
  </rcc>
  <rcc rId="32392" sId="8">
    <oc r="AD309">
      <f>AD291-AD297-AD303</f>
    </oc>
    <nc r="AD309"/>
  </rcc>
  <rcc rId="32393" sId="8">
    <oc r="AE309">
      <f>AE291-AE297-AE303</f>
    </oc>
    <nc r="AE309"/>
  </rcc>
  <rcc rId="32394" sId="8">
    <oc r="A310" t="inlineStr">
      <is>
        <t>бюджет города Когалыма</t>
      </is>
    </oc>
    <nc r="A310"/>
  </rcc>
  <rcc rId="32395" sId="8">
    <oc r="B310">
      <f>B292-B298-B304</f>
    </oc>
    <nc r="B310"/>
  </rcc>
  <rcc rId="32396" sId="8">
    <oc r="C310">
      <f>C292-C298-C304</f>
    </oc>
    <nc r="C310"/>
  </rcc>
  <rcc rId="32397" sId="8">
    <oc r="D310">
      <f>D292-D298-D304</f>
    </oc>
    <nc r="D310"/>
  </rcc>
  <rcc rId="32398" sId="8">
    <oc r="E310">
      <f>E292-E298-E304</f>
    </oc>
    <nc r="E310"/>
  </rcc>
  <rcc rId="32399" sId="8">
    <oc r="H310">
      <f>H292-H298-H304</f>
    </oc>
    <nc r="H310"/>
  </rcc>
  <rcc rId="32400" sId="8">
    <oc r="I310">
      <f>I292-I298-I304</f>
    </oc>
    <nc r="I310"/>
  </rcc>
  <rcc rId="32401" sId="8">
    <oc r="J310">
      <f>J292-J298-J304</f>
    </oc>
    <nc r="J310"/>
  </rcc>
  <rcc rId="32402" sId="8">
    <oc r="K310">
      <f>K292-K298-K304</f>
    </oc>
    <nc r="K310"/>
  </rcc>
  <rcc rId="32403" sId="8">
    <oc r="L310">
      <f>L292-L298-L304</f>
    </oc>
    <nc r="L310"/>
  </rcc>
  <rcc rId="32404" sId="8">
    <oc r="M310">
      <f>M292-M298-M304</f>
    </oc>
    <nc r="M310"/>
  </rcc>
  <rcc rId="32405" sId="8">
    <oc r="N310">
      <f>N292-N298-N304</f>
    </oc>
    <nc r="N310"/>
  </rcc>
  <rcc rId="32406" sId="8">
    <oc r="O310">
      <f>O292-O298-O304</f>
    </oc>
    <nc r="O310"/>
  </rcc>
  <rcc rId="32407" sId="8">
    <oc r="P310">
      <f>P292-P298-P304</f>
    </oc>
    <nc r="P310"/>
  </rcc>
  <rcc rId="32408" sId="8">
    <oc r="Q310">
      <f>Q292-Q298-Q304</f>
    </oc>
    <nc r="Q310"/>
  </rcc>
  <rcc rId="32409" sId="8">
    <oc r="R310">
      <f>R292-R298-R304</f>
    </oc>
    <nc r="R310"/>
  </rcc>
  <rcc rId="32410" sId="8">
    <oc r="S310">
      <f>S292-S298-S304</f>
    </oc>
    <nc r="S310"/>
  </rcc>
  <rcc rId="32411" sId="8">
    <oc r="T310">
      <f>T292-T298-T304</f>
    </oc>
    <nc r="T310"/>
  </rcc>
  <rcc rId="32412" sId="8">
    <oc r="U310">
      <f>U292-U298-U304</f>
    </oc>
    <nc r="U310"/>
  </rcc>
  <rcc rId="32413" sId="8">
    <oc r="V310">
      <f>V292-V298-V304</f>
    </oc>
    <nc r="V310"/>
  </rcc>
  <rcc rId="32414" sId="8">
    <oc r="W310">
      <f>W292-W298-W304</f>
    </oc>
    <nc r="W310"/>
  </rcc>
  <rcc rId="32415" sId="8">
    <oc r="X310">
      <f>X292-X298-X304</f>
    </oc>
    <nc r="X310"/>
  </rcc>
  <rcc rId="32416" sId="8">
    <oc r="Y310">
      <f>Y292-Y298-Y304</f>
    </oc>
    <nc r="Y310"/>
  </rcc>
  <rcc rId="32417" sId="8">
    <oc r="Z310">
      <f>Z292-Z298-Z304</f>
    </oc>
    <nc r="Z310"/>
  </rcc>
  <rcc rId="32418" sId="8">
    <oc r="AA310">
      <f>AA292-AA298-AA304</f>
    </oc>
    <nc r="AA310"/>
  </rcc>
  <rcc rId="32419" sId="8">
    <oc r="AB310">
      <f>AB292-AB298-AB304</f>
    </oc>
    <nc r="AB310"/>
  </rcc>
  <rcc rId="32420" sId="8">
    <oc r="AC310">
      <f>AC292-AC298-AC304</f>
    </oc>
    <nc r="AC310"/>
  </rcc>
  <rcc rId="32421" sId="8">
    <oc r="AD310">
      <f>AD292-AD298-AD304</f>
    </oc>
    <nc r="AD310"/>
  </rcc>
  <rcc rId="32422" sId="8">
    <oc r="AE310">
      <f>AE292-AE298-AE304</f>
    </oc>
    <nc r="AE310"/>
  </rcc>
  <rcc rId="32423" sId="8">
    <oc r="A311" t="inlineStr">
      <is>
        <t>привлеченные средства</t>
      </is>
    </oc>
    <nc r="A311"/>
  </rcc>
  <rcc rId="32424" sId="8">
    <oc r="B311">
      <f>B293-B299-B305</f>
    </oc>
    <nc r="B311"/>
  </rcc>
  <rcc rId="32425" sId="8">
    <oc r="C311">
      <f>C293-C299-C305</f>
    </oc>
    <nc r="C311"/>
  </rcc>
  <rcc rId="32426" sId="8">
    <oc r="D311">
      <f>D293-D299-D305</f>
    </oc>
    <nc r="D311"/>
  </rcc>
  <rcc rId="32427" sId="8">
    <oc r="E311">
      <f>E293-E299-E305</f>
    </oc>
    <nc r="E311"/>
  </rcc>
  <rcc rId="32428" sId="8">
    <oc r="H311">
      <f>H293-H299-H305</f>
    </oc>
    <nc r="H311"/>
  </rcc>
  <rcc rId="32429" sId="8">
    <oc r="I311">
      <f>I293-I299-I305</f>
    </oc>
    <nc r="I311"/>
  </rcc>
  <rcc rId="32430" sId="8">
    <oc r="J311">
      <f>J293-J299-J305</f>
    </oc>
    <nc r="J311"/>
  </rcc>
  <rcc rId="32431" sId="8">
    <oc r="K311">
      <f>K293-K299-K305</f>
    </oc>
    <nc r="K311"/>
  </rcc>
  <rcc rId="32432" sId="8">
    <oc r="L311">
      <f>L293-L299-L305</f>
    </oc>
    <nc r="L311"/>
  </rcc>
  <rcc rId="32433" sId="8">
    <oc r="M311">
      <f>M293-M299-M305</f>
    </oc>
    <nc r="M311"/>
  </rcc>
  <rcc rId="32434" sId="8">
    <oc r="N311">
      <f>N293-N299-N305</f>
    </oc>
    <nc r="N311"/>
  </rcc>
  <rcc rId="32435" sId="8">
    <oc r="O311">
      <f>O293-O299-O305</f>
    </oc>
    <nc r="O311"/>
  </rcc>
  <rcc rId="32436" sId="8">
    <oc r="P311">
      <f>P293-P299-P305</f>
    </oc>
    <nc r="P311"/>
  </rcc>
  <rcc rId="32437" sId="8">
    <oc r="Q311">
      <f>Q293-Q299-Q305</f>
    </oc>
    <nc r="Q311"/>
  </rcc>
  <rcc rId="32438" sId="8">
    <oc r="R311">
      <f>R293-R299-R305</f>
    </oc>
    <nc r="R311"/>
  </rcc>
  <rcc rId="32439" sId="8">
    <oc r="S311">
      <f>S293-S299-S305</f>
    </oc>
    <nc r="S311"/>
  </rcc>
  <rcc rId="32440" sId="8">
    <oc r="T311">
      <f>T293-T299-T305</f>
    </oc>
    <nc r="T311"/>
  </rcc>
  <rcc rId="32441" sId="8">
    <oc r="U311">
      <f>U293-U299-U305</f>
    </oc>
    <nc r="U311"/>
  </rcc>
  <rcc rId="32442" sId="8">
    <oc r="V311">
      <f>V293-V299-V305</f>
    </oc>
    <nc r="V311"/>
  </rcc>
  <rcc rId="32443" sId="8">
    <oc r="W311">
      <f>W293-W299-W305</f>
    </oc>
    <nc r="W311"/>
  </rcc>
  <rcc rId="32444" sId="8">
    <oc r="X311">
      <f>X293-X299-X305</f>
    </oc>
    <nc r="X311"/>
  </rcc>
  <rcc rId="32445" sId="8">
    <oc r="Y311">
      <f>Y293-Y299-Y305</f>
    </oc>
    <nc r="Y311"/>
  </rcc>
  <rcc rId="32446" sId="8">
    <oc r="Z311">
      <f>Z293-Z299-Z305</f>
    </oc>
    <nc r="Z311"/>
  </rcc>
  <rcc rId="32447" sId="8">
    <oc r="AA311">
      <f>AA293-AA299-AA305</f>
    </oc>
    <nc r="AA311"/>
  </rcc>
  <rcc rId="32448" sId="8">
    <oc r="AB311">
      <f>AB293-AB299-AB305</f>
    </oc>
    <nc r="AB311"/>
  </rcc>
  <rcc rId="32449" sId="8">
    <oc r="AC311">
      <f>AC293-AC299-AC305</f>
    </oc>
    <nc r="AC311"/>
  </rcc>
  <rcc rId="32450" sId="8">
    <oc r="AD311">
      <f>AD293-AD299-AD305</f>
    </oc>
    <nc r="AD311"/>
  </rcc>
  <rcc rId="32451" sId="8">
    <oc r="AE311">
      <f>AE293-AE299-AE305</f>
    </oc>
    <nc r="AE311"/>
  </rcc>
  <rcc rId="32452" sId="8">
    <oc r="B314">
      <f>B289-'N:\УЭ\ОТДЕЛ АНАЛИТИКИ\МУНИЦИПАЛЬНЫЕ и ГОС. ПРОГРАММЫ\[ИЗМЕНЕНИЯ по программам (№362-ГД) 17.01.2024.xlsx]04 "Культурное простр."'!$C$8</f>
    </oc>
    <nc r="B314"/>
  </rcc>
  <rcc rId="32453" sId="8">
    <oc r="B316">
      <f>B13+B19+B46+B53+B59+B65+B72+B85+B91+B97+B103+B109+B121+B127+B133+B145+B153+B166+B191+B203+B209+B215+B221+B227+B241+B247+B259+B265+B279+B285-B290</f>
    </oc>
    <nc r="B316"/>
  </rcc>
  <rcc rId="32454" sId="8">
    <oc r="C316">
      <f>C13+C19+C46+C53+C59+C65+C72+C85+C91+C97+C103+C109+C121+C127+C133+C145+C153+C166+C191+C203+C209+C215+C221+C227+C241+C247+C259+C265+C279+C285-C290</f>
    </oc>
    <nc r="C316"/>
  </rcc>
  <rcc rId="32455" sId="8">
    <oc r="D316">
      <f>D13+D19+D46+D53+D59+D65+D72+D85+D91+D97+D103+D109+D121+D127+D133+D145+D153+D166+D191+D203+D209+D215+D221+D227+D241+D247+D259+D265+D279+D285-D290</f>
    </oc>
    <nc r="D316"/>
  </rcc>
  <rcc rId="32456" sId="8">
    <oc r="E316">
      <f>E13+E19+E46+E53+E59+E65+E72+E85+E91+E97+E103+E109+E121+E127+E133+E145+E153+E166+E191+E203+E209+E215+E221+E227+E241+E247+E259+E265+E279+E285-E290</f>
    </oc>
    <nc r="E316"/>
  </rcc>
  <rcc rId="32457" sId="8">
    <oc r="H316">
      <f>H13+H19+H46+H53+H59+H65+H72+H85+H91+H97+H103+H109+H121+H127+H133+H145+H153+H166+H191+H203+H209+H215+H221+H227+H241+H247+H259+H265+H279+H285-H290</f>
    </oc>
    <nc r="H316"/>
  </rcc>
  <rcc rId="32458" sId="8">
    <oc r="I316">
      <f>I13+I19+I46+I53+I59+I65+I72+I85+I91+I97+I103+I109+I121+I127+I133+I145+I153+I166+I191+I203+I209+I215+I221+I227+I241+I247+I259+I265+I279+I285-I290</f>
    </oc>
    <nc r="I316"/>
  </rcc>
  <rcc rId="32459" sId="8">
    <oc r="J316">
      <f>J13+J19+J46+J53+J59+J65+J72+J85+J91+J97+J103+J109+J121+J127+J133+J145+J153+J166+J191+J203+J209+J215+J221+J227+J241+J247+J259+J265+J279+J285-J290</f>
    </oc>
    <nc r="J316"/>
  </rcc>
  <rcc rId="32460" sId="8">
    <oc r="K316">
      <f>K13+K19+K46+K53+K59+K65+K72+K85+K91+K97+K103+K109+K121+K127+K133+K145+K153+K166+K191+K203+K209+K215+K221+K227+K241+K247+K259+K265+K279+K285-K290</f>
    </oc>
    <nc r="K316"/>
  </rcc>
  <rcc rId="32461" sId="8">
    <oc r="L316">
      <f>L13+L19+L46+L53+L59+L65+L72+L85+L91+L97+L103+L109+L121+L127+L133+L145+L153+L166+L191+L203+L209+L215+L221+L227+L241+L247+L259+L265+L279+L285-L290</f>
    </oc>
    <nc r="L316"/>
  </rcc>
  <rcc rId="32462" sId="8">
    <oc r="M316">
      <f>M13+M19+M46+M53+M59+M65+M72+M85+M91+M97+M103+M109+M121+M127+M133+M145+M153+M166+M191+M203+M209+M215+M221+M227+M241+M247+M259+M265+M279+M285-M290</f>
    </oc>
    <nc r="M316"/>
  </rcc>
  <rcc rId="32463" sId="8">
    <oc r="N316">
      <f>N13+N19+N46+N53+N59+N65+N72+N85+N91+N97+N103+N109+N121+N127+N133+N145+N153+N166+N191+N203+N209+N215+N221+N227+N241+N247+N259+N265+N279+N285-N290</f>
    </oc>
    <nc r="N316"/>
  </rcc>
  <rcc rId="32464" sId="8">
    <oc r="O316">
      <f>O13+O19+O46+O53+O59+O65+O72+O85+O91+O97+O103+O109+O121+O127+O133+O145+O153+O166+O191+O203+O209+O215+O221+O227+O241+O247+O259+O265+O279+O285-O290</f>
    </oc>
    <nc r="O316"/>
  </rcc>
  <rcc rId="32465" sId="8">
    <oc r="P316">
      <f>P13+P19+P46+P53+P59+P65+P72+P85+P91+P97+P103+P109+P121+P127+P133+P145+P153+P166+P191+P203+P209+P215+P221+P227+P241+P247+P259+P265+P279+P285-P290</f>
    </oc>
    <nc r="P316"/>
  </rcc>
  <rcc rId="32466" sId="8">
    <oc r="Q316">
      <f>Q13+Q19+Q46+Q53+Q59+Q65+Q72+Q85+Q91+Q97+Q103+Q109+Q121+Q127+Q133+Q145+Q153+Q166+Q191+Q203+Q209+Q215+Q221+Q227+Q241+Q247+Q259+Q265+Q279+Q285-Q290</f>
    </oc>
    <nc r="Q316"/>
  </rcc>
  <rcc rId="32467" sId="8">
    <oc r="R316">
      <f>R13+R19+R46+R53+R59+R65+R72+R85+R91+R97+R103+R109+R121+R127+R133+R145+R153+R166+R191+R203+R209+R215+R221+R227+R241+R247+R259+R265+R279+R285-R290</f>
    </oc>
    <nc r="R316"/>
  </rcc>
  <rcc rId="32468" sId="8">
    <oc r="S316">
      <f>S13+S19+S46+S53+S59+S65+S72+S85+S91+S97+S103+S109+S121+S127+S133+S145+S153+S166+S191+S203+S209+S215+S221+S227+S241+S247+S259+S265+S279+S285-S290</f>
    </oc>
    <nc r="S316"/>
  </rcc>
  <rcc rId="32469" sId="8">
    <oc r="T316">
      <f>T13+T19+T46+T53+T59+T65+T72+T85+T91+T97+T103+T109+T121+T127+T133+T145+T153+T166+T191+T203+T209+T215+T221+T227+T241+T247+T259+T265+T279+T285-T290</f>
    </oc>
    <nc r="T316"/>
  </rcc>
  <rcc rId="32470" sId="8">
    <oc r="U316">
      <f>U13+U19+U46+U53+U59+U65+U72+U85+U91+U97+U103+U109+U121+U127+U133+U145+U153+U166+U191+U203+U209+U215+U221+U227+U241+U247+U259+U265+U279+U285-U290</f>
    </oc>
    <nc r="U316"/>
  </rcc>
  <rcc rId="32471" sId="8">
    <oc r="V316">
      <f>V13+V19+V46+V53+V59+V65+V72+V85+V91+V97+V103+V109+V121+V127+V133+V145+V153+V166+V191+V203+V209+V215+V221+V227+V241+V247+V259+V265+V279+V285-V290</f>
    </oc>
    <nc r="V316"/>
  </rcc>
  <rcc rId="32472" sId="8">
    <oc r="W316">
      <f>W13+W19+W46+W53+W59+W65+W72+W85+W91+W97+W103+W109+W121+W127+W133+W145+W153+W166+W191+W203+W209+W215+W221+W227+W241+W247+W259+W265+W279+W285-W290</f>
    </oc>
    <nc r="W316"/>
  </rcc>
  <rcc rId="32473" sId="8">
    <oc r="X316">
      <f>X13+X19+X46+X53+X59+X65+X72+X85+X91+X97+X103+X109+X121+X127+X133+X145+X153+X166+X191+X203+X209+X215+X221+X227+X241+X247+X259+X265+X279+X285-X290</f>
    </oc>
    <nc r="X316"/>
  </rcc>
  <rcc rId="32474" sId="8">
    <oc r="Y316">
      <f>Y13+Y19+Y46+Y53+Y59+Y65+Y72+Y85+Y91+Y97+Y103+Y109+Y121+Y127+Y133+Y145+Y153+Y166+Y191+Y203+Y209+Y215+Y221+Y227+Y241+Y247+Y259+Y265+Y279+Y285-Y290</f>
    </oc>
    <nc r="Y316"/>
  </rcc>
  <rcc rId="32475" sId="8">
    <oc r="Z316">
      <f>Z13+Z19+Z46+Z53+Z59+Z65+Z72+Z85+Z91+Z97+Z103+Z109+Z121+Z127+Z133+Z145+Z153+Z166+Z191+Z203+Z209+Z215+Z221+Z227+Z241+Z247+Z259+Z265+Z279+Z285-Z290</f>
    </oc>
    <nc r="Z316"/>
  </rcc>
  <rcc rId="32476" sId="8">
    <oc r="AA316">
      <f>AA13+AA19+AA46+AA53+AA59+AA65+AA72+AA85+AA91+AA97+AA103+AA109+AA121+AA127+AA133+AA145+AA153+AA166+AA191+AA203+AA209+AA215+AA221+AA227+AA241+AA247+AA259+AA265+AA279+AA285-AA290</f>
    </oc>
    <nc r="AA316"/>
  </rcc>
  <rcc rId="32477" sId="8">
    <oc r="AB316">
      <f>AB13+AB19+AB46+AB53+AB59+AB65+AB72+AB85+AB91+AB97+AB103+AB109+AB121+AB127+AB133+AB145+AB153+AB166+AB191+AB203+AB209+AB215+AB221+AB227+AB241+AB247+AB259+AB265+AB279+AB285-AB290</f>
    </oc>
    <nc r="AB316"/>
  </rcc>
  <rcc rId="32478" sId="8">
    <oc r="AC316">
      <f>AC13+AC19+AC46+AC53+AC59+AC65+AC72+AC85+AC91+AC97+AC103+AC109+AC121+AC127+AC133+AC145+AC153+AC166+AC191+AC203+AC209+AC215+AC221+AC227+AC241+AC247+AC259+AC265+AC279+AC285-AC290</f>
    </oc>
    <nc r="AC316"/>
  </rcc>
  <rcc rId="32479" sId="8">
    <oc r="AD316">
      <f>AD13+AD19+AD46+AD53+AD59+AD65+AD72+AD85+AD91+AD97+AD103+AD109+AD121+AD127+AD133+AD145+AD153+AD166+AD191+AD203+AD209+AD215+AD221+AD227+AD241+AD247+AD259+AD265+AD279+AD285-AD290</f>
    </oc>
    <nc r="AD316"/>
  </rcc>
  <rcc rId="32480" sId="8">
    <oc r="AE316">
      <f>AE13+AE19+AE46+AE53+AE59+AE65+AE72+AE85+AE91+AE97+AE103+AE109+AE121+AE127+AE133+AE145+AE153+AE166+AE191+AE203+AE209+AE215+AE221+AE227+AE241+AE247+AE259+AE265+AE279+AE285-AE290</f>
    </oc>
    <nc r="AE316"/>
  </rcc>
  <rcc rId="32481" sId="8">
    <oc r="B317">
      <f>B14+B20+B47+B54+B60+B66+B73+B86+B92+B98+B104+B110+B122+B128+B134+B146+B154+B167+B192+B204+B210+B216+B222+B228+B242+B248+B260+B266+B280+B286-B291+B33+B26</f>
    </oc>
    <nc r="B317"/>
  </rcc>
  <rcc rId="32482" sId="8">
    <oc r="C317">
      <f>C14+C20+C47+C54+C60+C66+C73+C86+C92+C98+C104+C110+C122+C128+C134+C146+C154+C167+C192+C204+C210+C216+C222+C228+C242+C248+C260+C266+C280+C286-C291+C33+C26</f>
    </oc>
    <nc r="C317"/>
  </rcc>
  <rcc rId="32483" sId="8">
    <oc r="D317">
      <f>D14+D20+D47+D54+D60+D66+D73+D86+D92+D98+D104+D110+D122+D128+D134+D146+D154+D167+D192+D204+D210+D216+D222+D228+D242+D248+D260+D266+D280+D286-D291+D33+D26</f>
    </oc>
    <nc r="D317"/>
  </rcc>
  <rcc rId="32484" sId="8">
    <oc r="E317">
      <f>E14+E20+E47+E54+E60+E66+E73+E86+E92+E98+E104+E110+E122+E128+E134+E146+E154+E167+E192+E204+E210+E216+E222+E228+E242+E248+E260+E266+E280+E286-E291+E33+E26</f>
    </oc>
    <nc r="E317"/>
  </rcc>
  <rcc rId="32485" sId="8">
    <oc r="H317">
      <f>H14+H20+H47+H54+H60+H66+H73+H86+H92+H98+H104+H110+H122+H128+H134+H146+H154+H167+H192+H204+H210+H216+H222+H228+H242+H248+H260+H266+H280+H286-H291+H33+H26</f>
    </oc>
    <nc r="H317"/>
  </rcc>
  <rcc rId="32486" sId="8">
    <oc r="I317">
      <f>I14+I20+I47+I54+I60+I66+I73+I86+I92+I98+I104+I110+I122+I128+I134+I146+I154+I167+I192+I204+I210+I216+I222+I228+I242+I248+I260+I266+I280+I286-I291+I33+I26</f>
    </oc>
    <nc r="I317"/>
  </rcc>
  <rcc rId="32487" sId="8">
    <oc r="J317">
      <f>J14+J20+J47+J54+J60+J66+J73+J86+J92+J98+J104+J110+J122+J128+J134+J146+J154+J167+J192+J204+J210+J216+J222+J228+J242+J248+J260+J266+J280+J286-J291+J33+J26</f>
    </oc>
    <nc r="J317"/>
  </rcc>
  <rcc rId="32488" sId="8">
    <oc r="K317">
      <f>K14+K20+K47+K54+K60+K66+K73+K86+K92+K98+K104+K110+K122+K128+K134+K146+K154+K167+K192+K204+K210+K216+K222+K228+K242+K248+K260+K266+K280+K286-K291+K33+K26</f>
    </oc>
    <nc r="K317"/>
  </rcc>
  <rcc rId="32489" sId="8">
    <oc r="L317">
      <f>L14+L20+L47+L54+L60+L66+L73+L86+L92+L98+L104+L110+L122+L128+L134+L146+L154+L167+L192+L204+L210+L216+L222+L228+L242+L248+L260+L266+L280+L286-L291+L33+L26</f>
    </oc>
    <nc r="L317"/>
  </rcc>
  <rcc rId="32490" sId="8">
    <oc r="M317">
      <f>M14+M20+M47+M54+M60+M66+M73+M86+M92+M98+M104+M110+M122+M128+M134+M146+M154+M167+M192+M204+M210+M216+M222+M228+M242+M248+M260+M266+M280+M286-M291+M33+M26</f>
    </oc>
    <nc r="M317"/>
  </rcc>
  <rcc rId="32491" sId="8">
    <oc r="N317">
      <f>N14+N20+N47+N54+N60+N66+N73+N86+N92+N98+N104+N110+N122+N128+N134+N146+N154+N167+N192+N204+N210+N216+N222+N228+N242+N248+N260+N266+N280+N286-N291+N33+N26</f>
    </oc>
    <nc r="N317"/>
  </rcc>
  <rcc rId="32492" sId="8">
    <oc r="O317">
      <f>O14+O20+O47+O54+O60+O66+O73+O86+O92+O98+O104+O110+O122+O128+O134+O146+O154+O167+O192+O204+O210+O216+O222+O228+O242+O248+O260+O266+O280+O286-O291+O33+O26</f>
    </oc>
    <nc r="O317"/>
  </rcc>
  <rcc rId="32493" sId="8">
    <oc r="P317">
      <f>P14+P20+P47+P54+P60+P66+P73+P86+P92+P98+P104+P110+P122+P128+P134+P146+P154+P167+P192+P204+P210+P216+P222+P228+P242+P248+P260+P266+P280+P286-P291+P33+P26</f>
    </oc>
    <nc r="P317"/>
  </rcc>
  <rcc rId="32494" sId="8">
    <oc r="Q317">
      <f>Q14+Q20+Q47+Q54+Q60+Q66+Q73+Q86+Q92+Q98+Q104+Q110+Q122+Q128+Q134+Q146+Q154+Q167+Q192+Q204+Q210+Q216+Q222+Q228+Q242+Q248+Q260+Q266+Q280+Q286-Q291+Q33+Q26</f>
    </oc>
    <nc r="Q317"/>
  </rcc>
  <rcc rId="32495" sId="8">
    <oc r="R317">
      <f>R14+R20+R47+R54+R60+R66+R73+R86+R92+R98+R104+R110+R122+R128+R134+R146+R154+R167+R192+R204+R210+R216+R222+R228+R242+R248+R260+R266+R280+R286-R291+R33+R26</f>
    </oc>
    <nc r="R317"/>
  </rcc>
  <rcc rId="32496" sId="8">
    <oc r="S317">
      <f>S14+S20+S47+S54+S60+S66+S73+S86+S92+S98+S104+S110+S122+S128+S134+S146+S154+S167+S192+S204+S210+S216+S222+S228+S242+S248+S260+S266+S280+S286-S291+S33+S26</f>
    </oc>
    <nc r="S317"/>
  </rcc>
  <rcc rId="32497" sId="8">
    <oc r="T317">
      <f>T14+T20+T47+T54+T60+T66+T73+T86+T92+T98+T104+T110+T122+T128+T134+T146+T154+T167+T192+T204+T210+T216+T222+T228+T242+T248+T260+T266+T280+T286-T291+T33+T26</f>
    </oc>
    <nc r="T317"/>
  </rcc>
  <rcc rId="32498" sId="8">
    <oc r="U317">
      <f>U14+U20+U47+U54+U60+U66+U73+U86+U92+U98+U104+U110+U122+U128+U134+U146+U154+U167+U192+U204+U210+U216+U222+U228+U242+U248+U260+U266+U280+U286-U291+U33+U26</f>
    </oc>
    <nc r="U317"/>
  </rcc>
  <rcc rId="32499" sId="8">
    <oc r="V317">
      <f>V14+V20+V47+V54+V60+V66+V73+V86+V92+V98+V104+V110+V122+V128+V134+V146+V154+V167+V192+V204+V210+V216+V222+V228+V242+V248+V260+V266+V280+V286-V291+V33+V26</f>
    </oc>
    <nc r="V317"/>
  </rcc>
  <rcc rId="32500" sId="8">
    <oc r="W317">
      <f>W14+W20+W47+W54+W60+W66+W73+W86+W92+W98+W104+W110+W122+W128+W134+W146+W154+W167+W192+W204+W210+W216+W222+W228+W242+W248+W260+W266+W280+W286-W291+W33+W26</f>
    </oc>
    <nc r="W317"/>
  </rcc>
  <rcc rId="32501" sId="8">
    <oc r="X317">
      <f>X14+X20+X47+X54+X60+X66+X73+X86+X92+X98+X104+X110+X122+X128+X134+X146+X154+X167+X192+X204+X210+X216+X222+X228+X242+X248+X260+X266+X280+X286-X291+X33+X26</f>
    </oc>
    <nc r="X317"/>
  </rcc>
  <rcc rId="32502" sId="8">
    <oc r="Y317">
      <f>Y14+Y20+Y47+Y54+Y60+Y66+Y73+Y86+Y92+Y98+Y104+Y110+Y122+Y128+Y134+Y146+Y154+Y167+Y192+Y204+Y210+Y216+Y222+Y228+Y242+Y248+Y260+Y266+Y280+Y286-Y291+Y33+Y26</f>
    </oc>
    <nc r="Y317"/>
  </rcc>
  <rcc rId="32503" sId="8">
    <oc r="Z317">
      <f>Z14+Z20+Z47+Z54+Z60+Z66+Z73+Z86+Z92+Z98+Z104+Z110+Z122+Z128+Z134+Z146+Z154+Z167+Z192+Z204+Z210+Z216+Z222+Z228+Z242+Z248+Z260+Z266+Z280+Z286-Z291+Z33+Z26</f>
    </oc>
    <nc r="Z317"/>
  </rcc>
  <rcc rId="32504" sId="8">
    <oc r="AA317">
      <f>AA14+AA20+AA47+AA54+AA60+AA66+AA73+AA86+AA92+AA98+AA104+AA110+AA122+AA128+AA134+AA146+AA154+AA167+AA192+AA204+AA210+AA216+AA222+AA228+AA242+AA248+AA260+AA266+AA280+AA286-AA291+AA33+AA26</f>
    </oc>
    <nc r="AA317"/>
  </rcc>
  <rcc rId="32505" sId="8">
    <oc r="AB317">
      <f>AB14+AB20+AB47+AB54+AB60+AB66+AB73+AB86+AB92+AB98+AB104+AB110+AB122+AB128+AB134+AB146+AB154+AB167+AB192+AB204+AB210+AB216+AB222+AB228+AB242+AB248+AB260+AB266+AB280+AB286-AB291+AB33+AB26</f>
    </oc>
    <nc r="AB317"/>
  </rcc>
  <rcc rId="32506" sId="8">
    <oc r="AC317">
      <f>AC14+AC20+AC47+AC54+AC60+AC66+AC73+AC86+AC92+AC98+AC104+AC110+AC122+AC128+AC134+AC146+AC154+AC167+AC192+AC204+AC210+AC216+AC222+AC228+AC242+AC248+AC260+AC266+AC280+AC286-AC291+AC33+AC26</f>
    </oc>
    <nc r="AC317"/>
  </rcc>
  <rcc rId="32507" sId="8">
    <oc r="AD317">
      <f>AD14+AD20+AD47+AD54+AD60+AD66+AD73+AD86+AD92+AD98+AD104+AD110+AD122+AD128+AD134+AD146+AD154+AD167+AD192+AD204+AD210+AD216+AD222+AD228+AD242+AD248+AD260+AD266+AD280+AD286-AD291+AD33+AD26</f>
    </oc>
    <nc r="AD317"/>
  </rcc>
  <rcc rId="32508" sId="8">
    <oc r="AE317">
      <f>AE14+AE20+AE47+AE54+AE60+AE66+AE73+AE86+AE92+AE98+AE104+AE110+AE122+AE128+AE134+AE146+AE154+AE167+AE192+AE204+AE210+AE216+AE222+AE228+AE242+AE248+AE260+AE266+AE280+AE286-AE291+AE33+AE26</f>
    </oc>
    <nc r="AE317"/>
  </rcc>
  <rcc rId="32509" sId="8">
    <oc r="B318">
      <f>B15+B21+B48+B55+B61+B67+B74+B87+B93+B99+B105+B111+B123+B129+B135+B147+B155+B168+B193+B205+B211+B217+B223+B229+B243+B249+B261+B267+B281+B287-B292+B27+B34</f>
    </oc>
    <nc r="B318"/>
  </rcc>
  <rcc rId="32510" sId="8">
    <oc r="C318">
      <f>C15+C21+C48+C55+C61+C67+C74+C87+C93+C99+C105+C111+C123+C129+C135+C147+C155+C168+C193+C205+C211+C217+C223+C229+C243+C249+C261+C267+C281+C287-C292+C27+C34</f>
    </oc>
    <nc r="C318"/>
  </rcc>
  <rcc rId="32511" sId="8">
    <oc r="D318">
      <f>D15+D21+D48+D55+D61+D67+D74+D87+D93+D99+D105+D111+D123+D129+D135+D147+D155+D168+D193+D205+D211+D217+D223+D229+D243+D249+D261+D267+D281+D287-D292+D27+D34</f>
    </oc>
    <nc r="D318"/>
  </rcc>
  <rcc rId="32512" sId="8">
    <oc r="E318">
      <f>E15+E21+E48+E55+E61+E67+E74+E87+E93+E99+E105+E111+E123+E129+E135+E147+E155+E168+E193+E205+E211+E217+E223+E229+E243+E249+E261+E267+E281+E287-E292+E27+E34</f>
    </oc>
    <nc r="E318"/>
  </rcc>
  <rcc rId="32513" sId="8">
    <oc r="H318">
      <f>H15+H21+H48+H55+H61+H67+H74+H87+H93+H99+H105+H111+H123+H129+H135+H147+H155+H168+H193+H205+H211+H217+H223+H229+H243+H249+H261+H267+H281+H287-H292+H27+H34</f>
    </oc>
    <nc r="H318"/>
  </rcc>
  <rcc rId="32514" sId="8">
    <oc r="I318">
      <f>I15+I21+I48+I55+I61+I67+I74+I87+I93+I99+I105+I111+I123+I129+I135+I147+I155+I168+I193+I205+I211+I217+I223+I229+I243+I249+I261+I267+I281+I287-I292+I27+I34</f>
    </oc>
    <nc r="I318"/>
  </rcc>
  <rcc rId="32515" sId="8">
    <oc r="J318">
      <f>J15+J21+J48+J55+J61+J67+J74+J87+J93+J99+J105+J111+J123+J129+J135+J147+J155+J168+J193+J205+J211+J217+J223+J229+J243+J249+J261+J267+J281+J287-J292+J27+J34</f>
    </oc>
    <nc r="J318"/>
  </rcc>
  <rcc rId="32516" sId="8">
    <oc r="K318">
      <f>K15+K21+K48+K55+K61+K67+K74+K87+K93+K99+K105+K111+K123+K129+K135+K147+K155+K168+K193+K205+K211+K217+K223+K229+K243+K249+K261+K267+K281+K287-K292+K27+K34</f>
    </oc>
    <nc r="K318"/>
  </rcc>
  <rcc rId="32517" sId="8">
    <oc r="L318">
      <f>L15+L21+L48+L55+L61+L67+L74+L87+L93+L99+L105+L111+L123+L129+L135+L147+L155+L168+L193+L205+L211+L217+L223+L229+L243+L249+L261+L267+L281+L287-L292+L27+L34</f>
    </oc>
    <nc r="L318"/>
  </rcc>
  <rcc rId="32518" sId="8">
    <oc r="M318">
      <f>M15+M21+M48+M55+M61+M67+M74+M87+M93+M99+M105+M111+M123+M129+M135+M147+M155+M168+M193+M205+M211+M217+M223+M229+M243+M249+M261+M267+M281+M287-M292+M27+M34</f>
    </oc>
    <nc r="M318"/>
  </rcc>
  <rcc rId="32519" sId="8">
    <oc r="N318">
      <f>N15+N21+N48+N55+N61+N67+N74+N87+N93+N99+N105+N111+N123+N129+N135+N147+N155+N168+N193+N205+N211+N217+N223+N229+N243+N249+N261+N267+N281+N287-N292+N27+N34</f>
    </oc>
    <nc r="N318"/>
  </rcc>
  <rcc rId="32520" sId="8">
    <oc r="O318">
      <f>O15+O21+O48+O55+O61+O67+O74+O87+O93+O99+O105+O111+O123+O129+O135+O147+O155+O168+O193+O205+O211+O217+O223+O229+O243+O249+O261+O267+O281+O287-O292+O27+O34</f>
    </oc>
    <nc r="O318"/>
  </rcc>
  <rcc rId="32521" sId="8">
    <oc r="P318">
      <f>P15+P21+P48+P55+P61+P67+P74+P87+P93+P99+P105+P111+P123+P129+P135+P147+P155+P168+P193+P205+P211+P217+P223+P229+P243+P249+P261+P267+P281+P287-P292+P27+P34</f>
    </oc>
    <nc r="P318"/>
  </rcc>
  <rcc rId="32522" sId="8">
    <oc r="Q318">
      <f>Q15+Q21+Q48+Q55+Q61+Q67+Q74+Q87+Q93+Q99+Q105+Q111+Q123+Q129+Q135+Q147+Q155+Q168+Q193+Q205+Q211+Q217+Q223+Q229+Q243+Q249+Q261+Q267+Q281+Q287-Q292+Q27+Q34</f>
    </oc>
    <nc r="Q318"/>
  </rcc>
  <rcc rId="32523" sId="8">
    <oc r="R318">
      <f>R15+R21+R48+R55+R61+R67+R74+R87+R93+R99+R105+R111+R123+R129+R135+R147+R155+R168+R193+R205+R211+R217+R223+R229+R243+R249+R261+R267+R281+R287-R292+R27+R34</f>
    </oc>
    <nc r="R318"/>
  </rcc>
  <rcc rId="32524" sId="8">
    <oc r="S318">
      <f>S15+S21+S48+S55+S61+S67+S74+S87+S93+S99+S105+S111+S123+S129+S135+S147+S155+S168+S193+S205+S211+S217+S223+S229+S243+S249+S261+S267+S281+S287-S292+S27+S34</f>
    </oc>
    <nc r="S318"/>
  </rcc>
  <rcc rId="32525" sId="8">
    <oc r="T318">
      <f>T15+T21+T48+T55+T61+T67+T74+T87+T93+T99+T105+T111+T123+T129+T135+T147+T155+T168+T193+T205+T211+T217+T223+T229+T243+T249+T261+T267+T281+T287-T292+T27+T34</f>
    </oc>
    <nc r="T318"/>
  </rcc>
  <rcc rId="32526" sId="8">
    <oc r="U318">
      <f>U15+U21+U48+U55+U61+U67+U74+U87+U93+U99+U105+U111+U123+U129+U135+U147+U155+U168+U193+U205+U211+U217+U223+U229+U243+U249+U261+U267+U281+U287-U292+U27+U34</f>
    </oc>
    <nc r="U318"/>
  </rcc>
  <rcc rId="32527" sId="8">
    <oc r="V318">
      <f>V15+V21+V48+V55+V61+V67+V74+V87+V93+V99+V105+V111+V123+V129+V135+V147+V155+V168+V193+V205+V211+V217+V223+V229+V243+V249+V261+V267+V281+V287-V292+V27+V34</f>
    </oc>
    <nc r="V318"/>
  </rcc>
  <rcc rId="32528" sId="8">
    <oc r="W318">
      <f>W15+W21+W48+W55+W61+W67+W74+W87+W93+W99+W105+W111+W123+W129+W135+W147+W155+W168+W193+W205+W211+W217+W223+W229+W243+W249+W261+W267+W281+W287-W292+W27+W34</f>
    </oc>
    <nc r="W318"/>
  </rcc>
  <rcc rId="32529" sId="8">
    <oc r="X318">
      <f>X15+X21+X48+X55+X61+X67+X74+X87+X93+X99+X105+X111+X123+X129+X135+X147+X155+X168+X193+X205+X211+X217+X223+X229+X243+X249+X261+X267+X281+X287-X292+X27+X34</f>
    </oc>
    <nc r="X318"/>
  </rcc>
  <rcc rId="32530" sId="8">
    <oc r="Y318">
      <f>Y15+Y21+Y48+Y55+Y61+Y67+Y74+Y87+Y93+Y99+Y105+Y111+Y123+Y129+Y135+Y147+Y155+Y168+Y193+Y205+Y211+Y217+Y223+Y229+Y243+Y249+Y261+Y267+Y281+Y287-Y292+Y27+Y34</f>
    </oc>
    <nc r="Y318"/>
  </rcc>
  <rcc rId="32531" sId="8">
    <oc r="Z318">
      <f>Z15+Z21+Z48+Z55+Z61+Z67+Z74+Z87+Z93+Z99+Z105+Z111+Z123+Z129+Z135+Z147+Z155+Z168+Z193+Z205+Z211+Z217+Z223+Z229+Z243+Z249+Z261+Z267+Z281+Z287-Z292+Z27+Z34</f>
    </oc>
    <nc r="Z318"/>
  </rcc>
  <rcc rId="32532" sId="8">
    <oc r="AA318">
      <f>AA15+AA21+AA48+AA55+AA61+AA67+AA74+AA87+AA93+AA99+AA105+AA111+AA123+AA129+AA135+AA147+AA155+AA168+AA193+AA205+AA211+AA217+AA223+AA229+AA243+AA249+AA261+AA267+AA281+AA287-AA292+AA27+AA34</f>
    </oc>
    <nc r="AA318"/>
  </rcc>
  <rcc rId="32533" sId="8">
    <oc r="AB318">
      <f>AB15+AB21+AB48+AB55+AB61+AB67+AB74+AB87+AB93+AB99+AB105+AB111+AB123+AB129+AB135+AB147+AB155+AB168+AB193+AB205+AB211+AB217+AB223+AB229+AB243+AB249+AB261+AB267+AB281+AB287-AB292+AB27+AB34</f>
    </oc>
    <nc r="AB318"/>
  </rcc>
  <rcc rId="32534" sId="8">
    <oc r="AC318">
      <f>AC15+AC21+AC48+AC55+AC61+AC67+AC74+AC87+AC93+AC99+AC105+AC111+AC123+AC129+AC135+AC147+AC155+AC168+AC193+AC205+AC211+AC217+AC223+AC229+AC243+AC249+AC261+AC267+AC281+AC287-AC292+AC27+AC34</f>
    </oc>
    <nc r="AC318"/>
  </rcc>
  <rcc rId="32535" sId="8">
    <oc r="AD318">
      <f>AD15+AD21+AD48+AD55+AD61+AD67+AD74+AD87+AD93+AD99+AD105+AD111+AD123+AD129+AD135+AD147+AD155+AD168+AD193+AD205+AD211+AD217+AD223+AD229+AD243+AD249+AD261+AD267+AD281+AD287-AD292+AD27+AD34</f>
    </oc>
    <nc r="AD318"/>
  </rcc>
  <rcc rId="32536" sId="8">
    <oc r="AE318">
      <f>AE15+AE21+AE48+AE55+AE61+AE67+AE74+AE87+AE93+AE99+AE105+AE111+AE123+AE129+AE135+AE147+AE155+AE168+AE193+AE205+AE211+AE217+AE223+AE229+AE243+AE249+AE261+AE267+AE281+AE287-AE292+AE27+AE34</f>
    </oc>
    <nc r="AE318"/>
  </rcc>
  <rcc rId="32537" sId="8">
    <oc r="B319">
      <f>B16+B22+B56+B62+B75+B88+B94+B100+B106+B112+B124+B130+B136+B148+B156+B169+B194+B206+B212+B218+B224+B230+B244+B250+B262+B268+B282+B288-B293+B28+B35+B69+B163</f>
    </oc>
    <nc r="B319"/>
  </rcc>
  <rcc rId="32538" sId="8">
    <oc r="C319">
      <f>C16+C22+C56+C62+C75+C88+C94+C100+C106+C112+C124+C130+C136+C148+C156+C169+C194+C206+C212+C218+C224+C230+C244+C250+C262+C268+C282+C288-C293+C28+C35+C69+C163</f>
    </oc>
    <nc r="C319"/>
  </rcc>
  <rcc rId="32539" sId="8">
    <oc r="D319">
      <f>D16+D22+D56+D62+D75+D88+D94+D100+D106+D112+D124+D130+D136+D148+D156+D169+D194+D206+D212+D218+D224+D230+D244+D250+D262+D268+D282+D288-D293+D28+D35+D69+D163</f>
    </oc>
    <nc r="D319"/>
  </rcc>
  <rcc rId="32540" sId="8">
    <oc r="E319">
      <f>E16+E22+E56+E62+E75+E88+E94+E100+E106+E112+E124+E130+E136+E148+E156+E169+E194+E206+E212+E218+E224+E230+E244+E250+E262+E268+E282+E288-E293+E28+E35+E69+E163</f>
    </oc>
    <nc r="E319"/>
  </rcc>
  <rcc rId="32541" sId="8">
    <oc r="H319">
      <f>H16+H22+H56+H62+H75+H88+H94+H100+H106+H112+H124+H130+H136+H148+H156+H169+H194+H206+H212+H218+H224+H230+H244+H250+H262+H268+H282+H288-H293+H28+H35+H69+H163</f>
    </oc>
    <nc r="H319"/>
  </rcc>
  <rcc rId="32542" sId="8">
    <oc r="I319">
      <f>I16+I22+I56+I62+I75+I88+I94+I100+I106+I112+I124+I130+I136+I148+I156+I169+I194+I206+I212+I218+I224+I230+I244+I250+I262+I268+I282+I288-I293+I28+I35+I69+I163</f>
    </oc>
    <nc r="I319"/>
  </rcc>
  <rcc rId="32543" sId="8">
    <oc r="J319">
      <f>J16+J22+J56+J62+J75+J88+J94+J100+J106+J112+J124+J130+J136+J148+J156+J169+J194+J206+J212+J218+J224+J230+J244+J250+J262+J268+J282+J288-J293+J28+J35+J69+J163</f>
    </oc>
    <nc r="J319"/>
  </rcc>
  <rcc rId="32544" sId="8">
    <oc r="K319">
      <f>K16+K22+K56+K62+K75+K88+K94+K100+K106+K112+K124+K130+K136+K148+K156+K169+K194+K206+K212+K218+K224+K230+K244+K250+K262+K268+K282+K288-K293+K28+K35+K69+K163</f>
    </oc>
    <nc r="K319"/>
  </rcc>
  <rcc rId="32545" sId="8">
    <oc r="L319">
      <f>L16+L22+L56+L62+L75+L88+L94+L100+L106+L112+L124+L130+L136+L148+L156+L169+L194+L206+L212+L218+L224+L230+L244+L250+L262+L268+L282+L288-L293+L28+L35+L69+L163</f>
    </oc>
    <nc r="L319"/>
  </rcc>
  <rcc rId="32546" sId="8">
    <oc r="M319">
      <f>M16+M22+M56+M62+M75+M88+M94+M100+M106+M112+M124+M130+M136+M148+M156+M169+M194+M206+M212+M218+M224+M230+M244+M250+M262+M268+M282+M288-M293+M28+M35+M69+M163</f>
    </oc>
    <nc r="M319"/>
  </rcc>
  <rcc rId="32547" sId="8">
    <oc r="N319">
      <f>N16+N22+N56+N62+N75+N88+N94+N100+N106+N112+N124+N130+N136+N148+N156+N169+N194+N206+N212+N218+N224+N230+N244+N250+N262+N268+N282+N288-N293+N28+N35+N69+N163</f>
    </oc>
    <nc r="N319"/>
  </rcc>
  <rcc rId="32548" sId="8">
    <oc r="O319">
      <f>O16+O22+O56+O62+O75+O88+O94+O100+O106+O112+O124+O130+O136+O148+O156+O169+O194+O206+O212+O218+O224+O230+O244+O250+O262+O268+O282+O288-O293+O28+O35+O69+O163</f>
    </oc>
    <nc r="O319"/>
  </rcc>
  <rcc rId="32549" sId="8">
    <oc r="P319">
      <f>P16+P22+P56+P62+P75+P88+P94+P100+P106+P112+P124+P130+P136+P148+P156+P169+P194+P206+P212+P218+P224+P230+P244+P250+P262+P268+P282+P288-P293+P28+P35+P69+P163</f>
    </oc>
    <nc r="P319"/>
  </rcc>
  <rcc rId="32550" sId="8">
    <oc r="Q319">
      <f>Q16+Q22+Q56+Q62+Q75+Q88+Q94+Q100+Q106+Q112+Q124+Q130+Q136+Q148+Q156+Q169+Q194+Q206+Q212+Q218+Q224+Q230+Q244+Q250+Q262+Q268+Q282+Q288-Q293+Q28+Q35+Q69+Q163</f>
    </oc>
    <nc r="Q319"/>
  </rcc>
  <rcc rId="32551" sId="8">
    <oc r="R319">
      <f>R16+R22+R56+R62+R75+R88+R94+R100+R106+R112+R124+R130+R136+R148+R156+R169+R194+R206+R212+R218+R224+R230+R244+R250+R262+R268+R282+R288-R293+R28+R35+R69+R163</f>
    </oc>
    <nc r="R319"/>
  </rcc>
  <rcc rId="32552" sId="8">
    <oc r="S319">
      <f>S16+S22+S56+S62+S75+S88+S94+S100+S106+S112+S124+S130+S136+S148+S156+S169+S194+S206+S212+S218+S224+S230+S244+S250+S262+S268+S282+S288-S293+S28+S35+S69+S163</f>
    </oc>
    <nc r="S319"/>
  </rcc>
  <rcc rId="32553" sId="8">
    <oc r="T319">
      <f>T16+T22+T56+T62+T75+T88+T94+T100+T106+T112+T124+T130+T136+T148+T156+T169+T194+T206+T212+T218+T224+T230+T244+T250+T262+T268+T282+T288-T293+T28+T35+T69+T163</f>
    </oc>
    <nc r="T319"/>
  </rcc>
  <rcc rId="32554" sId="8">
    <oc r="U319">
      <f>U16+U22+U56+U62+U75+U88+U94+U100+U106+U112+U124+U130+U136+U148+U156+U169+U194+U206+U212+U218+U224+U230+U244+U250+U262+U268+U282+U288-U293+U28+U35+U69+U163</f>
    </oc>
    <nc r="U319"/>
  </rcc>
  <rcc rId="32555" sId="8">
    <oc r="V319">
      <f>V16+V22+V56+V62+V75+V88+V94+V100+V106+V112+V124+V130+V136+V148+V156+V169+V194+V206+V212+V218+V224+V230+V244+V250+V262+V268+V282+V288-V293+V28+V35+V69+V163</f>
    </oc>
    <nc r="V319"/>
  </rcc>
  <rcc rId="32556" sId="8">
    <oc r="W319">
      <f>W16+W22+W56+W62+W75+W88+W94+W100+W106+W112+W124+W130+W136+W148+W156+W169+W194+W206+W212+W218+W224+W230+W244+W250+W262+W268+W282+W288-W293+W28+W35+W69+W163</f>
    </oc>
    <nc r="W319"/>
  </rcc>
  <rcc rId="32557" sId="8">
    <oc r="X319">
      <f>X16+X22+X56+X62+X75+X88+X94+X100+X106+X112+X124+X130+X136+X148+X156+X169+X194+X206+X212+X218+X224+X230+X244+X250+X262+X268+X282+X288-X293+X28+X35+X69+X163</f>
    </oc>
    <nc r="X319"/>
  </rcc>
  <rcc rId="32558" sId="8">
    <oc r="Y319">
      <f>Y16+Y22+Y56+Y62+Y75+Y88+Y94+Y100+Y106+Y112+Y124+Y130+Y136+Y148+Y156+Y169+Y194+Y206+Y212+Y218+Y224+Y230+Y244+Y250+Y262+Y268+Y282+Y288-Y293+Y28+Y35+Y69+Y163</f>
    </oc>
    <nc r="Y319"/>
  </rcc>
  <rcc rId="32559" sId="8">
    <oc r="Z319">
      <f>Z16+Z22+Z56+Z62+Z75+Z88+Z94+Z100+Z106+Z112+Z124+Z130+Z136+Z148+Z156+Z169+Z194+Z206+Z212+Z218+Z224+Z230+Z244+Z250+Z262+Z268+Z282+Z288-Z293+Z28+Z35+Z69+Z163</f>
    </oc>
    <nc r="Z319"/>
  </rcc>
  <rcc rId="32560" sId="8">
    <oc r="AA319">
      <f>AA16+AA22+AA56+AA62+AA75+AA88+AA94+AA100+AA106+AA112+AA124+AA130+AA136+AA148+AA156+AA169+AA194+AA206+AA212+AA218+AA224+AA230+AA244+AA250+AA262+AA268+AA282+AA288-AA293+AA28+AA35+AA69+AA163</f>
    </oc>
    <nc r="AA319"/>
  </rcc>
  <rcc rId="32561" sId="8">
    <oc r="AB319">
      <f>AB16+AB22+AB56+AB62+AB75+AB88+AB94+AB100+AB106+AB112+AB124+AB130+AB136+AB148+AB156+AB169+AB194+AB206+AB212+AB218+AB224+AB230+AB244+AB250+AB262+AB268+AB282+AB288-AB293+AB28+AB35+AB69+AB163</f>
    </oc>
    <nc r="AB319"/>
  </rcc>
  <rcc rId="32562" sId="8">
    <oc r="AC319">
      <f>AC16+AC22+AC56+AC62+AC75+AC88+AC94+AC100+AC106+AC112+AC124+AC130+AC136+AC148+AC156+AC169+AC194+AC206+AC212+AC218+AC224+AC230+AC244+AC250+AC262+AC268+AC282+AC288-AC293+AC28+AC35+AC69+AC163</f>
    </oc>
    <nc r="AC319"/>
  </rcc>
  <rcc rId="32563" sId="8">
    <oc r="AD319">
      <f>AD16+AD22+AD56+AD62+AD75+AD88+AD94+AD100+AD106+AD112+AD124+AD130+AD136+AD148+AD156+AD169+AD194+AD206+AD212+AD218+AD224+AD230+AD244+AD250+AD262+AD268+AD282+AD288-AD293+AD28+AD35+AD69+AD163</f>
    </oc>
    <nc r="AD319"/>
  </rcc>
  <rcc rId="32564" sId="8">
    <oc r="AE319">
      <f>AE16+AE22+AE56+AE62+AE75+AE88+AE94+AE100+AE106+AE112+AE124+AE130+AE136+AE148+AE156+AE169+AE194+AE206+AE212+AE218+AE224+AE230+AE244+AE250+AE262+AE268+AE282+AE288-AE293+AE28+AE35+AE69+AE163</f>
    </oc>
    <nc r="AE319"/>
  </rcc>
  <rcc rId="32565" sId="8">
    <oc r="AH10" t="inlineStr">
      <is>
        <t>план</t>
      </is>
    </oc>
    <nc r="AH10"/>
  </rcc>
  <rcc rId="32566" sId="8">
    <oc r="AI10" t="inlineStr">
      <is>
        <t>мес</t>
      </is>
    </oc>
    <nc r="AI10"/>
  </rcc>
  <rcc rId="32567" sId="8">
    <oc r="AJ10" t="inlineStr">
      <is>
        <t>кас</t>
      </is>
    </oc>
    <nc r="AJ10"/>
  </rcc>
  <rcc rId="32568" sId="8">
    <oc r="AK10" t="inlineStr">
      <is>
        <t xml:space="preserve">отклонение </t>
      </is>
    </oc>
    <nc r="AK10"/>
  </rcc>
  <rcc rId="32569" sId="8">
    <oc r="AH11">
      <f>H11+J11+L11+N11+P11+R11+T11+V11+X11+Z11+AB11+AD11</f>
    </oc>
    <nc r="AH11"/>
  </rcc>
  <rcc rId="32570" sId="8">
    <oc r="AI11">
      <f>AH11</f>
    </oc>
    <nc r="AI11"/>
  </rcc>
  <rcc rId="32571" sId="8">
    <oc r="AJ11">
      <f>I11+K11+M11+O11+Q11+S11+U11+W11+Y11+AA11+AC11+AE11</f>
    </oc>
    <nc r="AJ11"/>
  </rcc>
  <rcc rId="32572" sId="8">
    <oc r="AH12">
      <f>H12+J12+L12+N12+P12+R12+T12+V12+X12+Z12+AB12+AD12</f>
    </oc>
    <nc r="AH12"/>
  </rcc>
  <rcc rId="32573" sId="8">
    <oc r="AI12">
      <f>AH12</f>
    </oc>
    <nc r="AI12"/>
  </rcc>
  <rcc rId="32574" sId="8">
    <oc r="AJ12">
      <f>I12+K12+M12+O12+Q12+S12+U12+W12+Y12+AA12+AC12+AE12</f>
    </oc>
    <nc r="AJ12"/>
  </rcc>
  <rcc rId="32575" sId="8">
    <oc r="AK12">
      <f>B12-E12</f>
    </oc>
    <nc r="AK12"/>
  </rcc>
  <rcc rId="32576" sId="8">
    <oc r="AH13">
      <f>H13+J13+L13+N13+P13+R13+T13+V13+X13+Z13+AB13+AD13</f>
    </oc>
    <nc r="AH13"/>
  </rcc>
  <rcc rId="32577" sId="8">
    <oc r="AI13">
      <f>AH13</f>
    </oc>
    <nc r="AI13"/>
  </rcc>
  <rcc rId="32578" sId="8">
    <oc r="AJ13">
      <f>I13+K13+M13+O13+Q13+S13+U13+W13+Y13+AA13+AC13+AE13</f>
    </oc>
    <nc r="AJ13"/>
  </rcc>
  <rcc rId="32579" sId="8">
    <oc r="AK13">
      <f>B13-E13</f>
    </oc>
    <nc r="AK13"/>
  </rcc>
  <rcc rId="32580" sId="8">
    <oc r="AH14">
      <f>H14+J14+L14+N14+P14+R14+T14+V14+X14+Z14+AB14+AD14</f>
    </oc>
    <nc r="AH14"/>
  </rcc>
  <rcc rId="32581" sId="8">
    <oc r="AI14">
      <f>AH14</f>
    </oc>
    <nc r="AI14"/>
  </rcc>
  <rcc rId="32582" sId="8">
    <oc r="AJ14">
      <f>I14+K14+M14+O14+Q14+S14+U14+W14+Y14+AA14+AC14+AE14</f>
    </oc>
    <nc r="AJ14"/>
  </rcc>
  <rcc rId="32583" sId="8">
    <oc r="AK14">
      <f>B14-E14</f>
    </oc>
    <nc r="AK14"/>
  </rcc>
  <rcc rId="32584" sId="8">
    <oc r="AH15">
      <f>H15+J15+L15+N15+P15+R15+T15+V15+X15+Z15+AB15+AD15</f>
    </oc>
    <nc r="AH15"/>
  </rcc>
  <rcc rId="32585" sId="8">
    <oc r="AI15">
      <f>AH15</f>
    </oc>
    <nc r="AI15"/>
  </rcc>
  <rcc rId="32586" sId="8">
    <oc r="AJ15">
      <f>I15+K15+M15+O15+Q15+S15+U15+W15+Y15+AA15+AC15+AE15</f>
    </oc>
    <nc r="AJ15"/>
  </rcc>
  <rcc rId="32587" sId="8">
    <oc r="AK15">
      <f>B15-E15</f>
    </oc>
    <nc r="AK15"/>
  </rcc>
  <rcc rId="32588" sId="8">
    <oc r="AH16">
      <f>H16+J16+L16+N16+P16+R16+T16+V16+X16+Z16+AB16+AD16</f>
    </oc>
    <nc r="AH16"/>
  </rcc>
  <rcc rId="32589" sId="8">
    <oc r="AI16">
      <f>AH16</f>
    </oc>
    <nc r="AI16"/>
  </rcc>
  <rcc rId="32590" sId="8">
    <oc r="AJ16">
      <f>I16+K16+M16+O16+Q16+S16+U16+W16+Y16+AA16+AC16+AE16</f>
    </oc>
    <nc r="AJ16"/>
  </rcc>
  <rcc rId="32591" sId="8">
    <oc r="AK16">
      <f>B16-E16</f>
    </oc>
    <nc r="AK16"/>
  </rcc>
  <rcc rId="32592" sId="8">
    <oc r="AH17">
      <f>H17+J17+L17+N17+P17+R17+T17+V17+X17+Z17+AB17+AD17</f>
    </oc>
    <nc r="AH17"/>
  </rcc>
  <rcc rId="32593" sId="8">
    <oc r="AI17">
      <f>AH17</f>
    </oc>
    <nc r="AI17"/>
  </rcc>
  <rcc rId="32594" sId="8">
    <oc r="AJ17">
      <f>I17+K17+M17+O17+Q17+S17+U17+W17+Y17+AA17+AC17+AE17</f>
    </oc>
    <nc r="AJ17"/>
  </rcc>
  <rcc rId="32595" sId="8">
    <oc r="AK17">
      <f>B17-E17</f>
    </oc>
    <nc r="AK17"/>
  </rcc>
  <rcc rId="32596" sId="8">
    <oc r="AH18">
      <f>H18+J18+L18+N18+P18+R18+T18+V18+X18+Z18+AB18+AD18</f>
    </oc>
    <nc r="AH18"/>
  </rcc>
  <rcc rId="32597" sId="8">
    <oc r="AI18">
      <f>AH18</f>
    </oc>
    <nc r="AI18"/>
  </rcc>
  <rcc rId="32598" sId="8">
    <oc r="AJ18">
      <f>I18+K18+M18+O18+Q18+S18+U18+W18+Y18+AA18+AC18+AE18</f>
    </oc>
    <nc r="AJ18"/>
  </rcc>
  <rcc rId="32599" sId="8">
    <oc r="AK18">
      <f>B18-E18</f>
    </oc>
    <nc r="AK18"/>
  </rcc>
  <rcc rId="32600" sId="8">
    <oc r="AH19">
      <f>H19+J19+L19+N19+P19+R19+T19+V19+X19+Z19+AB19+AD19</f>
    </oc>
    <nc r="AH19"/>
  </rcc>
  <rcc rId="32601" sId="8">
    <oc r="AI19">
      <f>AH19</f>
    </oc>
    <nc r="AI19"/>
  </rcc>
  <rcc rId="32602" sId="8">
    <oc r="AJ19">
      <f>I19+K19+M19+O19+Q19+S19+U19+W19+Y19+AA19+AC19+AE19</f>
    </oc>
    <nc r="AJ19"/>
  </rcc>
  <rcc rId="32603" sId="8">
    <oc r="AK19">
      <f>B19-E19</f>
    </oc>
    <nc r="AK19"/>
  </rcc>
  <rcc rId="32604" sId="8">
    <oc r="AH20">
      <f>H20+J20+L20+N20+P20+R20+T20+V20+X20+Z20+AB20+AD20</f>
    </oc>
    <nc r="AH20"/>
  </rcc>
  <rcc rId="32605" sId="8">
    <oc r="AI20">
      <f>AH20</f>
    </oc>
    <nc r="AI20"/>
  </rcc>
  <rcc rId="32606" sId="8">
    <oc r="AJ20">
      <f>I20+K20+M20+O20+Q20+S20+U20+W20+Y20+AA20+AC20+AE20</f>
    </oc>
    <nc r="AJ20"/>
  </rcc>
  <rcc rId="32607" sId="8">
    <oc r="AK20">
      <f>B20-E20</f>
    </oc>
    <nc r="AK20"/>
  </rcc>
  <rcc rId="32608" sId="8">
    <oc r="AH21">
      <f>H21+J21+L21+N21+P21+R21+T21+V21+X21+Z21+AB21+AD21</f>
    </oc>
    <nc r="AH21"/>
  </rcc>
  <rcc rId="32609" sId="8">
    <oc r="AI21">
      <f>AH21</f>
    </oc>
    <nc r="AI21"/>
  </rcc>
  <rcc rId="32610" sId="8">
    <oc r="AJ21">
      <f>I21+K21+M21+O21+Q21+S21+U21+W21+Y21+AA21+AC21+AE21</f>
    </oc>
    <nc r="AJ21"/>
  </rcc>
  <rcc rId="32611" sId="8">
    <oc r="AK21">
      <f>B21-E21</f>
    </oc>
    <nc r="AK21"/>
  </rcc>
  <rcc rId="32612" sId="8">
    <oc r="AH22">
      <f>H22+J22+L22+N22+P22+R22+T22+V22+X22+Z22+AB22+AD22</f>
    </oc>
    <nc r="AH22"/>
  </rcc>
  <rcc rId="32613" sId="8">
    <oc r="AI22">
      <f>AH22</f>
    </oc>
    <nc r="AI22"/>
  </rcc>
  <rcc rId="32614" sId="8">
    <oc r="AJ22">
      <f>I22+K22+M22+O22+Q22+S22+U22+W22+Y22+AA22+AC22+AE22</f>
    </oc>
    <nc r="AJ22"/>
  </rcc>
  <rcc rId="32615" sId="8">
    <oc r="AK22">
      <f>B22-E22</f>
    </oc>
    <nc r="AK22"/>
  </rcc>
  <rcc rId="32616" sId="8">
    <oc r="AH23">
      <f>H23+J23+L23+N23+P23+R23+T23+V23+X23+Z23+AB23+AD23</f>
    </oc>
    <nc r="AH23"/>
  </rcc>
  <rcc rId="32617" sId="8">
    <oc r="AI23">
      <f>AH23</f>
    </oc>
    <nc r="AI23"/>
  </rcc>
  <rcc rId="32618" sId="8">
    <oc r="AJ23">
      <f>I23+K23+M23+O23+Q23+S23+U23+W23+Y23+AA23+AC23+AE23</f>
    </oc>
    <nc r="AJ23"/>
  </rcc>
  <rcc rId="32619" sId="8">
    <oc r="AK23">
      <f>B23-E23</f>
    </oc>
    <nc r="AK23"/>
  </rcc>
  <rcc rId="32620" sId="8">
    <oc r="AH24">
      <f>H24+J24+L24+N24+P24+R24+T24+V24+X24+Z24+AB24+AD24</f>
    </oc>
    <nc r="AH24"/>
  </rcc>
  <rcc rId="32621" sId="8">
    <oc r="AI24">
      <f>AH24</f>
    </oc>
    <nc r="AI24"/>
  </rcc>
  <rcc rId="32622" sId="8">
    <oc r="AJ24">
      <f>I24+K24+M24+O24+Q24+S24+U24+W24+Y24+AA24+AC24+AE24</f>
    </oc>
    <nc r="AJ24"/>
  </rcc>
  <rcc rId="32623" sId="8">
    <oc r="AK24">
      <f>B24-E24</f>
    </oc>
    <nc r="AK24"/>
  </rcc>
  <rcc rId="32624" sId="8">
    <oc r="AH25">
      <f>H25+J25+L25+N25+P25+R25+T25+V25+X25+Z25+AB25+AD25</f>
    </oc>
    <nc r="AH25"/>
  </rcc>
  <rcc rId="32625" sId="8">
    <oc r="AI25">
      <f>AH25</f>
    </oc>
    <nc r="AI25"/>
  </rcc>
  <rcc rId="32626" sId="8">
    <oc r="AJ25">
      <f>I25+K25+M25+O25+Q25+S25+U25+W25+Y25+AA25+AC25+AE25</f>
    </oc>
    <nc r="AJ25"/>
  </rcc>
  <rcc rId="32627" sId="8">
    <oc r="AK25">
      <f>B25-E25</f>
    </oc>
    <nc r="AK25"/>
  </rcc>
  <rcc rId="32628" sId="8">
    <oc r="AH26">
      <f>H26+J26+L26+N26+P26+R26+T26+V26+X26+Z26+AB26+AD26</f>
    </oc>
    <nc r="AH26"/>
  </rcc>
  <rcc rId="32629" sId="8">
    <oc r="AI26">
      <f>AH26</f>
    </oc>
    <nc r="AI26"/>
  </rcc>
  <rcc rId="32630" sId="8">
    <oc r="AJ26">
      <f>I26+K26+M26+O26+Q26+S26+U26+W26+Y26+AA26+AC26+AE26</f>
    </oc>
    <nc r="AJ26"/>
  </rcc>
  <rcc rId="32631" sId="8">
    <oc r="AK26">
      <f>B26-E26</f>
    </oc>
    <nc r="AK26"/>
  </rcc>
  <rcc rId="32632" sId="8">
    <oc r="AH27">
      <f>H27+J27+L27+N27+P27+R27+T27+V27+X27+Z27+AB27+AD27</f>
    </oc>
    <nc r="AH27"/>
  </rcc>
  <rcc rId="32633" sId="8">
    <oc r="AI27">
      <f>AH27</f>
    </oc>
    <nc r="AI27"/>
  </rcc>
  <rcc rId="32634" sId="8">
    <oc r="AJ27">
      <f>I27+K27+M27+O27+Q27+S27+U27+W27+Y27+AA27+AC27+AE27</f>
    </oc>
    <nc r="AJ27"/>
  </rcc>
  <rcc rId="32635" sId="8">
    <oc r="AK27">
      <f>B27-E27</f>
    </oc>
    <nc r="AK27"/>
  </rcc>
  <rcc rId="32636" sId="8">
    <oc r="AH28">
      <f>H28+J28+L28+N28+P28+R28+T28+V28+X28+Z28+AB28+AD28</f>
    </oc>
    <nc r="AH28"/>
  </rcc>
  <rcc rId="32637" sId="8">
    <oc r="AI28">
      <f>AH28</f>
    </oc>
    <nc r="AI28"/>
  </rcc>
  <rcc rId="32638" sId="8">
    <oc r="AJ28">
      <f>I28+K28+M28+O28+Q28+S28+U28+W28+Y28+AA28+AC28+AE28</f>
    </oc>
    <nc r="AJ28"/>
  </rcc>
  <rcc rId="32639" sId="8">
    <oc r="AK28">
      <f>B28-E28</f>
    </oc>
    <nc r="AK28"/>
  </rcc>
  <rcc rId="32640" sId="8">
    <oc r="AK29">
      <f>B29-E29</f>
    </oc>
    <nc r="AK29"/>
  </rcc>
  <rcc rId="32641" sId="8">
    <oc r="AH30">
      <f>H30+J30+L30+N30+P30+R30+T30+V30+X30+Z30+AB30+AD30</f>
    </oc>
    <nc r="AH30"/>
  </rcc>
  <rcc rId="32642" sId="8">
    <oc r="AI30">
      <f>AH30</f>
    </oc>
    <nc r="AI30"/>
  </rcc>
  <rcc rId="32643" sId="8">
    <oc r="AJ30">
      <f>I30+K30+M30+O30+Q30+S30+U30+W30+Y30+AA30+AC30+AE30</f>
    </oc>
    <nc r="AJ30"/>
  </rcc>
  <rcc rId="32644" sId="8">
    <oc r="AK30">
      <f>B30-E30</f>
    </oc>
    <nc r="AK30"/>
  </rcc>
  <rcc rId="32645" sId="8">
    <oc r="AH31">
      <f>H31+J31+L31+N31+P31+R31+T31+V31+X31+Z31+AB31+AD31</f>
    </oc>
    <nc r="AH31"/>
  </rcc>
  <rcc rId="32646" sId="8">
    <oc r="AI31">
      <f>AH31</f>
    </oc>
    <nc r="AI31"/>
  </rcc>
  <rcc rId="32647" sId="8">
    <oc r="AJ31">
      <f>I31+K31+M31+O31+Q31+S31+U31+W31+Y31+AA31+AC31+AE31</f>
    </oc>
    <nc r="AJ31"/>
  </rcc>
  <rcc rId="32648" sId="8">
    <oc r="AK31">
      <f>B31-E31</f>
    </oc>
    <nc r="AK31"/>
  </rcc>
  <rcc rId="32649" sId="8">
    <oc r="AH32">
      <f>H32+J32+L32+N32+P32+R32+T32+V32+X32+Z32+AB32+AD32</f>
    </oc>
    <nc r="AH32"/>
  </rcc>
  <rcc rId="32650" sId="8">
    <oc r="AI32">
      <f>AH32</f>
    </oc>
    <nc r="AI32"/>
  </rcc>
  <rcc rId="32651" sId="8">
    <oc r="AJ32">
      <f>I32+K32+M32+O32+Q32+S32+U32+W32+Y32+AA32+AC32+AE32</f>
    </oc>
    <nc r="AJ32"/>
  </rcc>
  <rcc rId="32652" sId="8">
    <oc r="AK32">
      <f>B32-E32</f>
    </oc>
    <nc r="AK32"/>
  </rcc>
  <rcc rId="32653" sId="8">
    <oc r="AH33">
      <f>H33+J33+L33+N33+P33+R33+T33+V33+X33+Z33+AB33+AD33</f>
    </oc>
    <nc r="AH33"/>
  </rcc>
  <rcc rId="32654" sId="8">
    <oc r="AI33">
      <f>AH33</f>
    </oc>
    <nc r="AI33"/>
  </rcc>
  <rcc rId="32655" sId="8">
    <oc r="AJ33">
      <f>I33+K33+M33+O33+Q33+S33+U33+W33+Y33+AA33+AC33+AE33</f>
    </oc>
    <nc r="AJ33"/>
  </rcc>
  <rcc rId="32656" sId="8">
    <oc r="AK33">
      <f>B33-E33</f>
    </oc>
    <nc r="AK33"/>
  </rcc>
  <rcc rId="32657" sId="8">
    <oc r="AH34">
      <f>H34+J34+L34+N34+P34+R34+T34+V34+X34+Z34+AB34+AD34</f>
    </oc>
    <nc r="AH34"/>
  </rcc>
  <rcc rId="32658" sId="8">
    <oc r="AI34">
      <f>AH34</f>
    </oc>
    <nc r="AI34"/>
  </rcc>
  <rcc rId="32659" sId="8">
    <oc r="AJ34">
      <f>I34+K34+M34+O34+Q34+S34+U34+W34+Y34+AA34+AC34+AE34</f>
    </oc>
    <nc r="AJ34"/>
  </rcc>
  <rcc rId="32660" sId="8">
    <oc r="AK34">
      <f>B34-E34</f>
    </oc>
    <nc r="AK34"/>
  </rcc>
  <rcc rId="32661" sId="8">
    <oc r="AH35">
      <f>H35+J35+L35+N35+P35+R35+T35+V35+X35+Z35+AB35+AD35</f>
    </oc>
    <nc r="AH35"/>
  </rcc>
  <rcc rId="32662" sId="8">
    <oc r="AI35">
      <f>AH35</f>
    </oc>
    <nc r="AI35"/>
  </rcc>
  <rcc rId="32663" sId="8">
    <oc r="AJ35">
      <f>I35+K35+M35+O35+Q35+S35+U35+W35+Y35+AA35+AC35+AE35</f>
    </oc>
    <nc r="AJ35"/>
  </rcc>
  <rcc rId="32664" sId="8">
    <oc r="AK35">
      <f>B35-E35</f>
    </oc>
    <nc r="AK35"/>
  </rcc>
  <rcc rId="32665" sId="8">
    <oc r="AH37">
      <f>H37+J37+L37+N37+P37+R37+T37+V37+X37+Z37+AB37+AD37</f>
    </oc>
    <nc r="AH37"/>
  </rcc>
  <rcc rId="32666" sId="8">
    <oc r="AI37">
      <f>AH37</f>
    </oc>
    <nc r="AI37"/>
  </rcc>
  <rcc rId="32667" sId="8">
    <oc r="AJ37">
      <f>I37+K37+M37+O37+Q37+S37+U37+W37+Y37+AA37+AC37+AE37</f>
    </oc>
    <nc r="AJ37"/>
  </rcc>
  <rcc rId="32668" sId="8">
    <oc r="AK37">
      <f>B37-E37</f>
    </oc>
    <nc r="AK37"/>
  </rcc>
  <rcc rId="32669" sId="8">
    <oc r="AH38">
      <f>H38+J38+L38+N38+P38+R38+T38+V38+X38+Z38+AB38+AD38</f>
    </oc>
    <nc r="AH38"/>
  </rcc>
  <rcc rId="32670" sId="8">
    <oc r="AI38">
      <f>AH38</f>
    </oc>
    <nc r="AI38"/>
  </rcc>
  <rcc rId="32671" sId="8">
    <oc r="AJ38">
      <f>I38+K38+M38+O38+Q38+S38+U38+W38+Y38+AA38+AC38+AE38</f>
    </oc>
    <nc r="AJ38"/>
  </rcc>
  <rcc rId="32672" sId="8">
    <oc r="AK38">
      <f>B38-E38</f>
    </oc>
    <nc r="AK38"/>
  </rcc>
  <rcc rId="32673" sId="8">
    <oc r="AH39">
      <f>H39+J39+L39+N39+P39+R39+T39+V39+X39+Z39+AB39+AD39</f>
    </oc>
    <nc r="AH39"/>
  </rcc>
  <rcc rId="32674" sId="8">
    <oc r="AI39">
      <f>AH39</f>
    </oc>
    <nc r="AI39"/>
  </rcc>
  <rcc rId="32675" sId="8">
    <oc r="AJ39">
      <f>I39+K39+M39+O39+Q39+S39+U39+W39+Y39+AA39+AC39+AE39</f>
    </oc>
    <nc r="AJ39"/>
  </rcc>
  <rcc rId="32676" sId="8">
    <oc r="AK39">
      <f>B39-E39</f>
    </oc>
    <nc r="AK39"/>
  </rcc>
  <rcc rId="32677" sId="8">
    <oc r="AH40">
      <f>H40+J40+L40+N40+P40+R40+T40+V40+X40+Z40+AB40+AD40</f>
    </oc>
    <nc r="AH40"/>
  </rcc>
  <rcc rId="32678" sId="8">
    <oc r="AI40">
      <f>AH40</f>
    </oc>
    <nc r="AI40"/>
  </rcc>
  <rcc rId="32679" sId="8">
    <oc r="AJ40">
      <f>I40+K40+M40+O40+Q40+S40+U40+W40+Y40+AA40+AC40+AE40</f>
    </oc>
    <nc r="AJ40"/>
  </rcc>
  <rcc rId="32680" sId="8">
    <oc r="AK40">
      <f>B40-E40</f>
    </oc>
    <nc r="AK40"/>
  </rcc>
  <rcc rId="32681" sId="8">
    <oc r="AH41">
      <f>H41+J41+L41+N41+P41+R41+T41+V41+X41+Z41+AB41+AD41</f>
    </oc>
    <nc r="AH41"/>
  </rcc>
  <rcc rId="32682" sId="8">
    <oc r="AI41">
      <f>AH41</f>
    </oc>
    <nc r="AI41"/>
  </rcc>
  <rcc rId="32683" sId="8">
    <oc r="AJ41">
      <f>I41+K41+M41+O41+Q41+S41+U41+W41+Y41+AA41+AC41+AE41</f>
    </oc>
    <nc r="AJ41"/>
  </rcc>
  <rcc rId="32684" sId="8">
    <oc r="AK41">
      <f>B41-E41</f>
    </oc>
    <nc r="AK41"/>
  </rcc>
  <rcc rId="32685" sId="8">
    <oc r="AH42">
      <f>H42+J42+L42+N42+P42+R42+T42+V42+X42+Z42+AB42+AD42</f>
    </oc>
    <nc r="AH42"/>
  </rcc>
  <rcc rId="32686" sId="8">
    <oc r="AI42">
      <f>AH42</f>
    </oc>
    <nc r="AI42"/>
  </rcc>
  <rcc rId="32687" sId="8">
    <oc r="AJ42">
      <f>I42+K42+M42+O42+Q42+S42+U42+W42+Y42+AA42+AC42+AE42</f>
    </oc>
    <nc r="AJ42"/>
  </rcc>
  <rcc rId="32688" sId="8">
    <oc r="AK42">
      <f>B42-E42</f>
    </oc>
    <nc r="AK42"/>
  </rcc>
  <rcc rId="32689" sId="8">
    <oc r="AH43">
      <f>H43+J43+L43+N43+P43+R43+T43+V43+X43+Z43+AB43+AD43</f>
    </oc>
    <nc r="AH43"/>
  </rcc>
  <rcc rId="32690" sId="8">
    <oc r="AI43">
      <f>AH43</f>
    </oc>
    <nc r="AI43"/>
  </rcc>
  <rcc rId="32691" sId="8">
    <oc r="AJ43">
      <f>I43+K43+M43+O43+Q43+S43+U43+W43+Y43+AA43+AC43+AE43</f>
    </oc>
    <nc r="AJ43"/>
  </rcc>
  <rcc rId="32692" sId="8">
    <oc r="AK43">
      <f>B43-E43</f>
    </oc>
    <nc r="AK43"/>
  </rcc>
  <rcc rId="32693" sId="8">
    <oc r="AH44">
      <f>H44+J44+L44+N44+P44+R44+T44+V44+X44+Z44+AB44+AD44</f>
    </oc>
    <nc r="AH44"/>
  </rcc>
  <rcc rId="32694" sId="8">
    <oc r="AI44">
      <f>AH44</f>
    </oc>
    <nc r="AI44"/>
  </rcc>
  <rcc rId="32695" sId="8">
    <oc r="AJ44">
      <f>I44+K44+M44+O44+Q44+S44+U44+W44+Y44+AA44+AC44+AE44</f>
    </oc>
    <nc r="AJ44"/>
  </rcc>
  <rcc rId="32696" sId="8">
    <oc r="AK44">
      <f>B44-E44</f>
    </oc>
    <nc r="AK44"/>
  </rcc>
  <rcc rId="32697" sId="8">
    <oc r="AH45">
      <f>H45+J45+L45+N45+P45+R45+T45+V45+X45+Z45+AB45+AD45</f>
    </oc>
    <nc r="AH45"/>
  </rcc>
  <rcc rId="32698" sId="8">
    <oc r="AI45">
      <f>AH45</f>
    </oc>
    <nc r="AI45"/>
  </rcc>
  <rcc rId="32699" sId="8">
    <oc r="AJ45">
      <f>I45+K45+M45+O45+Q45+S45+U45+W45+Y45+AA45+AC45+AE45</f>
    </oc>
    <nc r="AJ45"/>
  </rcc>
  <rcc rId="32700" sId="8">
    <oc r="AK45">
      <f>B45-E45</f>
    </oc>
    <nc r="AK45"/>
  </rcc>
  <rcc rId="32701" sId="8">
    <oc r="AH46">
      <f>H46+J46+L46+N46+P46+R46+T46+V46+X46+Z46+AB46+AD46</f>
    </oc>
    <nc r="AH46"/>
  </rcc>
  <rcc rId="32702" sId="8">
    <oc r="AI46">
      <f>AH46</f>
    </oc>
    <nc r="AI46"/>
  </rcc>
  <rcc rId="32703" sId="8">
    <oc r="AJ46">
      <f>I46+K46+M46+O46+Q46+S46+U46+W46+Y46+AA46+AC46+AE46</f>
    </oc>
    <nc r="AJ46"/>
  </rcc>
  <rcc rId="32704" sId="8">
    <oc r="AK46">
      <f>B46-E46</f>
    </oc>
    <nc r="AK46"/>
  </rcc>
  <rcc rId="32705" sId="8">
    <oc r="AH47">
      <f>H47+J47+L47+N47+P47+R47+T47+V47+X47+Z47+AB47+AD47</f>
    </oc>
    <nc r="AH47"/>
  </rcc>
  <rcc rId="32706" sId="8">
    <oc r="AI47">
      <f>AH47</f>
    </oc>
    <nc r="AI47"/>
  </rcc>
  <rcc rId="32707" sId="8">
    <oc r="AJ47">
      <f>I47+K47+M47+O47+Q47+S47+U47+W47+Y47+AA47+AC47+AE47</f>
    </oc>
    <nc r="AJ47"/>
  </rcc>
  <rcc rId="32708" sId="8">
    <oc r="AK47">
      <f>B47-E47</f>
    </oc>
    <nc r="AK47"/>
  </rcc>
  <rcc rId="32709" sId="8">
    <oc r="AH48">
      <f>H48+J48+L48+N48+P48+R48+T48+V48+X48+Z48+AB48+AD48</f>
    </oc>
    <nc r="AH48"/>
  </rcc>
  <rcc rId="32710" sId="8">
    <oc r="AI48">
      <f>AH48</f>
    </oc>
    <nc r="AI48"/>
  </rcc>
  <rcc rId="32711" sId="8">
    <oc r="AJ48">
      <f>I48+K48+M48+O48+Q48+S48+U48+W48+Y48+AA48+AC48+AE48</f>
    </oc>
    <nc r="AJ48"/>
  </rcc>
  <rcc rId="32712" sId="8">
    <oc r="AK48">
      <f>B48-E48</f>
    </oc>
    <nc r="AK48"/>
  </rcc>
  <rcc rId="32713" sId="8">
    <oc r="AH49">
      <f>H49+J49+L49+N49+P49+R49+T49+V49+X49+Z49+AB49+AD49</f>
    </oc>
    <nc r="AH49"/>
  </rcc>
  <rcc rId="32714" sId="8">
    <oc r="AI49">
      <f>AH49</f>
    </oc>
    <nc r="AI49"/>
  </rcc>
  <rcc rId="32715" sId="8">
    <oc r="AJ49">
      <f>I49+K49+M49+O49+Q49+S49+U49+W49+Y49+AA49+AC49+AE49</f>
    </oc>
    <nc r="AJ49"/>
  </rcc>
  <rcc rId="32716" sId="8">
    <oc r="AK49">
      <f>B49-E49</f>
    </oc>
    <nc r="AK49"/>
  </rcc>
  <rcc rId="32717" sId="8">
    <oc r="AH50">
      <f>H50+J50+L50+N50+P50+R50+T50+V50+X50+Z50+AB50+AD50</f>
    </oc>
    <nc r="AH50"/>
  </rcc>
  <rcc rId="32718" sId="8">
    <oc r="AI50">
      <f>AH50</f>
    </oc>
    <nc r="AI50"/>
  </rcc>
  <rcc rId="32719" sId="8">
    <oc r="AJ50">
      <f>I50+K50+M50+O50+Q50+S50+U50+W50+Y50+AA50+AC50+AE50</f>
    </oc>
    <nc r="AJ50"/>
  </rcc>
  <rcc rId="32720" sId="8">
    <oc r="AK50">
      <f>B50-E50</f>
    </oc>
    <nc r="AK50"/>
  </rcc>
  <rcc rId="32721" sId="8">
    <oc r="AH51">
      <f>H51+J51+L51+N51+P51+R51+T51+V51+X51+Z51+AB51+AD51</f>
    </oc>
    <nc r="AH51"/>
  </rcc>
  <rcc rId="32722" sId="8">
    <oc r="AI51">
      <f>AH51</f>
    </oc>
    <nc r="AI51"/>
  </rcc>
  <rcc rId="32723" sId="8">
    <oc r="AJ51">
      <f>I51+K51+M51+O51+Q51+S51+U51+W51+Y51+AA51+AC51+AE51</f>
    </oc>
    <nc r="AJ51"/>
  </rcc>
  <rcc rId="32724" sId="8">
    <oc r="AK51">
      <f>B51-E51</f>
    </oc>
    <nc r="AK51"/>
  </rcc>
  <rcc rId="32725" sId="8">
    <oc r="AH52">
      <f>H52+J52+L52+N52+P52+R52+T52+V52+X52+Z52+AB52+AD52</f>
    </oc>
    <nc r="AH52"/>
  </rcc>
  <rcc rId="32726" sId="8">
    <oc r="AI52">
      <f>AH52</f>
    </oc>
    <nc r="AI52"/>
  </rcc>
  <rcc rId="32727" sId="8">
    <oc r="AJ52">
      <f>I52+K52+M52+O52+Q52+S52+U52+W52+Y52+AA52+AC52+AE52</f>
    </oc>
    <nc r="AJ52"/>
  </rcc>
  <rcc rId="32728" sId="8">
    <oc r="AK52">
      <f>B52-E52</f>
    </oc>
    <nc r="AK52"/>
  </rcc>
  <rcc rId="32729" sId="8">
    <oc r="AH53">
      <f>H53+J53+L53+N53+P53+R53+T53+V53+X53+Z53+AB53+AD53</f>
    </oc>
    <nc r="AH53"/>
  </rcc>
  <rcc rId="32730" sId="8">
    <oc r="AI53">
      <f>AH53</f>
    </oc>
    <nc r="AI53"/>
  </rcc>
  <rcc rId="32731" sId="8">
    <oc r="AJ53">
      <f>I53+K53+M53+O53+Q53+S53+U53+W53+Y53+AA53+AC53+AE53</f>
    </oc>
    <nc r="AJ53"/>
  </rcc>
  <rcc rId="32732" sId="8">
    <oc r="AK53">
      <f>B53-E53</f>
    </oc>
    <nc r="AK53"/>
  </rcc>
  <rcc rId="32733" sId="8">
    <oc r="AH54">
      <f>H54+J54+L54+N54+P54+R54+T54+V54+X54+Z54+AB54+AD54</f>
    </oc>
    <nc r="AH54"/>
  </rcc>
  <rcc rId="32734" sId="8">
    <oc r="AI54">
      <f>AH54</f>
    </oc>
    <nc r="AI54"/>
  </rcc>
  <rcc rId="32735" sId="8">
    <oc r="AJ54">
      <f>I54+K54+M54+O54+Q54+S54+U54+W54+Y54+AA54+AC54+AE54</f>
    </oc>
    <nc r="AJ54"/>
  </rcc>
  <rcc rId="32736" sId="8">
    <oc r="AK54">
      <f>B54-E54</f>
    </oc>
    <nc r="AK54"/>
  </rcc>
  <rcc rId="32737" sId="8">
    <oc r="AH55">
      <f>H55+J55+L55+N55+P55+R55+T55+V55+X55+Z55+AB55+AD55</f>
    </oc>
    <nc r="AH55"/>
  </rcc>
  <rcc rId="32738" sId="8">
    <oc r="AI55">
      <f>AH55</f>
    </oc>
    <nc r="AI55"/>
  </rcc>
  <rcc rId="32739" sId="8">
    <oc r="AJ55">
      <f>I55+K55+M55+O55+Q55+S55+U55+W55+Y55+AA55+AC55+AE55</f>
    </oc>
    <nc r="AJ55"/>
  </rcc>
  <rcc rId="32740" sId="8">
    <oc r="AK55">
      <f>B55-E55</f>
    </oc>
    <nc r="AK55"/>
  </rcc>
  <rcc rId="32741" sId="8">
    <oc r="AH56">
      <f>H56+J56+L56+N56+P56+R56+T56+V56+X56+Z56+AB56+AD56</f>
    </oc>
    <nc r="AH56"/>
  </rcc>
  <rcc rId="32742" sId="8">
    <oc r="AI56">
      <f>AH56</f>
    </oc>
    <nc r="AI56"/>
  </rcc>
  <rcc rId="32743" sId="8">
    <oc r="AJ56">
      <f>I56+K56+M56+O56+Q56+S56+U56+W56+Y56+AA56+AC56+AE56</f>
    </oc>
    <nc r="AJ56"/>
  </rcc>
  <rcc rId="32744" sId="8">
    <oc r="AK56">
      <f>B56-E56</f>
    </oc>
    <nc r="AK56"/>
  </rcc>
  <rcc rId="32745" sId="8">
    <oc r="AH57">
      <f>H57+J57+L57+N57+P57+R57+T57+V57+X57+Z57+AB57+AD57</f>
    </oc>
    <nc r="AH57"/>
  </rcc>
  <rcc rId="32746" sId="8">
    <oc r="AI57">
      <f>AH57</f>
    </oc>
    <nc r="AI57"/>
  </rcc>
  <rcc rId="32747" sId="8">
    <oc r="AJ57">
      <f>I57+K57+M57+O57+Q57+S57+U57+W57+Y57+AA57+AC57+AE57</f>
    </oc>
    <nc r="AJ57"/>
  </rcc>
  <rcc rId="32748" sId="8">
    <oc r="AK57">
      <f>B57-E57</f>
    </oc>
    <nc r="AK57"/>
  </rcc>
  <rcc rId="32749" sId="8">
    <oc r="AH58">
      <f>H58+J58+L58+N58+P58+R58+T58+V58+X58+Z58+AB58+AD58</f>
    </oc>
    <nc r="AH58"/>
  </rcc>
  <rcc rId="32750" sId="8">
    <oc r="AI58">
      <f>AH58</f>
    </oc>
    <nc r="AI58"/>
  </rcc>
  <rcc rId="32751" sId="8">
    <oc r="AJ58">
      <f>I58+K58+M58+O58+Q58+S58+U58+W58+Y58+AA58+AC58+AE58</f>
    </oc>
    <nc r="AJ58"/>
  </rcc>
  <rcc rId="32752" sId="8">
    <oc r="AK58">
      <f>B58-E58</f>
    </oc>
    <nc r="AK58"/>
  </rcc>
  <rcc rId="32753" sId="8">
    <oc r="AH59">
      <f>H59+J59+L59+N59+P59+R59+T59+V59+X59+Z59+AB59+AD59</f>
    </oc>
    <nc r="AH59"/>
  </rcc>
  <rcc rId="32754" sId="8">
    <oc r="AI59">
      <f>AH59</f>
    </oc>
    <nc r="AI59"/>
  </rcc>
  <rcc rId="32755" sId="8">
    <oc r="AJ59">
      <f>I59+K59+M59+O59+Q59+S59+U59+W59+Y59+AA59+AC59+AE59</f>
    </oc>
    <nc r="AJ59"/>
  </rcc>
  <rcc rId="32756" sId="8">
    <oc r="AK59">
      <f>B59-E59</f>
    </oc>
    <nc r="AK59"/>
  </rcc>
  <rcc rId="32757" sId="8">
    <oc r="AH60">
      <f>H60+J60+L60+N60+P60+R60+T60+V60+X60+Z60+AB60+AD60</f>
    </oc>
    <nc r="AH60"/>
  </rcc>
  <rcc rId="32758" sId="8">
    <oc r="AI60">
      <f>AH60</f>
    </oc>
    <nc r="AI60"/>
  </rcc>
  <rcc rId="32759" sId="8">
    <oc r="AJ60">
      <f>I60+K60+M60+O60+Q60+S60+U60+W60+Y60+AA60+AC60+AE60</f>
    </oc>
    <nc r="AJ60"/>
  </rcc>
  <rcc rId="32760" sId="8">
    <oc r="AK60">
      <f>B60-E60</f>
    </oc>
    <nc r="AK60"/>
  </rcc>
  <rcc rId="32761" sId="8">
    <oc r="AH61">
      <f>H61+J61+L61+N61+P61+R61+T61+V61+X61+Z61+AB61+AD61</f>
    </oc>
    <nc r="AH61"/>
  </rcc>
  <rcc rId="32762" sId="8">
    <oc r="AI61">
      <f>AH61</f>
    </oc>
    <nc r="AI61"/>
  </rcc>
  <rcc rId="32763" sId="8">
    <oc r="AJ61">
      <f>I61+K61+M61+O61+Q61+S61+U61+W61+Y61+AA61+AC61+AE61</f>
    </oc>
    <nc r="AJ61"/>
  </rcc>
  <rcc rId="32764" sId="8">
    <oc r="AK61">
      <f>B61-E61</f>
    </oc>
    <nc r="AK61"/>
  </rcc>
  <rcc rId="32765" sId="8">
    <oc r="AH62">
      <f>H62+J62+L62+N62+P62+R62+T62+V62+X62+Z62+AB62+AD62</f>
    </oc>
    <nc r="AH62"/>
  </rcc>
  <rcc rId="32766" sId="8">
    <oc r="AI62">
      <f>AH62</f>
    </oc>
    <nc r="AI62"/>
  </rcc>
  <rcc rId="32767" sId="8">
    <oc r="AJ62">
      <f>I62+K62+M62+O62+Q62+S62+U62+W62+Y62+AA62+AC62+AE62</f>
    </oc>
    <nc r="AJ62"/>
  </rcc>
  <rcc rId="32768" sId="8">
    <oc r="AK62">
      <f>B62-E62</f>
    </oc>
    <nc r="AK62"/>
  </rcc>
  <rcc rId="32769" sId="8">
    <oc r="AH63">
      <f>H63+J63+L63+N63+P63+R63+T63+V63+X63+Z63+AB63+AD63</f>
    </oc>
    <nc r="AH63"/>
  </rcc>
  <rcc rId="32770" sId="8">
    <oc r="AI63">
      <f>AH63</f>
    </oc>
    <nc r="AI63"/>
  </rcc>
  <rcc rId="32771" sId="8">
    <oc r="AJ63">
      <f>I63+K63+M63+O63+Q63+S63+U63+W63+Y63+AA63+AC63+AE63</f>
    </oc>
    <nc r="AJ63"/>
  </rcc>
  <rcc rId="32772" sId="8">
    <oc r="AK63">
      <f>B63-E63</f>
    </oc>
    <nc r="AK63"/>
  </rcc>
  <rcc rId="32773" sId="8">
    <oc r="AH64">
      <f>H64+J64+L64+N64+P64+R64+T64+V64+X64+Z64+AB64+AD64</f>
    </oc>
    <nc r="AH64"/>
  </rcc>
  <rcc rId="32774" sId="8">
    <oc r="AI64">
      <f>AH64</f>
    </oc>
    <nc r="AI64"/>
  </rcc>
  <rcc rId="32775" sId="8">
    <oc r="AJ64">
      <f>I64+K64+M64+O64+Q64+S64+U64+W64+Y64+AA64+AC64+AE64</f>
    </oc>
    <nc r="AJ64"/>
  </rcc>
  <rcc rId="32776" sId="8">
    <oc r="AK64">
      <f>B64-E64</f>
    </oc>
    <nc r="AK64"/>
  </rcc>
  <rcc rId="32777" sId="8">
    <oc r="AH65">
      <f>H65+J65+L65+N65+P65+R65+T65+V65+X65+Z65+AB65+AD65</f>
    </oc>
    <nc r="AH65"/>
  </rcc>
  <rcc rId="32778" sId="8">
    <oc r="AI65">
      <f>AH65</f>
    </oc>
    <nc r="AI65"/>
  </rcc>
  <rcc rId="32779" sId="8">
    <oc r="AJ65">
      <f>I65+K65+M65+O65+Q65+S65+U65+W65+Y65+AA65+AC65+AE65</f>
    </oc>
    <nc r="AJ65"/>
  </rcc>
  <rcc rId="32780" sId="8">
    <oc r="AK65">
      <f>B65-E65</f>
    </oc>
    <nc r="AK65"/>
  </rcc>
  <rcc rId="32781" sId="8">
    <oc r="AH66">
      <f>H66+J66+L66+N66+P66+R66+T66+V66+X66+Z66+AB66+AD66</f>
    </oc>
    <nc r="AH66"/>
  </rcc>
  <rcc rId="32782" sId="8">
    <oc r="AI66">
      <f>AH66</f>
    </oc>
    <nc r="AI66"/>
  </rcc>
  <rcc rId="32783" sId="8">
    <oc r="AJ66">
      <f>I66+K66+M66+O66+Q66+S66+U66+W66+Y66+AA66+AC66+AE66</f>
    </oc>
    <nc r="AJ66"/>
  </rcc>
  <rcc rId="32784" sId="8">
    <oc r="AK66">
      <f>B66-E66</f>
    </oc>
    <nc r="AK66"/>
  </rcc>
  <rcc rId="32785" sId="8">
    <oc r="AH67">
      <f>H67+J67+L67+N67+P67+R67+T67+V67+X67+Z67+AB67+AD67</f>
    </oc>
    <nc r="AH67"/>
  </rcc>
  <rcc rId="32786" sId="8">
    <oc r="AI67">
      <f>AH67</f>
    </oc>
    <nc r="AI67"/>
  </rcc>
  <rcc rId="32787" sId="8">
    <oc r="AJ67">
      <f>I67+K67+M67+O67+Q67+S67+U67+W67+Y67+AA67+AC67+AE67</f>
    </oc>
    <nc r="AJ67"/>
  </rcc>
  <rcc rId="32788" sId="8">
    <oc r="AK67">
      <f>B67-E67</f>
    </oc>
    <nc r="AK67"/>
  </rcc>
  <rcc rId="32789" sId="8">
    <oc r="AH68">
      <f>H68+J68+L68+N68+P68+R68+T68+V68+X68+Z68+AB68+AD68</f>
    </oc>
    <nc r="AH68"/>
  </rcc>
  <rcc rId="32790" sId="8">
    <oc r="AI68">
      <f>AH68</f>
    </oc>
    <nc r="AI68"/>
  </rcc>
  <rcc rId="32791" sId="8">
    <oc r="AJ68">
      <f>I68+K68+M68+O68+Q68+S68+U68+W68+Y68+AA68+AC68+AE68</f>
    </oc>
    <nc r="AJ68"/>
  </rcc>
  <rcc rId="32792" sId="8">
    <oc r="AK68">
      <f>B68-E68</f>
    </oc>
    <nc r="AK68"/>
  </rcc>
  <rcc rId="32793" sId="8">
    <oc r="AH69">
      <f>H69+J69+L69+N69+P69+R69+T69+V69+X69+Z69+AB69+AD69</f>
    </oc>
    <nc r="AH69"/>
  </rcc>
  <rcc rId="32794" sId="8">
    <oc r="AI69">
      <f>AH69</f>
    </oc>
    <nc r="AI69"/>
  </rcc>
  <rcc rId="32795" sId="8">
    <oc r="AJ69">
      <f>I69+K69+M69+O69+Q69+S69+U69+W69+Y69+AA69+AC69+AE69</f>
    </oc>
    <nc r="AJ69"/>
  </rcc>
  <rcc rId="32796" sId="8">
    <oc r="AK69">
      <f>B69-E69</f>
    </oc>
    <nc r="AK69"/>
  </rcc>
  <rcc rId="32797" sId="8">
    <oc r="AH70">
      <f>H70+J70+L70+N70+P70+R70+T70+V70+X70+Z70+AB70+AD70</f>
    </oc>
    <nc r="AH70"/>
  </rcc>
  <rcc rId="32798" sId="8">
    <oc r="AI70">
      <f>AH70</f>
    </oc>
    <nc r="AI70"/>
  </rcc>
  <rcc rId="32799" sId="8">
    <oc r="AJ70">
      <f>I70+K70+M70+O70+Q70+S70+U70+W70+Y70+AA70+AC70+AE70</f>
    </oc>
    <nc r="AJ70"/>
  </rcc>
  <rcc rId="32800" sId="8">
    <oc r="AK70">
      <f>B70-E70</f>
    </oc>
    <nc r="AK70"/>
  </rcc>
  <rcc rId="32801" sId="8">
    <oc r="AH71">
      <f>H71+J71+L71+N71+P71+R71+T71+V71+X71+Z71+AB71+AD71</f>
    </oc>
    <nc r="AH71"/>
  </rcc>
  <rcc rId="32802" sId="8">
    <oc r="AI71">
      <f>AH71</f>
    </oc>
    <nc r="AI71"/>
  </rcc>
  <rcc rId="32803" sId="8">
    <oc r="AJ71">
      <f>I71+K71+M71+O71+Q71+S71+U71+W71+Y71+AA71+AC71+AE71</f>
    </oc>
    <nc r="AJ71"/>
  </rcc>
  <rcc rId="32804" sId="8">
    <oc r="AK71">
      <f>B71-E71</f>
    </oc>
    <nc r="AK71"/>
  </rcc>
  <rcc rId="32805" sId="8">
    <oc r="AH72">
      <f>H72+J72+L72+N72+P72+R72+T72+V72+X72+Z72+AB72+AD72</f>
    </oc>
    <nc r="AH72"/>
  </rcc>
  <rcc rId="32806" sId="8">
    <oc r="AI72">
      <f>AH72</f>
    </oc>
    <nc r="AI72"/>
  </rcc>
  <rcc rId="32807" sId="8">
    <oc r="AJ72">
      <f>I72+K72+M72+O72+Q72+S72+U72+W72+Y72+AA72+AC72+AE72</f>
    </oc>
    <nc r="AJ72"/>
  </rcc>
  <rcc rId="32808" sId="8">
    <oc r="AK72">
      <f>B72-E72</f>
    </oc>
    <nc r="AK72"/>
  </rcc>
  <rcc rId="32809" sId="8">
    <oc r="AH73">
      <f>H73+J73+L73+N73+P73+R73+T73+V73+X73+Z73+AB73+AD73</f>
    </oc>
    <nc r="AH73"/>
  </rcc>
  <rcc rId="32810" sId="8">
    <oc r="AI73">
      <f>AH73</f>
    </oc>
    <nc r="AI73"/>
  </rcc>
  <rcc rId="32811" sId="8">
    <oc r="AJ73">
      <f>I73+K73+M73+O73+Q73+S73+U73+W73+Y73+AA73+AC73+AE73</f>
    </oc>
    <nc r="AJ73"/>
  </rcc>
  <rcc rId="32812" sId="8">
    <oc r="AK73">
      <f>B73-E73</f>
    </oc>
    <nc r="AK73"/>
  </rcc>
  <rcc rId="32813" sId="8">
    <oc r="AH74">
      <f>H74+J74+L74+N74+P74+R74+T74+V74+X74+Z74+AB74+AD74</f>
    </oc>
    <nc r="AH74"/>
  </rcc>
  <rcc rId="32814" sId="8">
    <oc r="AI74">
      <f>AH74</f>
    </oc>
    <nc r="AI74"/>
  </rcc>
  <rcc rId="32815" sId="8">
    <oc r="AJ74">
      <f>I74+K74+M74+O74+Q74+S74+U74+W74+Y74+AA74+AC74+AE74</f>
    </oc>
    <nc r="AJ74"/>
  </rcc>
  <rcc rId="32816" sId="8">
    <oc r="AK74">
      <f>B74-E74</f>
    </oc>
    <nc r="AK74"/>
  </rcc>
  <rcc rId="32817" sId="8">
    <oc r="AH75">
      <f>H75+J75+L75+N75+P75+R75+T75+V75+X75+Z75+AB75+AD75</f>
    </oc>
    <nc r="AH75"/>
  </rcc>
  <rcc rId="32818" sId="8">
    <oc r="AI75">
      <f>AH75</f>
    </oc>
    <nc r="AI75"/>
  </rcc>
  <rcc rId="32819" sId="8">
    <oc r="AJ75">
      <f>I75+K75+M75+O75+Q75+S75+U75+W75+Y75+AA75+AC75+AE75</f>
    </oc>
    <nc r="AJ75"/>
  </rcc>
  <rcc rId="32820" sId="8">
    <oc r="AK75">
      <f>B75-E75</f>
    </oc>
    <nc r="AK75"/>
  </rcc>
  <rcc rId="32821" sId="8">
    <oc r="AH76">
      <f>H76+J76+L76+N76+P76+R76+T76+V76+X76+Z76+AB76+AD76</f>
    </oc>
    <nc r="AH76"/>
  </rcc>
  <rcc rId="32822" sId="8">
    <oc r="AI76">
      <f>AH76</f>
    </oc>
    <nc r="AI76"/>
  </rcc>
  <rcc rId="32823" sId="8">
    <oc r="AJ76">
      <f>I76+K76+M76+O76+Q76+S76+U76+W76+Y76+AA76+AC76+AE76</f>
    </oc>
    <nc r="AJ76"/>
  </rcc>
  <rcc rId="32824" sId="8">
    <oc r="AK76">
      <f>B76-E76</f>
    </oc>
    <nc r="AK76"/>
  </rcc>
  <rcc rId="32825" sId="8">
    <oc r="AH77">
      <f>H77+J77+L77+N77+P77+R77+T77+V77+X77+Z77+AB77+AD77</f>
    </oc>
    <nc r="AH77"/>
  </rcc>
  <rcc rId="32826" sId="8">
    <oc r="AI77">
      <f>AH77</f>
    </oc>
    <nc r="AI77"/>
  </rcc>
  <rcc rId="32827" sId="8">
    <oc r="AJ77">
      <f>I77+K77+M77+O77+Q77+S77+U77+W77+Y77+AA77+AC77+AE77</f>
    </oc>
    <nc r="AJ77"/>
  </rcc>
  <rcc rId="32828" sId="8">
    <oc r="AK77">
      <f>B77-E77</f>
    </oc>
    <nc r="AK77"/>
  </rcc>
  <rcc rId="32829" sId="8">
    <oc r="AH78">
      <f>H78+J78+L78+N78+P78+R78+T78+V78+X78+Z78+AB78+AD78</f>
    </oc>
    <nc r="AH78"/>
  </rcc>
  <rcc rId="32830" sId="8">
    <oc r="AI78">
      <f>AH78</f>
    </oc>
    <nc r="AI78"/>
  </rcc>
  <rcc rId="32831" sId="8">
    <oc r="AJ78">
      <f>I78+K78+M78+O78+Q78+S78+U78+W78+Y78+AA78+AC78+AE78</f>
    </oc>
    <nc r="AJ78"/>
  </rcc>
  <rcc rId="32832" sId="8">
    <oc r="AK78">
      <f>B78-E78</f>
    </oc>
    <nc r="AK78"/>
  </rcc>
  <rcc rId="32833" sId="8">
    <oc r="AH79">
      <f>H79+J79+L79+N79+P79+R79+T79+V79+X79+Z79+AB79+AD79</f>
    </oc>
    <nc r="AH79"/>
  </rcc>
  <rcc rId="32834" sId="8">
    <oc r="AI79">
      <f>AH79</f>
    </oc>
    <nc r="AI79"/>
  </rcc>
  <rcc rId="32835" sId="8">
    <oc r="AJ79">
      <f>I79+K79+M79+O79+Q79+S79+U79+W79+Y79+AA79+AC79+AE79</f>
    </oc>
    <nc r="AJ79"/>
  </rcc>
  <rcc rId="32836" sId="8">
    <oc r="AK79">
      <f>B79-E79</f>
    </oc>
    <nc r="AK79"/>
  </rcc>
  <rcc rId="32837" sId="8">
    <oc r="AH80">
      <f>H80+J80+L80+N80+P80+R80+T80+V80+X80+Z80+AB80+AD80</f>
    </oc>
    <nc r="AH80"/>
  </rcc>
  <rcc rId="32838" sId="8">
    <oc r="AI80">
      <f>AH80</f>
    </oc>
    <nc r="AI80"/>
  </rcc>
  <rcc rId="32839" sId="8">
    <oc r="AJ80">
      <f>I80+K80+M80+O80+Q80+S80+U80+W80+Y80+AA80+AC80+AE80</f>
    </oc>
    <nc r="AJ80"/>
  </rcc>
  <rcc rId="32840" sId="8">
    <oc r="AK80">
      <f>B80-E80</f>
    </oc>
    <nc r="AK80"/>
  </rcc>
  <rcc rId="32841" sId="8">
    <oc r="AH81">
      <f>H81+J81+L81+N81+P81+R81+T81+V81+X81+Z81+AB81+AD81</f>
    </oc>
    <nc r="AH81"/>
  </rcc>
  <rcc rId="32842" sId="8">
    <oc r="AI81">
      <f>AH81</f>
    </oc>
    <nc r="AI81"/>
  </rcc>
  <rcc rId="32843" sId="8">
    <oc r="AJ81">
      <f>I81+K81+M81+O81+Q81+S81+U81+W81+Y81+AA81+AC81+AE81</f>
    </oc>
    <nc r="AJ81"/>
  </rcc>
  <rcc rId="32844" sId="8">
    <oc r="AK81">
      <f>B81-E81</f>
    </oc>
    <nc r="AK81"/>
  </rcc>
  <rcc rId="32845" sId="8">
    <oc r="AH82">
      <f>H82+J82+L82+N82+P82+R82+T82+V82+X82+Z82+AB82+AD82</f>
    </oc>
    <nc r="AH82"/>
  </rcc>
  <rcc rId="32846" sId="8">
    <oc r="AI82">
      <f>AH82</f>
    </oc>
    <nc r="AI82"/>
  </rcc>
  <rcc rId="32847" sId="8">
    <oc r="AJ82">
      <f>I82+K82+M82+O82+Q82+S82+U82+W82+Y82+AA82+AC82+AE82</f>
    </oc>
    <nc r="AJ82"/>
  </rcc>
  <rcc rId="32848" sId="8">
    <oc r="AK82">
      <f>B82-E82</f>
    </oc>
    <nc r="AK82"/>
  </rcc>
  <rcc rId="32849" sId="8">
    <oc r="AH83">
      <f>H83+J83+L83+N83+P83+R83+T83+V83+X83+Z83+AB83+AD83</f>
    </oc>
    <nc r="AH83"/>
  </rcc>
  <rcc rId="32850" sId="8">
    <oc r="AI83">
      <f>AH83</f>
    </oc>
    <nc r="AI83"/>
  </rcc>
  <rcc rId="32851" sId="8">
    <oc r="AJ83">
      <f>I83+K83+M83+O83+Q83+S83+U83+W83+Y83+AA83+AC83+AE83</f>
    </oc>
    <nc r="AJ83"/>
  </rcc>
  <rcc rId="32852" sId="8">
    <oc r="AK83">
      <f>B83-E83</f>
    </oc>
    <nc r="AK83"/>
  </rcc>
  <rcc rId="32853" sId="8">
    <oc r="AH84">
      <f>H84+J84+L84+N84+P84+R84+T84+V84+X84+Z84+AB84+AD84</f>
    </oc>
    <nc r="AH84"/>
  </rcc>
  <rcc rId="32854" sId="8">
    <oc r="AI84">
      <f>AH84</f>
    </oc>
    <nc r="AI84"/>
  </rcc>
  <rcc rId="32855" sId="8">
    <oc r="AJ84">
      <f>I84+K84+M84+O84+Q84+S84+U84+W84+Y84+AA84+AC84+AE84</f>
    </oc>
    <nc r="AJ84"/>
  </rcc>
  <rcc rId="32856" sId="8">
    <oc r="AK84">
      <f>B84-E84</f>
    </oc>
    <nc r="AK84"/>
  </rcc>
  <rcc rId="32857" sId="8">
    <oc r="AH85">
      <f>H85+J85+L85+N85+P85+R85+T85+V85+X85+Z85+AB85+AD85</f>
    </oc>
    <nc r="AH85"/>
  </rcc>
  <rcc rId="32858" sId="8">
    <oc r="AI85">
      <f>AH85</f>
    </oc>
    <nc r="AI85"/>
  </rcc>
  <rcc rId="32859" sId="8">
    <oc r="AJ85">
      <f>I85+K85+M85+O85+Q85+S85+U85+W85+Y85+AA85+AC85+AE85</f>
    </oc>
    <nc r="AJ85"/>
  </rcc>
  <rcc rId="32860" sId="8">
    <oc r="AK85">
      <f>B85-E85</f>
    </oc>
    <nc r="AK85"/>
  </rcc>
  <rcc rId="32861" sId="8">
    <oc r="AH86">
      <f>H86+J86+L86+N86+P86+R86+T86+V86+X86+Z86+AB86+AD86</f>
    </oc>
    <nc r="AH86"/>
  </rcc>
  <rcc rId="32862" sId="8">
    <oc r="AI86">
      <f>AH86</f>
    </oc>
    <nc r="AI86"/>
  </rcc>
  <rcc rId="32863" sId="8">
    <oc r="AJ86">
      <f>I86+K86+M86+O86+Q86+S86+U86+W86+Y86+AA86+AC86+AE86</f>
    </oc>
    <nc r="AJ86"/>
  </rcc>
  <rcc rId="32864" sId="8">
    <oc r="AK86">
      <f>B86-E86</f>
    </oc>
    <nc r="AK86"/>
  </rcc>
  <rcc rId="32865" sId="8">
    <oc r="AH87">
      <f>H87+J87+L87+N87+P87+R87+T87+V87+X87+Z87+AB87+AD87</f>
    </oc>
    <nc r="AH87"/>
  </rcc>
  <rcc rId="32866" sId="8">
    <oc r="AI87">
      <f>AH87</f>
    </oc>
    <nc r="AI87"/>
  </rcc>
  <rcc rId="32867" sId="8">
    <oc r="AJ87">
      <f>I87+K87+M87+O87+Q87+S87+U87+W87+Y87+AA87+AC87+AE87</f>
    </oc>
    <nc r="AJ87"/>
  </rcc>
  <rcc rId="32868" sId="8">
    <oc r="AK87">
      <f>B87-E87</f>
    </oc>
    <nc r="AK87"/>
  </rcc>
  <rcc rId="32869" sId="8">
    <oc r="AH88">
      <f>H88+J88+L88+N88+P88+R88+T88+V88+X88+Z88+AB88+AD88</f>
    </oc>
    <nc r="AH88"/>
  </rcc>
  <rcc rId="32870" sId="8">
    <oc r="AI88">
      <f>AH88</f>
    </oc>
    <nc r="AI88"/>
  </rcc>
  <rcc rId="32871" sId="8">
    <oc r="AJ88">
      <f>I88+K88+M88+O88+Q88+S88+U88+W88+Y88+AA88+AC88+AE88</f>
    </oc>
    <nc r="AJ88"/>
  </rcc>
  <rcc rId="32872" sId="8">
    <oc r="AK88">
      <f>B88-E88</f>
    </oc>
    <nc r="AK88"/>
  </rcc>
  <rcc rId="32873" sId="8">
    <oc r="AH89">
      <f>H89+J89+L89+N89+P89+R89+T89+V89+X89+Z89+AB89+AD89</f>
    </oc>
    <nc r="AH89"/>
  </rcc>
  <rcc rId="32874" sId="8">
    <oc r="AI89">
      <f>AH89</f>
    </oc>
    <nc r="AI89"/>
  </rcc>
  <rcc rId="32875" sId="8">
    <oc r="AJ89">
      <f>I89+K89+M89+O89+Q89+S89+U89+W89+Y89+AA89+AC89+AE89</f>
    </oc>
    <nc r="AJ89"/>
  </rcc>
  <rcc rId="32876" sId="8">
    <oc r="AK89">
      <f>B89-E89</f>
    </oc>
    <nc r="AK89"/>
  </rcc>
  <rcc rId="32877" sId="8">
    <oc r="AH90">
      <f>H90+J90+L90+N90+P90+R90+T90+V90+X90+Z90+AB90+AD90</f>
    </oc>
    <nc r="AH90"/>
  </rcc>
  <rcc rId="32878" sId="8">
    <oc r="AI90">
      <f>AH90</f>
    </oc>
    <nc r="AI90"/>
  </rcc>
  <rcc rId="32879" sId="8">
    <oc r="AJ90">
      <f>I90+K90+M90+O90+Q90+S90+U90+W90+Y90+AA90+AC90+AE90</f>
    </oc>
    <nc r="AJ90"/>
  </rcc>
  <rcc rId="32880" sId="8">
    <oc r="AK90">
      <f>B90-E90</f>
    </oc>
    <nc r="AK90"/>
  </rcc>
  <rcc rId="32881" sId="8">
    <oc r="AH91">
      <f>H91+J91+L91+N91+P91+R91+T91+V91+X91+Z91+AB91+AD91</f>
    </oc>
    <nc r="AH91"/>
  </rcc>
  <rcc rId="32882" sId="8">
    <oc r="AI91">
      <f>AH91</f>
    </oc>
    <nc r="AI91"/>
  </rcc>
  <rcc rId="32883" sId="8">
    <oc r="AJ91">
      <f>I91+K91+M91+O91+Q91+S91+U91+W91+Y91+AA91+AC91+AE91</f>
    </oc>
    <nc r="AJ91"/>
  </rcc>
  <rcc rId="32884" sId="8">
    <oc r="AK91">
      <f>B91-E91</f>
    </oc>
    <nc r="AK91"/>
  </rcc>
  <rcc rId="32885" sId="8">
    <oc r="AH92">
      <f>H92+J92+L92+N92+P92+R92+T92+V92+X92+Z92+AB92+AD92</f>
    </oc>
    <nc r="AH92"/>
  </rcc>
  <rcc rId="32886" sId="8">
    <oc r="AI92">
      <f>AH92</f>
    </oc>
    <nc r="AI92"/>
  </rcc>
  <rcc rId="32887" sId="8">
    <oc r="AJ92">
      <f>I92+K92+M92+O92+Q92+S92+U92+W92+Y92+AA92+AC92+AE92</f>
    </oc>
    <nc r="AJ92"/>
  </rcc>
  <rcc rId="32888" sId="8">
    <oc r="AK92">
      <f>B92-E92</f>
    </oc>
    <nc r="AK92"/>
  </rcc>
  <rcc rId="32889" sId="8">
    <oc r="AH93">
      <f>H93+J93+L93+N93+P93+R93+T93+V93+X93+Z93+AB93+AD93</f>
    </oc>
    <nc r="AH93"/>
  </rcc>
  <rcc rId="32890" sId="8">
    <oc r="AI93">
      <f>AH93</f>
    </oc>
    <nc r="AI93"/>
  </rcc>
  <rcc rId="32891" sId="8">
    <oc r="AJ93">
      <f>I93+K93+M93+O93+Q93+S93+U93+W93+Y93+AA93+AC93+AE93</f>
    </oc>
    <nc r="AJ93"/>
  </rcc>
  <rcc rId="32892" sId="8">
    <oc r="AK93">
      <f>B93-E93</f>
    </oc>
    <nc r="AK93"/>
  </rcc>
  <rcc rId="32893" sId="8">
    <oc r="AH94">
      <f>H94+J94+L94+N94+P94+R94+T94+V94+X94+Z94+AB94+AD94</f>
    </oc>
    <nc r="AH94"/>
  </rcc>
  <rcc rId="32894" sId="8">
    <oc r="AI94">
      <f>AH94</f>
    </oc>
    <nc r="AI94"/>
  </rcc>
  <rcc rId="32895" sId="8">
    <oc r="AJ94">
      <f>I94+K94+M94+O94+Q94+S94+U94+W94+Y94+AA94+AC94+AE94</f>
    </oc>
    <nc r="AJ94"/>
  </rcc>
  <rcc rId="32896" sId="8">
    <oc r="AK94">
      <f>B94-E94</f>
    </oc>
    <nc r="AK94"/>
  </rcc>
  <rcc rId="32897" sId="8">
    <oc r="AH95">
      <f>H95+J95+L95+N95+P95+R95+T95+V95+X95+Z95+AB95+AD95</f>
    </oc>
    <nc r="AH95"/>
  </rcc>
  <rcc rId="32898" sId="8">
    <oc r="AI95">
      <f>AH95</f>
    </oc>
    <nc r="AI95"/>
  </rcc>
  <rcc rId="32899" sId="8">
    <oc r="AJ95">
      <f>I95+K95+M95+O95+Q95+S95+U95+W95+Y95+AA95+AC95+AE95</f>
    </oc>
    <nc r="AJ95"/>
  </rcc>
  <rcc rId="32900" sId="8">
    <oc r="AK95">
      <f>B95-E95</f>
    </oc>
    <nc r="AK95"/>
  </rcc>
  <rcc rId="32901" sId="8">
    <oc r="AH96">
      <f>H96+J96+L96+N96+P96+R96+T96+V96+X96+Z96+AB96+AD96</f>
    </oc>
    <nc r="AH96"/>
  </rcc>
  <rcc rId="32902" sId="8">
    <oc r="AI96">
      <f>AH96</f>
    </oc>
    <nc r="AI96"/>
  </rcc>
  <rcc rId="32903" sId="8">
    <oc r="AJ96">
      <f>I96+K96+M96+O96+Q96+S96+U96+W96+Y96+AA96+AC96+AE96</f>
    </oc>
    <nc r="AJ96"/>
  </rcc>
  <rcc rId="32904" sId="8">
    <oc r="AK96">
      <f>B96-E96</f>
    </oc>
    <nc r="AK96"/>
  </rcc>
  <rcc rId="32905" sId="8">
    <oc r="AH97">
      <f>H97+J97+L97+N97+P97+R97+T97+V97+X97+Z97+AB97+AD97</f>
    </oc>
    <nc r="AH97"/>
  </rcc>
  <rcc rId="32906" sId="8">
    <oc r="AI97">
      <f>AH97</f>
    </oc>
    <nc r="AI97"/>
  </rcc>
  <rcc rId="32907" sId="8">
    <oc r="AJ97">
      <f>I97+K97+M97+O97+Q97+S97+U97+W97+Y97+AA97+AC97+AE97</f>
    </oc>
    <nc r="AJ97"/>
  </rcc>
  <rcc rId="32908" sId="8">
    <oc r="AK97">
      <f>B97-E97</f>
    </oc>
    <nc r="AK97"/>
  </rcc>
  <rcc rId="32909" sId="8">
    <oc r="AH98">
      <f>H98+J98+L98+N98+P98+R98+T98+V98+X98+Z98+AB98+AD98</f>
    </oc>
    <nc r="AH98"/>
  </rcc>
  <rcc rId="32910" sId="8">
    <oc r="AI98">
      <f>AH98</f>
    </oc>
    <nc r="AI98"/>
  </rcc>
  <rcc rId="32911" sId="8">
    <oc r="AJ98">
      <f>I98+K98+M98+O98+Q98+S98+U98+W98+Y98+AA98+AC98+AE98</f>
    </oc>
    <nc r="AJ98"/>
  </rcc>
  <rcc rId="32912" sId="8">
    <oc r="AK98">
      <f>B98-E98</f>
    </oc>
    <nc r="AK98"/>
  </rcc>
  <rcc rId="32913" sId="8">
    <oc r="AH99">
      <f>H99+J99+L99+N99+P99+R99+T99+V99+X99+Z99+AB99+AD99</f>
    </oc>
    <nc r="AH99"/>
  </rcc>
  <rcc rId="32914" sId="8">
    <oc r="AI99">
      <f>AH99</f>
    </oc>
    <nc r="AI99"/>
  </rcc>
  <rcc rId="32915" sId="8">
    <oc r="AJ99">
      <f>I99+K99+M99+O99+Q99+S99+U99+W99+Y99+AA99+AC99+AE99</f>
    </oc>
    <nc r="AJ99"/>
  </rcc>
  <rcc rId="32916" sId="8">
    <oc r="AK99">
      <f>B99-E99</f>
    </oc>
    <nc r="AK99"/>
  </rcc>
  <rcc rId="32917" sId="8">
    <oc r="AH100">
      <f>H100+J100+L100+N100+P100+R100+T100+V100+X100+Z100+AB100+AD100</f>
    </oc>
    <nc r="AH100"/>
  </rcc>
  <rcc rId="32918" sId="8">
    <oc r="AI100">
      <f>AH100</f>
    </oc>
    <nc r="AI100"/>
  </rcc>
  <rcc rId="32919" sId="8">
    <oc r="AJ100">
      <f>I100+K100+M100+O100+Q100+S100+U100+W100+Y100+AA100+AC100+AE100</f>
    </oc>
    <nc r="AJ100"/>
  </rcc>
  <rcc rId="32920" sId="8">
    <oc r="AK100">
      <f>B100-E100</f>
    </oc>
    <nc r="AK100"/>
  </rcc>
  <rcc rId="32921" sId="8">
    <oc r="AH101">
      <f>H101+J101+L101+N101+P101+R101+T101+V101+X101+Z101+AB101+AD101</f>
    </oc>
    <nc r="AH101"/>
  </rcc>
  <rcc rId="32922" sId="8">
    <oc r="AI101">
      <f>AH101</f>
    </oc>
    <nc r="AI101"/>
  </rcc>
  <rcc rId="32923" sId="8">
    <oc r="AJ101">
      <f>I101+K101+M101+O101+Q101+S101+U101+W101+Y101+AA101+AC101+AE101</f>
    </oc>
    <nc r="AJ101"/>
  </rcc>
  <rcc rId="32924" sId="8">
    <oc r="AK101">
      <f>B101-E101</f>
    </oc>
    <nc r="AK101"/>
  </rcc>
  <rcc rId="32925" sId="8">
    <oc r="AH102">
      <f>H102+J102+L102+N102+P102+R102+T102+V102+X102+Z102+AB102+AD102</f>
    </oc>
    <nc r="AH102"/>
  </rcc>
  <rcc rId="32926" sId="8">
    <oc r="AI102">
      <f>AH102</f>
    </oc>
    <nc r="AI102"/>
  </rcc>
  <rcc rId="32927" sId="8">
    <oc r="AJ102">
      <f>I102+K102+M102+O102+Q102+S102+U102+W102+Y102+AA102+AC102+AE102</f>
    </oc>
    <nc r="AJ102"/>
  </rcc>
  <rcc rId="32928" sId="8">
    <oc r="AK102">
      <f>B102-E102</f>
    </oc>
    <nc r="AK102"/>
  </rcc>
  <rcc rId="32929" sId="8">
    <oc r="AH103">
      <f>H103+J103+L103+N103+P103+R103+T103+V103+X103+Z103+AB103+AD103</f>
    </oc>
    <nc r="AH103"/>
  </rcc>
  <rcc rId="32930" sId="8">
    <oc r="AI103">
      <f>AH103</f>
    </oc>
    <nc r="AI103"/>
  </rcc>
  <rcc rId="32931" sId="8">
    <oc r="AJ103">
      <f>I103+K103+M103+O103+Q103+S103+U103+W103+Y103+AA103+AC103+AE103</f>
    </oc>
    <nc r="AJ103"/>
  </rcc>
  <rcc rId="32932" sId="8">
    <oc r="AK103">
      <f>B103-E103</f>
    </oc>
    <nc r="AK103"/>
  </rcc>
  <rcc rId="32933" sId="8">
    <oc r="AH104">
      <f>H104+J104+L104+N104+P104+R104+T104+V104+X104+Z104+AB104+AD104</f>
    </oc>
    <nc r="AH104"/>
  </rcc>
  <rcc rId="32934" sId="8">
    <oc r="AI104">
      <f>AH104</f>
    </oc>
    <nc r="AI104"/>
  </rcc>
  <rcc rId="32935" sId="8">
    <oc r="AJ104">
      <f>I104+K104+M104+O104+Q104+S104+U104+W104+Y104+AA104+AC104+AE104</f>
    </oc>
    <nc r="AJ104"/>
  </rcc>
  <rcc rId="32936" sId="8">
    <oc r="AK104">
      <f>B104-E104</f>
    </oc>
    <nc r="AK104"/>
  </rcc>
  <rcc rId="32937" sId="8">
    <oc r="AH105">
      <f>H105+J105+L105+N105+P105+R105+T105+V105+X105+Z105+AB105+AD105</f>
    </oc>
    <nc r="AH105"/>
  </rcc>
  <rcc rId="32938" sId="8">
    <oc r="AI105">
      <f>AH105</f>
    </oc>
    <nc r="AI105"/>
  </rcc>
  <rcc rId="32939" sId="8">
    <oc r="AJ105">
      <f>I105+K105+M105+O105+Q105+S105+U105+W105+Y105+AA105+AC105+AE105</f>
    </oc>
    <nc r="AJ105"/>
  </rcc>
  <rcc rId="32940" sId="8">
    <oc r="AK105">
      <f>B105-E105</f>
    </oc>
    <nc r="AK105"/>
  </rcc>
  <rcc rId="32941" sId="8">
    <oc r="AH106">
      <f>H106+J106+L106+N106+P106+R106+T106+V106+X106+Z106+AB106+AD106</f>
    </oc>
    <nc r="AH106"/>
  </rcc>
  <rcc rId="32942" sId="8">
    <oc r="AI106">
      <f>AH106</f>
    </oc>
    <nc r="AI106"/>
  </rcc>
  <rcc rId="32943" sId="8">
    <oc r="AJ106">
      <f>I106+K106+M106+O106+Q106+S106+U106+W106+Y106+AA106+AC106+AE106</f>
    </oc>
    <nc r="AJ106"/>
  </rcc>
  <rcc rId="32944" sId="8">
    <oc r="AK106">
      <f>B106-E106</f>
    </oc>
    <nc r="AK106"/>
  </rcc>
  <rcc rId="32945" sId="8">
    <oc r="AH107">
      <f>H107+J107+L107+N107+P107+R107+T107+V107+X107+Z107+AB107+AD107</f>
    </oc>
    <nc r="AH107"/>
  </rcc>
  <rcc rId="32946" sId="8">
    <oc r="AI107">
      <f>AH107</f>
    </oc>
    <nc r="AI107"/>
  </rcc>
  <rcc rId="32947" sId="8">
    <oc r="AJ107">
      <f>I107+K107+M107+O107+Q107+S107+U107+W107+Y107+AA107+AC107+AE107</f>
    </oc>
    <nc r="AJ107"/>
  </rcc>
  <rcc rId="32948" sId="8">
    <oc r="AK107">
      <f>B107-E107</f>
    </oc>
    <nc r="AK107"/>
  </rcc>
  <rcc rId="32949" sId="8">
    <oc r="AH108">
      <f>H108+J108+L108+N108+P108+R108+T108+V108+X108+Z108+AB108+AD108</f>
    </oc>
    <nc r="AH108"/>
  </rcc>
  <rcc rId="32950" sId="8">
    <oc r="AI108">
      <f>AH108</f>
    </oc>
    <nc r="AI108"/>
  </rcc>
  <rcc rId="32951" sId="8">
    <oc r="AJ108">
      <f>I108+K108+M108+O108+Q108+S108+U108+W108+Y108+AA108+AC108+AE108</f>
    </oc>
    <nc r="AJ108"/>
  </rcc>
  <rcc rId="32952" sId="8">
    <oc r="AK108">
      <f>B108-E108</f>
    </oc>
    <nc r="AK108"/>
  </rcc>
  <rcc rId="32953" sId="8">
    <oc r="AH109">
      <f>H109+J109+L109+N109+P109+R109+T109+V109+X109+Z109+AB109+AD109</f>
    </oc>
    <nc r="AH109"/>
  </rcc>
  <rcc rId="32954" sId="8">
    <oc r="AI109">
      <f>AH109</f>
    </oc>
    <nc r="AI109"/>
  </rcc>
  <rcc rId="32955" sId="8">
    <oc r="AJ109">
      <f>I109+K109+M109+O109+Q109+S109+U109+W109+Y109+AA109+AC109+AE109</f>
    </oc>
    <nc r="AJ109"/>
  </rcc>
  <rcc rId="32956" sId="8">
    <oc r="AK109">
      <f>B109-E109</f>
    </oc>
    <nc r="AK109"/>
  </rcc>
  <rcc rId="32957" sId="8">
    <oc r="AH110">
      <f>H110+J110+L110+N110+P110+R110+T110+V110+X110+Z110+AB110+AD110</f>
    </oc>
    <nc r="AH110"/>
  </rcc>
  <rcc rId="32958" sId="8">
    <oc r="AI110">
      <f>AH110</f>
    </oc>
    <nc r="AI110"/>
  </rcc>
  <rcc rId="32959" sId="8">
    <oc r="AJ110">
      <f>I110+K110+M110+O110+Q110+S110+U110+W110+Y110+AA110+AC110+AE110</f>
    </oc>
    <nc r="AJ110"/>
  </rcc>
  <rcc rId="32960" sId="8">
    <oc r="AK110">
      <f>B110-E110</f>
    </oc>
    <nc r="AK110"/>
  </rcc>
  <rcc rId="32961" sId="8">
    <oc r="AH111">
      <f>H111+J111+L111+N111+P111+R111+T111+V111+X111+Z111+AB111+AD111</f>
    </oc>
    <nc r="AH111"/>
  </rcc>
  <rcc rId="32962" sId="8">
    <oc r="AI111">
      <f>AH111</f>
    </oc>
    <nc r="AI111"/>
  </rcc>
  <rcc rId="32963" sId="8">
    <oc r="AJ111">
      <f>I111+K111+M111+O111+Q111+S111+U111+W111+Y111+AA111+AC111+AE111</f>
    </oc>
    <nc r="AJ111"/>
  </rcc>
  <rcc rId="32964" sId="8">
    <oc r="AK111">
      <f>B111-E111</f>
    </oc>
    <nc r="AK111"/>
  </rcc>
  <rcc rId="32965" sId="8">
    <oc r="AH112">
      <f>H112+J112+L112+N112+P112+R112+T112+V112+X112+Z112+AB112+AD112</f>
    </oc>
    <nc r="AH112"/>
  </rcc>
  <rcc rId="32966" sId="8">
    <oc r="AI112">
      <f>AH112</f>
    </oc>
    <nc r="AI112"/>
  </rcc>
  <rcc rId="32967" sId="8">
    <oc r="AJ112">
      <f>I112+K112+M112+O112+Q112+S112+U112+W112+Y112+AA112+AC112+AE112</f>
    </oc>
    <nc r="AJ112"/>
  </rcc>
  <rcc rId="32968" sId="8">
    <oc r="AK112">
      <f>B112-E112</f>
    </oc>
    <nc r="AK112"/>
  </rcc>
  <rcc rId="32969" sId="8">
    <oc r="AH113">
      <f>H113+J113+L113+N113+P113+R113+T113+V113+X113+Z113+AB113+AD113</f>
    </oc>
    <nc r="AH113"/>
  </rcc>
  <rcc rId="32970" sId="8">
    <oc r="AI113">
      <f>AH113</f>
    </oc>
    <nc r="AI113"/>
  </rcc>
  <rcc rId="32971" sId="8">
    <oc r="AJ113">
      <f>I113+K113+M113+O113+Q113+S113+U113+W113+Y113+AA113+AC113+AE113</f>
    </oc>
    <nc r="AJ113"/>
  </rcc>
  <rcc rId="32972" sId="8">
    <oc r="AK113">
      <f>B113-E113</f>
    </oc>
    <nc r="AK113"/>
  </rcc>
  <rcc rId="32973" sId="8">
    <oc r="AH114">
      <f>H114+J114+L114+N114+P114+R114+T114+V114+X114+Z114+AB114+AD114</f>
    </oc>
    <nc r="AH114"/>
  </rcc>
  <rcc rId="32974" sId="8">
    <oc r="AI114">
      <f>AH114</f>
    </oc>
    <nc r="AI114"/>
  </rcc>
  <rcc rId="32975" sId="8">
    <oc r="AJ114">
      <f>I114+K114+M114+O114+Q114+S114+U114+W114+Y114+AA114+AC114+AE114</f>
    </oc>
    <nc r="AJ114"/>
  </rcc>
  <rcc rId="32976" sId="8">
    <oc r="AK114">
      <f>B114-E114</f>
    </oc>
    <nc r="AK114"/>
  </rcc>
  <rcc rId="32977" sId="8">
    <oc r="AH115">
      <f>H115+J115+L115+N115+P115+R115+T115+V115+X115+Z115+AB115+AD115</f>
    </oc>
    <nc r="AH115"/>
  </rcc>
  <rcc rId="32978" sId="8">
    <oc r="AI115">
      <f>AH115</f>
    </oc>
    <nc r="AI115"/>
  </rcc>
  <rcc rId="32979" sId="8">
    <oc r="AJ115">
      <f>I115+K115+M115+O115+Q115+S115+U115+W115+Y115+AA115+AC115+AE115</f>
    </oc>
    <nc r="AJ115"/>
  </rcc>
  <rcc rId="32980" sId="8">
    <oc r="AK115">
      <f>B115-E115</f>
    </oc>
    <nc r="AK115"/>
  </rcc>
  <rcc rId="32981" sId="8">
    <oc r="AH116">
      <f>H116+J116+L116+N116+P116+R116+T116+V116+X116+Z116+AB116+AD116</f>
    </oc>
    <nc r="AH116"/>
  </rcc>
  <rcc rId="32982" sId="8">
    <oc r="AI116">
      <f>AH116</f>
    </oc>
    <nc r="AI116"/>
  </rcc>
  <rcc rId="32983" sId="8">
    <oc r="AJ116">
      <f>I116+K116+M116+O116+Q116+S116+U116+W116+Y116+AA116+AC116+AE116</f>
    </oc>
    <nc r="AJ116"/>
  </rcc>
  <rcc rId="32984" sId="8">
    <oc r="AK116">
      <f>B116-E116</f>
    </oc>
    <nc r="AK116"/>
  </rcc>
  <rcc rId="32985" sId="8">
    <oc r="AH117">
      <f>H117+J117+L117+N117+P117+R117+T117+V117+X117+Z117+AB117+AD117</f>
    </oc>
    <nc r="AH117"/>
  </rcc>
  <rcc rId="32986" sId="8">
    <oc r="AI117">
      <f>AH117</f>
    </oc>
    <nc r="AI117"/>
  </rcc>
  <rcc rId="32987" sId="8">
    <oc r="AJ117">
      <f>I117+K117+M117+O117+Q117+S117+U117+W117+Y117+AA117+AC117+AE117</f>
    </oc>
    <nc r="AJ117"/>
  </rcc>
  <rcc rId="32988" sId="8">
    <oc r="AK117">
      <f>B117-E117</f>
    </oc>
    <nc r="AK117"/>
  </rcc>
  <rcc rId="32989" sId="8">
    <oc r="AH118">
      <f>H118+J118+L118+N118+P118+R118+T118+V118+X118+Z118+AB118+AD118</f>
    </oc>
    <nc r="AH118"/>
  </rcc>
  <rcc rId="32990" sId="8">
    <oc r="AI118">
      <f>AH118</f>
    </oc>
    <nc r="AI118"/>
  </rcc>
  <rcc rId="32991" sId="8">
    <oc r="AJ118">
      <f>I118+K118+M118+O118+Q118+S118+U118+W118+Y118+AA118+AC118+AE118</f>
    </oc>
    <nc r="AJ118"/>
  </rcc>
  <rcc rId="32992" sId="8">
    <oc r="AK118">
      <f>B118-E118</f>
    </oc>
    <nc r="AK118"/>
  </rcc>
  <rcc rId="32993" sId="8">
    <oc r="AH119">
      <f>H119+J119+L119+N119+P119+R119+T119+V119+X119+Z119+AB119+AD119</f>
    </oc>
    <nc r="AH119"/>
  </rcc>
  <rcc rId="32994" sId="8">
    <oc r="AI119">
      <f>AH119</f>
    </oc>
    <nc r="AI119"/>
  </rcc>
  <rcc rId="32995" sId="8">
    <oc r="AJ119">
      <f>I119+K119+M119+O119+Q119+S119+U119+W119+Y119+AA119+AC119+AE119</f>
    </oc>
    <nc r="AJ119"/>
  </rcc>
  <rcc rId="32996" sId="8">
    <oc r="AK119">
      <f>B119-E119</f>
    </oc>
    <nc r="AK119"/>
  </rcc>
  <rcc rId="32997" sId="8">
    <oc r="AH120">
      <f>H120+J120+L120+N120+P120+R120+T120+V120+X120+Z120+AB120+AD120</f>
    </oc>
    <nc r="AH120"/>
  </rcc>
  <rcc rId="32998" sId="8">
    <oc r="AI120">
      <f>AH120</f>
    </oc>
    <nc r="AI120"/>
  </rcc>
  <rcc rId="32999" sId="8">
    <oc r="AJ120">
      <f>I120+K120+M120+O120+Q120+S120+U120+W120+Y120+AA120+AC120+AE120</f>
    </oc>
    <nc r="AJ120"/>
  </rcc>
  <rcc rId="33000" sId="8">
    <oc r="AK120">
      <f>B120-E120</f>
    </oc>
    <nc r="AK120"/>
  </rcc>
  <rcc rId="33001" sId="8">
    <oc r="AH121">
      <f>H121+J121+L121+N121+P121+R121+T121+V121+X121+Z121+AB121+AD121</f>
    </oc>
    <nc r="AH121"/>
  </rcc>
  <rcc rId="33002" sId="8">
    <oc r="AI121">
      <f>AH121</f>
    </oc>
    <nc r="AI121"/>
  </rcc>
  <rcc rId="33003" sId="8">
    <oc r="AJ121">
      <f>I121+K121+M121+O121+Q121+S121+U121+W121+Y121+AA121+AC121+AE121</f>
    </oc>
    <nc r="AJ121"/>
  </rcc>
  <rcc rId="33004" sId="8">
    <oc r="AK121">
      <f>B121-E121</f>
    </oc>
    <nc r="AK121"/>
  </rcc>
  <rcc rId="33005" sId="8">
    <oc r="AH122">
      <f>H122+J122+L122+N122+P122+R122+T122+V122+X122+Z122+AB122+AD122</f>
    </oc>
    <nc r="AH122"/>
  </rcc>
  <rcc rId="33006" sId="8">
    <oc r="AI122">
      <f>AH122</f>
    </oc>
    <nc r="AI122"/>
  </rcc>
  <rcc rId="33007" sId="8">
    <oc r="AJ122">
      <f>I122+K122+M122+O122+Q122+S122+U122+W122+Y122+AA122+AC122+AE122</f>
    </oc>
    <nc r="AJ122"/>
  </rcc>
  <rcc rId="33008" sId="8">
    <oc r="AK122">
      <f>B122-E122</f>
    </oc>
    <nc r="AK122"/>
  </rcc>
  <rcc rId="33009" sId="8">
    <oc r="AH123">
      <f>H123+J123+L123+N123+P123+R123+T123+V123+X123+Z123+AB123+AD123</f>
    </oc>
    <nc r="AH123"/>
  </rcc>
  <rcc rId="33010" sId="8">
    <oc r="AI123">
      <f>AH123</f>
    </oc>
    <nc r="AI123"/>
  </rcc>
  <rcc rId="33011" sId="8">
    <oc r="AJ123">
      <f>I123+K123+M123+O123+Q123+S123+U123+W123+Y123+AA123+AC123+AE123</f>
    </oc>
    <nc r="AJ123"/>
  </rcc>
  <rcc rId="33012" sId="8">
    <oc r="AK123">
      <f>B123-E123</f>
    </oc>
    <nc r="AK123"/>
  </rcc>
  <rcc rId="33013" sId="8">
    <oc r="AH124">
      <f>H124+J124+L124+N124+P124+R124+T124+V124+X124+Z124+AB124+AD124</f>
    </oc>
    <nc r="AH124"/>
  </rcc>
  <rcc rId="33014" sId="8">
    <oc r="AI124">
      <f>AH124</f>
    </oc>
    <nc r="AI124"/>
  </rcc>
  <rcc rId="33015" sId="8">
    <oc r="AJ124">
      <f>I124+K124+M124+O124+Q124+S124+U124+W124+Y124+AA124+AC124+AE124</f>
    </oc>
    <nc r="AJ124"/>
  </rcc>
  <rcc rId="33016" sId="8">
    <oc r="AK124">
      <f>B124-E124</f>
    </oc>
    <nc r="AK124"/>
  </rcc>
  <rcc rId="33017" sId="8">
    <oc r="AH125">
      <f>H125+J125+L125+N125+P125+R125+T125+V125+X125+Z125+AB125+AD125</f>
    </oc>
    <nc r="AH125"/>
  </rcc>
  <rcc rId="33018" sId="8">
    <oc r="AI125">
      <f>AH125</f>
    </oc>
    <nc r="AI125"/>
  </rcc>
  <rcc rId="33019" sId="8">
    <oc r="AJ125">
      <f>I125+K125+M125+O125+Q125+S125+U125+W125+Y125+AA125+AC125+AE125</f>
    </oc>
    <nc r="AJ125"/>
  </rcc>
  <rcc rId="33020" sId="8">
    <oc r="AK125">
      <f>B125-E125</f>
    </oc>
    <nc r="AK125"/>
  </rcc>
  <rcc rId="33021" sId="8">
    <oc r="AH126">
      <f>H126+J126+L126+N126+P126+R126+T126+V126+X126+Z126+AB126+AD126</f>
    </oc>
    <nc r="AH126"/>
  </rcc>
  <rcc rId="33022" sId="8">
    <oc r="AI126">
      <f>AH126</f>
    </oc>
    <nc r="AI126"/>
  </rcc>
  <rcc rId="33023" sId="8">
    <oc r="AJ126">
      <f>I126+K126+M126+O126+Q126+S126+U126+W126+Y126+AA126+AC126+AE126</f>
    </oc>
    <nc r="AJ126"/>
  </rcc>
  <rcc rId="33024" sId="8">
    <oc r="AK126">
      <f>B126-E126</f>
    </oc>
    <nc r="AK126"/>
  </rcc>
  <rcc rId="33025" sId="8">
    <oc r="AH127">
      <f>H127+J127+L127+N127+P127+R127+T127+V127+X127+Z127+AB127+AD127</f>
    </oc>
    <nc r="AH127"/>
  </rcc>
  <rcc rId="33026" sId="8">
    <oc r="AI127">
      <f>AH127</f>
    </oc>
    <nc r="AI127"/>
  </rcc>
  <rcc rId="33027" sId="8">
    <oc r="AJ127">
      <f>I127+K127+M127+O127+Q127+S127+U127+W127+Y127+AA127+AC127+AE127</f>
    </oc>
    <nc r="AJ127"/>
  </rcc>
  <rcc rId="33028" sId="8">
    <oc r="AK127">
      <f>B127-E127</f>
    </oc>
    <nc r="AK127"/>
  </rcc>
  <rcc rId="33029" sId="8">
    <oc r="AH128">
      <f>H128+J128+L128+N128+P128+R128+T128+V128+X128+Z128+AB128+AD128</f>
    </oc>
    <nc r="AH128"/>
  </rcc>
  <rcc rId="33030" sId="8">
    <oc r="AI128">
      <f>AH128</f>
    </oc>
    <nc r="AI128"/>
  </rcc>
  <rcc rId="33031" sId="8">
    <oc r="AJ128">
      <f>I128+K128+M128+O128+Q128+S128+U128+W128+Y128+AA128+AC128+AE128</f>
    </oc>
    <nc r="AJ128"/>
  </rcc>
  <rcc rId="33032" sId="8">
    <oc r="AK128">
      <f>B128-E128</f>
    </oc>
    <nc r="AK128"/>
  </rcc>
  <rcc rId="33033" sId="8">
    <oc r="AH129">
      <f>H129+J129+L129+N129+P129+R129+T129+V129+X129+Z129+AB129+AD129</f>
    </oc>
    <nc r="AH129"/>
  </rcc>
  <rcc rId="33034" sId="8">
    <oc r="AI129">
      <f>AH129</f>
    </oc>
    <nc r="AI129"/>
  </rcc>
  <rcc rId="33035" sId="8">
    <oc r="AJ129">
      <f>I129+K129+M129+O129+Q129+S129+U129+W129+Y129+AA129+AC129+AE129</f>
    </oc>
    <nc r="AJ129"/>
  </rcc>
  <rcc rId="33036" sId="8">
    <oc r="AK129">
      <f>B129-E129</f>
    </oc>
    <nc r="AK129"/>
  </rcc>
  <rcc rId="33037" sId="8">
    <oc r="AH130">
      <f>H130+J130+L130+N130+P130+R130+T130+V130+X130+Z130+AB130+AD130</f>
    </oc>
    <nc r="AH130"/>
  </rcc>
  <rcc rId="33038" sId="8">
    <oc r="AI130">
      <f>AH130</f>
    </oc>
    <nc r="AI130"/>
  </rcc>
  <rcc rId="33039" sId="8">
    <oc r="AJ130">
      <f>I130+K130+M130+O130+Q130+S130+U130+W130+Y130+AA130+AC130+AE130</f>
    </oc>
    <nc r="AJ130"/>
  </rcc>
  <rcc rId="33040" sId="8">
    <oc r="AK130">
      <f>B130-E130</f>
    </oc>
    <nc r="AK130"/>
  </rcc>
  <rcc rId="33041" sId="8">
    <oc r="AH131">
      <f>H131+J131+L131+N131+P131+R131+T131+V131+X131+Z131+AB131+AD131</f>
    </oc>
    <nc r="AH131"/>
  </rcc>
  <rcc rId="33042" sId="8">
    <oc r="AI131">
      <f>AH131</f>
    </oc>
    <nc r="AI131"/>
  </rcc>
  <rcc rId="33043" sId="8">
    <oc r="AJ131">
      <f>I131+K131+M131+O131+Q131+S131+U131+W131+Y131+AA131+AC131+AE131</f>
    </oc>
    <nc r="AJ131"/>
  </rcc>
  <rcc rId="33044" sId="8">
    <oc r="AK131">
      <f>B131-E131</f>
    </oc>
    <nc r="AK131"/>
  </rcc>
  <rcc rId="33045" sId="8">
    <oc r="AH132">
      <f>H132+J132+L132+N132+P132+R132+T132+V132+X132+Z132+AB132+AD132</f>
    </oc>
    <nc r="AH132"/>
  </rcc>
  <rcc rId="33046" sId="8">
    <oc r="AI132">
      <f>AH132</f>
    </oc>
    <nc r="AI132"/>
  </rcc>
  <rcc rId="33047" sId="8">
    <oc r="AJ132">
      <f>I132+K132+M132+O132+Q132+S132+U132+W132+Y132+AA132+AC132+AE132</f>
    </oc>
    <nc r="AJ132"/>
  </rcc>
  <rcc rId="33048" sId="8">
    <oc r="AK132">
      <f>B132-E132</f>
    </oc>
    <nc r="AK132"/>
  </rcc>
  <rcc rId="33049" sId="8">
    <oc r="AH133">
      <f>H133+J133+L133+N133+P133+R133+T133+V133+X133+Z133+AB133+AD133</f>
    </oc>
    <nc r="AH133"/>
  </rcc>
  <rcc rId="33050" sId="8">
    <oc r="AI133">
      <f>AH133</f>
    </oc>
    <nc r="AI133"/>
  </rcc>
  <rcc rId="33051" sId="8">
    <oc r="AJ133">
      <f>I133+K133+M133+O133+Q133+S133+U133+W133+Y133+AA133+AC133+AE133</f>
    </oc>
    <nc r="AJ133"/>
  </rcc>
  <rcc rId="33052" sId="8">
    <oc r="AK133">
      <f>B133-E133</f>
    </oc>
    <nc r="AK133"/>
  </rcc>
  <rcc rId="33053" sId="8">
    <oc r="AH134">
      <f>H134+J134+L134+N134+P134+R134+T134+V134+X134+Z134+AB134+AD134</f>
    </oc>
    <nc r="AH134"/>
  </rcc>
  <rcc rId="33054" sId="8">
    <oc r="AI134">
      <f>AH134</f>
    </oc>
    <nc r="AI134"/>
  </rcc>
  <rcc rId="33055" sId="8">
    <oc r="AJ134">
      <f>I134+K134+M134+O134+Q134+S134+U134+W134+Y134+AA134+AC134+AE134</f>
    </oc>
    <nc r="AJ134"/>
  </rcc>
  <rcc rId="33056" sId="8">
    <oc r="AK134">
      <f>B134-E134</f>
    </oc>
    <nc r="AK134"/>
  </rcc>
  <rcc rId="33057" sId="8">
    <oc r="AH135">
      <f>H135+J135+L135+N135+P135+R135+T135+V135+X135+Z135+AB135+AD135</f>
    </oc>
    <nc r="AH135"/>
  </rcc>
  <rcc rId="33058" sId="8">
    <oc r="AI135">
      <f>AH135</f>
    </oc>
    <nc r="AI135"/>
  </rcc>
  <rcc rId="33059" sId="8">
    <oc r="AJ135">
      <f>I135+K135+M135+O135+Q135+S135+U135+W135+Y135+AA135+AC135+AE135</f>
    </oc>
    <nc r="AJ135"/>
  </rcc>
  <rcc rId="33060" sId="8">
    <oc r="AK135">
      <f>B135-E135</f>
    </oc>
    <nc r="AK135"/>
  </rcc>
  <rcc rId="33061" sId="8">
    <oc r="AH136">
      <f>H136+J136+L136+N136+P136+R136+T136+V136+X136+Z136+AB136+AD136</f>
    </oc>
    <nc r="AH136"/>
  </rcc>
  <rcc rId="33062" sId="8">
    <oc r="AI136">
      <f>AH136</f>
    </oc>
    <nc r="AI136"/>
  </rcc>
  <rcc rId="33063" sId="8">
    <oc r="AJ136">
      <f>I136+K136+M136+O136+Q136+S136+U136+W136+Y136+AA136+AC136+AE136</f>
    </oc>
    <nc r="AJ136"/>
  </rcc>
  <rcc rId="33064" sId="8">
    <oc r="AK136">
      <f>B136-E136</f>
    </oc>
    <nc r="AK136"/>
  </rcc>
  <rcc rId="33065" sId="8">
    <oc r="AH137">
      <f>H137+J137+L137+N137+P137+R137+T137+V137+X137+Z137+AB137+AD137</f>
    </oc>
    <nc r="AH137"/>
  </rcc>
  <rcc rId="33066" sId="8">
    <oc r="AI137">
      <f>AH137</f>
    </oc>
    <nc r="AI137"/>
  </rcc>
  <rcc rId="33067" sId="8">
    <oc r="AJ137">
      <f>I137+K137+M137+O137+Q137+S137+U137+W137+Y137+AA137+AC137+AE137</f>
    </oc>
    <nc r="AJ137"/>
  </rcc>
  <rcc rId="33068" sId="8">
    <oc r="AK137">
      <f>B137-E137</f>
    </oc>
    <nc r="AK137"/>
  </rcc>
  <rcc rId="33069" sId="8">
    <oc r="AH138">
      <f>H138+J138+L138+N138+P138+R138+T138+V138+X138+Z138+AB138+AD138</f>
    </oc>
    <nc r="AH138"/>
  </rcc>
  <rcc rId="33070" sId="8">
    <oc r="AI138">
      <f>AH138</f>
    </oc>
    <nc r="AI138"/>
  </rcc>
  <rcc rId="33071" sId="8">
    <oc r="AJ138">
      <f>I138+K138+M138+O138+Q138+S138+U138+W138+Y138+AA138+AC138+AE138</f>
    </oc>
    <nc r="AJ138"/>
  </rcc>
  <rcc rId="33072" sId="8">
    <oc r="AK138">
      <f>B138-E138</f>
    </oc>
    <nc r="AK138"/>
  </rcc>
  <rcc rId="33073" sId="8">
    <oc r="AH139">
      <f>H139+J139+L139+N139+P139+R139+T139+V139+X139+Z139+AB139+AD139</f>
    </oc>
    <nc r="AH139"/>
  </rcc>
  <rcc rId="33074" sId="8">
    <oc r="AI139">
      <f>AH139</f>
    </oc>
    <nc r="AI139"/>
  </rcc>
  <rcc rId="33075" sId="8">
    <oc r="AJ139">
      <f>I139+K139+M139+O139+Q139+S139+U139+W139+Y139+AA139+AC139+AE139</f>
    </oc>
    <nc r="AJ139"/>
  </rcc>
  <rcc rId="33076" sId="8">
    <oc r="AK139">
      <f>B139-E139</f>
    </oc>
    <nc r="AK139"/>
  </rcc>
  <rcc rId="33077" sId="8">
    <oc r="AH140">
      <f>H140+J140+L140+N140+P140+R140+T140+V140+X140+Z140+AB140+AD140</f>
    </oc>
    <nc r="AH140"/>
  </rcc>
  <rcc rId="33078" sId="8">
    <oc r="AI140">
      <f>AH140</f>
    </oc>
    <nc r="AI140"/>
  </rcc>
  <rcc rId="33079" sId="8">
    <oc r="AJ140">
      <f>I140+K140+M140+O140+Q140+S140+U140+W140+Y140+AA140+AC140+AE140</f>
    </oc>
    <nc r="AJ140"/>
  </rcc>
  <rcc rId="33080" sId="8">
    <oc r="AK140">
      <f>B140-E140</f>
    </oc>
    <nc r="AK140"/>
  </rcc>
  <rcc rId="33081" sId="8">
    <oc r="AH141">
      <f>H141+J141+L141+N141+P141+R141+T141+V141+X141+Z141+AB141+AD141</f>
    </oc>
    <nc r="AH141"/>
  </rcc>
  <rcc rId="33082" sId="8">
    <oc r="AI141">
      <f>AH141</f>
    </oc>
    <nc r="AI141"/>
  </rcc>
  <rcc rId="33083" sId="8">
    <oc r="AJ141">
      <f>I141+K141+M141+O141+Q141+S141+U141+W141+Y141+AA141+AC141+AE141</f>
    </oc>
    <nc r="AJ141"/>
  </rcc>
  <rcc rId="33084" sId="8">
    <oc r="AK141">
      <f>B141-E141</f>
    </oc>
    <nc r="AK141"/>
  </rcc>
  <rcc rId="33085" sId="8">
    <oc r="AH142">
      <f>H142+J142+L142+N142+P142+R142+T142+V142+X142+Z142+AB142+AD142</f>
    </oc>
    <nc r="AH142"/>
  </rcc>
  <rcc rId="33086" sId="8">
    <oc r="AI142">
      <f>AH142</f>
    </oc>
    <nc r="AI142"/>
  </rcc>
  <rcc rId="33087" sId="8">
    <oc r="AJ142">
      <f>I142+K142+M142+O142+Q142+S142+U142+W142+Y142+AA142+AC142+AE142</f>
    </oc>
    <nc r="AJ142"/>
  </rcc>
  <rcc rId="33088" sId="8">
    <oc r="AK142">
      <f>B142-E142</f>
    </oc>
    <nc r="AK142"/>
  </rcc>
  <rcc rId="33089" sId="8">
    <oc r="AH143">
      <f>H143+J143+L143+N143+P143+R143+T143+V143+X143+Z143+AB143+AD143</f>
    </oc>
    <nc r="AH143"/>
  </rcc>
  <rcc rId="33090" sId="8">
    <oc r="AI143">
      <f>AH143</f>
    </oc>
    <nc r="AI143"/>
  </rcc>
  <rcc rId="33091" sId="8">
    <oc r="AJ143">
      <f>I143+K143+M143+O143+Q143+S143+U143+W143+Y143+AA143+AC143+AE143</f>
    </oc>
    <nc r="AJ143"/>
  </rcc>
  <rcc rId="33092" sId="8">
    <oc r="AK143">
      <f>B143-E143</f>
    </oc>
    <nc r="AK143"/>
  </rcc>
  <rcc rId="33093" sId="8">
    <oc r="AH144">
      <f>H144+J144+L144+N144+P144+R144+T144+V144+X144+Z144+AB144+AD144</f>
    </oc>
    <nc r="AH144"/>
  </rcc>
  <rcc rId="33094" sId="8">
    <oc r="AI144">
      <f>AH144</f>
    </oc>
    <nc r="AI144"/>
  </rcc>
  <rcc rId="33095" sId="8">
    <oc r="AJ144">
      <f>I144+K144+M144+O144+Q144+S144+U144+W144+Y144+AA144+AC144+AE144</f>
    </oc>
    <nc r="AJ144"/>
  </rcc>
  <rcc rId="33096" sId="8">
    <oc r="AK144">
      <f>B144-E144</f>
    </oc>
    <nc r="AK144"/>
  </rcc>
  <rcc rId="33097" sId="8">
    <oc r="AH145">
      <f>H145+J145+L145+N145+P145+R145+T145+V145+X145+Z145+AB145+AD145</f>
    </oc>
    <nc r="AH145"/>
  </rcc>
  <rcc rId="33098" sId="8">
    <oc r="AI145">
      <f>AH145</f>
    </oc>
    <nc r="AI145"/>
  </rcc>
  <rcc rId="33099" sId="8">
    <oc r="AJ145">
      <f>I145+K145+M145+O145+Q145+S145+U145+W145+Y145+AA145+AC145+AE145</f>
    </oc>
    <nc r="AJ145"/>
  </rcc>
  <rcc rId="33100" sId="8">
    <oc r="AK145">
      <f>B145-E145</f>
    </oc>
    <nc r="AK145"/>
  </rcc>
  <rcc rId="33101" sId="8">
    <oc r="AH146">
      <f>H146+J146+L146+N146+P146+R146+T146+V146+X146+Z146+AB146+AD146</f>
    </oc>
    <nc r="AH146"/>
  </rcc>
  <rcc rId="33102" sId="8">
    <oc r="AI146">
      <f>AH146</f>
    </oc>
    <nc r="AI146"/>
  </rcc>
  <rcc rId="33103" sId="8">
    <oc r="AJ146">
      <f>I146+K146+M146+O146+Q146+S146+U146+W146+Y146+AA146+AC146+AE146</f>
    </oc>
    <nc r="AJ146"/>
  </rcc>
  <rcc rId="33104" sId="8">
    <oc r="AK146">
      <f>B146-E146</f>
    </oc>
    <nc r="AK146"/>
  </rcc>
  <rcc rId="33105" sId="8">
    <oc r="AH147">
      <f>H147+J147+L147+N147+P147+R147+T147+V147+X147+Z147+AB147+AD147</f>
    </oc>
    <nc r="AH147"/>
  </rcc>
  <rcc rId="33106" sId="8">
    <oc r="AI147">
      <f>AH147</f>
    </oc>
    <nc r="AI147"/>
  </rcc>
  <rcc rId="33107" sId="8">
    <oc r="AJ147">
      <f>I147+K147+M147+O147+Q147+S147+U147+W147+Y147+AA147+AC147+AE147</f>
    </oc>
    <nc r="AJ147"/>
  </rcc>
  <rcc rId="33108" sId="8">
    <oc r="AK147">
      <f>B147-E147</f>
    </oc>
    <nc r="AK147"/>
  </rcc>
  <rcc rId="33109" sId="8">
    <oc r="AH148">
      <f>H148+J148+L148+N148+P148+R148+T148+V148+X148+Z148+AB148+AD148</f>
    </oc>
    <nc r="AH148"/>
  </rcc>
  <rcc rId="33110" sId="8">
    <oc r="AI148">
      <f>AH148</f>
    </oc>
    <nc r="AI148"/>
  </rcc>
  <rcc rId="33111" sId="8">
    <oc r="AJ148">
      <f>I148+K148+M148+O148+Q148+S148+U148+W148+Y148+AA148+AC148+AE148</f>
    </oc>
    <nc r="AJ148"/>
  </rcc>
  <rcc rId="33112" sId="8">
    <oc r="AK148">
      <f>B148-E148</f>
    </oc>
    <nc r="AK148"/>
  </rcc>
  <rcc rId="33113" sId="8">
    <oc r="AH149">
      <f>H149+J149+L149+N149+P149+R149+T149+V149+X149+Z149+AB149+AD149</f>
    </oc>
    <nc r="AH149"/>
  </rcc>
  <rcc rId="33114" sId="8">
    <oc r="AI149">
      <f>AH149</f>
    </oc>
    <nc r="AI149"/>
  </rcc>
  <rcc rId="33115" sId="8">
    <oc r="AJ149">
      <f>I149+K149+M149+O149+Q149+S149+U149+W149+Y149+AA149+AC149+AE149</f>
    </oc>
    <nc r="AJ149"/>
  </rcc>
  <rcc rId="33116" sId="8">
    <oc r="AK149">
      <f>B149-E149</f>
    </oc>
    <nc r="AK149"/>
  </rcc>
  <rcc rId="33117" sId="8">
    <oc r="AH150">
      <f>H150+J150+L150+N150+P150+R150+T150+V150+X150+Z150+AB150+AD150</f>
    </oc>
    <nc r="AH150"/>
  </rcc>
  <rcc rId="33118" sId="8">
    <oc r="AI150">
      <f>AH150</f>
    </oc>
    <nc r="AI150"/>
  </rcc>
  <rcc rId="33119" sId="8">
    <oc r="AJ150">
      <f>I150+K150+M150+O150+Q150+S150+U150+W150+Y150+AA150+AC150+AE150</f>
    </oc>
    <nc r="AJ150"/>
  </rcc>
  <rcc rId="33120" sId="8">
    <oc r="AK150">
      <f>B150-E150</f>
    </oc>
    <nc r="AK150"/>
  </rcc>
  <rcc rId="33121" sId="8">
    <oc r="AH151">
      <f>H151+J151+L151+N151+P151+R151+T151+V151+X151+Z151+AB151+AD151</f>
    </oc>
    <nc r="AH151"/>
  </rcc>
  <rcc rId="33122" sId="8">
    <oc r="AI151">
      <f>AH151</f>
    </oc>
    <nc r="AI151"/>
  </rcc>
  <rcc rId="33123" sId="8">
    <oc r="AJ151">
      <f>I151+K151+M151+O151+Q151+S151+U151+W151+Y151+AA151+AC151+AE151</f>
    </oc>
    <nc r="AJ151"/>
  </rcc>
  <rcc rId="33124" sId="8">
    <oc r="AK151">
      <f>B151-E151</f>
    </oc>
    <nc r="AK151"/>
  </rcc>
  <rcc rId="33125" sId="8">
    <oc r="AH152">
      <f>H152+J152+L152+N152+P152+R152+T152+V152+X152+Z152+AB152+AD152</f>
    </oc>
    <nc r="AH152"/>
  </rcc>
  <rcc rId="33126" sId="8">
    <oc r="AI152">
      <f>AH152</f>
    </oc>
    <nc r="AI152"/>
  </rcc>
  <rcc rId="33127" sId="8">
    <oc r="AJ152">
      <f>I152+K152+M152+O152+Q152+S152+U152+W152+Y152+AA152+AC152+AE152</f>
    </oc>
    <nc r="AJ152"/>
  </rcc>
  <rcc rId="33128" sId="8">
    <oc r="AK152">
      <f>B152-E152</f>
    </oc>
    <nc r="AK152"/>
  </rcc>
  <rcc rId="33129" sId="8">
    <oc r="AH153">
      <f>H153+J153+L153+N153+P153+R153+T153+V153+X153+Z153+AB153+AD153</f>
    </oc>
    <nc r="AH153"/>
  </rcc>
  <rcc rId="33130" sId="8">
    <oc r="AI153">
      <f>AH153</f>
    </oc>
    <nc r="AI153"/>
  </rcc>
  <rcc rId="33131" sId="8">
    <oc r="AJ153">
      <f>I153+K153+M153+O153+Q153+S153+U153+W153+Y153+AA153+AC153+AE153</f>
    </oc>
    <nc r="AJ153"/>
  </rcc>
  <rcc rId="33132" sId="8">
    <oc r="AK153">
      <f>B153-E153</f>
    </oc>
    <nc r="AK153"/>
  </rcc>
  <rcc rId="33133" sId="8">
    <oc r="AH154">
      <f>H154+J154+L154+N154+P154+R154+T154+V154+X154+Z154+AB154+AD154</f>
    </oc>
    <nc r="AH154"/>
  </rcc>
  <rcc rId="33134" sId="8">
    <oc r="AI154">
      <f>AH154</f>
    </oc>
    <nc r="AI154"/>
  </rcc>
  <rcc rId="33135" sId="8">
    <oc r="AJ154">
      <f>I154+K154+M154+O154+Q154+S154+U154+W154+Y154+AA154+AC154+AE154</f>
    </oc>
    <nc r="AJ154"/>
  </rcc>
  <rcc rId="33136" sId="8">
    <oc r="AK154">
      <f>B154-E154</f>
    </oc>
    <nc r="AK154"/>
  </rcc>
  <rcc rId="33137" sId="8">
    <oc r="AH155">
      <f>H155+J155+L155+N155+P155+R155+T155+V155+X155+Z155+AB155+AD155</f>
    </oc>
    <nc r="AH155"/>
  </rcc>
  <rcc rId="33138" sId="8">
    <oc r="AI155">
      <f>AH155</f>
    </oc>
    <nc r="AI155"/>
  </rcc>
  <rcc rId="33139" sId="8">
    <oc r="AJ155">
      <f>I155+K155+M155+O155+Q155+S155+U155+W155+Y155+AA155+AC155+AE155</f>
    </oc>
    <nc r="AJ155"/>
  </rcc>
  <rcc rId="33140" sId="8">
    <oc r="AK155">
      <f>B155-E155</f>
    </oc>
    <nc r="AK155"/>
  </rcc>
  <rcc rId="33141" sId="8">
    <oc r="AH156">
      <f>H156+J156+L156+N156+P156+R156+T156+V156+X156+Z156+AB156+AD156</f>
    </oc>
    <nc r="AH156"/>
  </rcc>
  <rcc rId="33142" sId="8">
    <oc r="AI156">
      <f>AH156</f>
    </oc>
    <nc r="AI156"/>
  </rcc>
  <rcc rId="33143" sId="8">
    <oc r="AJ156">
      <f>I156+K156+M156+O156+Q156+S156+U156+W156+Y156+AA156+AC156+AE156</f>
    </oc>
    <nc r="AJ156"/>
  </rcc>
  <rcc rId="33144" sId="8">
    <oc r="AK156">
      <f>B156-E156</f>
    </oc>
    <nc r="AK156"/>
  </rcc>
  <rcc rId="33145" sId="8">
    <oc r="AH157">
      <f>H157+J157+L157+N157+P157+R157+T157+V157+X157+Z157+AB157+AD157</f>
    </oc>
    <nc r="AH157"/>
  </rcc>
  <rcc rId="33146" sId="8">
    <oc r="AI157">
      <f>AH157</f>
    </oc>
    <nc r="AI157"/>
  </rcc>
  <rcc rId="33147" sId="8">
    <oc r="AJ157">
      <f>I157+K157+M157+O157+Q157+S157+U157+W157+Y157+AA157+AC157+AE157</f>
    </oc>
    <nc r="AJ157"/>
  </rcc>
  <rcc rId="33148" sId="8">
    <oc r="AK157">
      <f>B157-E157</f>
    </oc>
    <nc r="AK157"/>
  </rcc>
  <rcc rId="33149" sId="8">
    <oc r="AH158">
      <f>H158+J158+L158+N158+P158+R158+T158+V158+X158+Z158+AB158+AD158</f>
    </oc>
    <nc r="AH158"/>
  </rcc>
  <rcc rId="33150" sId="8">
    <oc r="AI158">
      <f>AH158</f>
    </oc>
    <nc r="AI158"/>
  </rcc>
  <rcc rId="33151" sId="8">
    <oc r="AJ158">
      <f>I158+K158+M158+O158+Q158+S158+U158+W158+Y158+AA158+AC158+AE158</f>
    </oc>
    <nc r="AJ158"/>
  </rcc>
  <rcc rId="33152" sId="8">
    <oc r="AK158">
      <f>B158-E158</f>
    </oc>
    <nc r="AK158"/>
  </rcc>
  <rcc rId="33153" sId="8">
    <oc r="AH159">
      <f>H159+J159+L159+N159+P159+R159+T159+V159+X159+Z159+AB159+AD159</f>
    </oc>
    <nc r="AH159"/>
  </rcc>
  <rcc rId="33154" sId="8">
    <oc r="AI159">
      <f>AH159</f>
    </oc>
    <nc r="AI159"/>
  </rcc>
  <rcc rId="33155" sId="8">
    <oc r="AJ159">
      <f>I159+K159+M159+O159+Q159+S159+U159+W159+Y159+AA159+AC159+AE159</f>
    </oc>
    <nc r="AJ159"/>
  </rcc>
  <rcc rId="33156" sId="8">
    <oc r="AK159">
      <f>B159-E159</f>
    </oc>
    <nc r="AK159"/>
  </rcc>
  <rcc rId="33157" sId="8">
    <oc r="AH160">
      <f>H160+J160+L160+N160+P160+R160+T160+V160+X160+Z160+AB160+AD160</f>
    </oc>
    <nc r="AH160"/>
  </rcc>
  <rcc rId="33158" sId="8">
    <oc r="AI160">
      <f>AH160</f>
    </oc>
    <nc r="AI160"/>
  </rcc>
  <rcc rId="33159" sId="8">
    <oc r="AJ160">
      <f>I160+K160+M160+O160+Q160+S160+U160+W160+Y160+AA160+AC160+AE160</f>
    </oc>
    <nc r="AJ160"/>
  </rcc>
  <rcc rId="33160" sId="8">
    <oc r="AK160">
      <f>B160-E160</f>
    </oc>
    <nc r="AK160"/>
  </rcc>
  <rcc rId="33161" sId="8">
    <oc r="AH161">
      <f>H161+J161+L161+N161+P161+R161+T161+V161+X161+Z161+AB161+AD161</f>
    </oc>
    <nc r="AH161"/>
  </rcc>
  <rcc rId="33162" sId="8">
    <oc r="AI161">
      <f>AH161</f>
    </oc>
    <nc r="AI161"/>
  </rcc>
  <rcc rId="33163" sId="8">
    <oc r="AJ161">
      <f>I161+K161+M161+O161+Q161+S161+U161+W161+Y161+AA161+AC161+AE161</f>
    </oc>
    <nc r="AJ161"/>
  </rcc>
  <rcc rId="33164" sId="8">
    <oc r="AK161">
      <f>B161-E161</f>
    </oc>
    <nc r="AK161"/>
  </rcc>
  <rcc rId="33165" sId="8">
    <oc r="AH162">
      <f>H162+J162+L162+N162+P162+R162+T162+V162+X162+Z162+AB162+AD162</f>
    </oc>
    <nc r="AH162"/>
  </rcc>
  <rcc rId="33166" sId="8">
    <oc r="AI162">
      <f>AH162</f>
    </oc>
    <nc r="AI162"/>
  </rcc>
  <rcc rId="33167" sId="8">
    <oc r="AJ162">
      <f>I162+K162+M162+O162+Q162+S162+U162+W162+Y162+AA162+AC162+AE162</f>
    </oc>
    <nc r="AJ162"/>
  </rcc>
  <rcc rId="33168" sId="8">
    <oc r="AK162">
      <f>B162-E162</f>
    </oc>
    <nc r="AK162"/>
  </rcc>
  <rcc rId="33169" sId="8">
    <oc r="AH163">
      <f>H163+J163+L163+N163+P163+R163+T163+V163+X163+Z163+AB163+AD163</f>
    </oc>
    <nc r="AH163"/>
  </rcc>
  <rcc rId="33170" sId="8">
    <oc r="AI163">
      <f>AH163</f>
    </oc>
    <nc r="AI163"/>
  </rcc>
  <rcc rId="33171" sId="8">
    <oc r="AJ163">
      <f>I163+K163+M163+O163+Q163+S163+U163+W163+Y163+AA163+AC163+AE163</f>
    </oc>
    <nc r="AJ163"/>
  </rcc>
  <rcc rId="33172" sId="8">
    <oc r="AK163">
      <f>B163-E163</f>
    </oc>
    <nc r="AK163"/>
  </rcc>
  <rcc rId="33173" sId="8">
    <oc r="AH164">
      <f>H164+J164+L164+N164+P164+R164+T164+V164+X164+Z164+AB164+AD164</f>
    </oc>
    <nc r="AH164"/>
  </rcc>
  <rcc rId="33174" sId="8">
    <oc r="AI164">
      <f>AH164</f>
    </oc>
    <nc r="AI164"/>
  </rcc>
  <rcc rId="33175" sId="8">
    <oc r="AJ164">
      <f>I164+K164+M164+O164+Q164+S164+U164+W164+Y164+AA164+AC164+AE164</f>
    </oc>
    <nc r="AJ164"/>
  </rcc>
  <rcc rId="33176" sId="8">
    <oc r="AK164">
      <f>B164-E164</f>
    </oc>
    <nc r="AK164"/>
  </rcc>
  <rcc rId="33177" sId="8">
    <oc r="AH165">
      <f>H165+J165+L165+N165+P165+R165+T165+V165+X165+Z165+AB165+AD165</f>
    </oc>
    <nc r="AH165"/>
  </rcc>
  <rcc rId="33178" sId="8">
    <oc r="AI165">
      <f>AH165</f>
    </oc>
    <nc r="AI165"/>
  </rcc>
  <rcc rId="33179" sId="8">
    <oc r="AJ165">
      <f>I165+K165+M165+O165+Q165+S165+U165+W165+Y165+AA165+AC165+AE165</f>
    </oc>
    <nc r="AJ165"/>
  </rcc>
  <rcc rId="33180" sId="8">
    <oc r="AK165">
      <f>B165-E165</f>
    </oc>
    <nc r="AK165"/>
  </rcc>
  <rcc rId="33181" sId="8">
    <oc r="AH166">
      <f>H166+J166+L166+N166+P166+R166+T166+V166+X166+Z166+AB166+AD166</f>
    </oc>
    <nc r="AH166"/>
  </rcc>
  <rcc rId="33182" sId="8">
    <oc r="AI166">
      <f>AH166</f>
    </oc>
    <nc r="AI166"/>
  </rcc>
  <rcc rId="33183" sId="8">
    <oc r="AJ166">
      <f>I166+K166+M166+O166+Q166+S166+U166+W166+Y166+AA166+AC166+AE166</f>
    </oc>
    <nc r="AJ166"/>
  </rcc>
  <rcc rId="33184" sId="8">
    <oc r="AK166">
      <f>B166-E166</f>
    </oc>
    <nc r="AK166"/>
  </rcc>
  <rcc rId="33185" sId="8">
    <oc r="AH167">
      <f>H167+J167+L167+N167+P167+R167+T167+V167+X167+Z167+AB167+AD167</f>
    </oc>
    <nc r="AH167"/>
  </rcc>
  <rcc rId="33186" sId="8">
    <oc r="AI167">
      <f>AH167</f>
    </oc>
    <nc r="AI167"/>
  </rcc>
  <rcc rId="33187" sId="8">
    <oc r="AJ167">
      <f>I167+K167+M167+O167+Q167+S167+U167+W167+Y167+AA167+AC167+AE167</f>
    </oc>
    <nc r="AJ167"/>
  </rcc>
  <rcc rId="33188" sId="8">
    <oc r="AK167">
      <f>B167-E167</f>
    </oc>
    <nc r="AK167"/>
  </rcc>
  <rcc rId="33189" sId="8">
    <oc r="AH168">
      <f>H168+J168+L168+N168+P168+R168+T168+V168+X168+Z168+AB168+AD168</f>
    </oc>
    <nc r="AH168"/>
  </rcc>
  <rcc rId="33190" sId="8">
    <oc r="AI168">
      <f>AH168</f>
    </oc>
    <nc r="AI168"/>
  </rcc>
  <rcc rId="33191" sId="8">
    <oc r="AJ168">
      <f>I168+K168+M168+O168+Q168+S168+U168+W168+Y168+AA168+AC168+AE168</f>
    </oc>
    <nc r="AJ168"/>
  </rcc>
  <rcc rId="33192" sId="8">
    <oc r="AK168">
      <f>B168-E168</f>
    </oc>
    <nc r="AK168"/>
  </rcc>
  <rcc rId="33193" sId="8">
    <oc r="AH169">
      <f>H169+J169+L169+N169+P169+R169+T169+V169+X169+Z169+AB169+AD169</f>
    </oc>
    <nc r="AH169"/>
  </rcc>
  <rcc rId="33194" sId="8">
    <oc r="AI169">
      <f>AH169</f>
    </oc>
    <nc r="AI169"/>
  </rcc>
  <rcc rId="33195" sId="8">
    <oc r="AJ169">
      <f>I169+K169+M169+O169+Q169+S169+U169+W169+Y169+AA169+AC169+AE169</f>
    </oc>
    <nc r="AJ169"/>
  </rcc>
  <rcc rId="33196" sId="8">
    <oc r="AK169">
      <f>B169-E169</f>
    </oc>
    <nc r="AK169"/>
  </rcc>
  <rcc rId="33197" sId="8">
    <oc r="AH170">
      <f>H170+J170+L170+N170+P170+R170+T170+V170+X170+Z170+AB170+AD170</f>
    </oc>
    <nc r="AH170"/>
  </rcc>
  <rcc rId="33198" sId="8">
    <oc r="AI170">
      <f>AH170</f>
    </oc>
    <nc r="AI170"/>
  </rcc>
  <rcc rId="33199" sId="8">
    <oc r="AJ170">
      <f>I170+K170+M170+O170+Q170+S170+U170+W170+Y170+AA170+AC170+AE170</f>
    </oc>
    <nc r="AJ170"/>
  </rcc>
  <rcc rId="33200" sId="8">
    <oc r="AK170">
      <f>B170-E170</f>
    </oc>
    <nc r="AK170"/>
  </rcc>
  <rcc rId="33201" sId="8">
    <oc r="AH171">
      <f>H171+J171+L171+N171+P171+R171+T171+V171+X171+Z171+AB171+AD171</f>
    </oc>
    <nc r="AH171"/>
  </rcc>
  <rcc rId="33202" sId="8">
    <oc r="AI171">
      <f>AH171</f>
    </oc>
    <nc r="AI171"/>
  </rcc>
  <rcc rId="33203" sId="8">
    <oc r="AJ171">
      <f>I171+K171+M171+O171+Q171+S171+U171+W171+Y171+AA171+AC171+AE171</f>
    </oc>
    <nc r="AJ171"/>
  </rcc>
  <rcc rId="33204" sId="8">
    <oc r="AK171">
      <f>B171-E171</f>
    </oc>
    <nc r="AK171"/>
  </rcc>
  <rcc rId="33205" sId="8">
    <oc r="AH172">
      <f>H172+J172+L172+N172+P172+R172+T172+V172+X172+Z172+AB172+AD172</f>
    </oc>
    <nc r="AH172"/>
  </rcc>
  <rcc rId="33206" sId="8">
    <oc r="AI172">
      <f>AH172</f>
    </oc>
    <nc r="AI172"/>
  </rcc>
  <rcc rId="33207" sId="8">
    <oc r="AJ172">
      <f>I172+K172+M172+O172+Q172+S172+U172+W172+Y172+AA172+AC172+AE172</f>
    </oc>
    <nc r="AJ172"/>
  </rcc>
  <rcc rId="33208" sId="8">
    <oc r="AK172">
      <f>B172-E172</f>
    </oc>
    <nc r="AK172"/>
  </rcc>
  <rcc rId="33209" sId="8">
    <oc r="AH173">
      <f>H173+J173+L173+N173+P173+R173+T173+V173+X173+Z173+AB173+AD173</f>
    </oc>
    <nc r="AH173"/>
  </rcc>
  <rcc rId="33210" sId="8">
    <oc r="AI173">
      <f>AH173</f>
    </oc>
    <nc r="AI173"/>
  </rcc>
  <rcc rId="33211" sId="8">
    <oc r="AJ173">
      <f>I173+K173+M173+O173+Q173+S173+U173+W173+Y173+AA173+AC173+AE173</f>
    </oc>
    <nc r="AJ173"/>
  </rcc>
  <rcc rId="33212" sId="8">
    <oc r="AK173">
      <f>B173-E173</f>
    </oc>
    <nc r="AK173"/>
  </rcc>
  <rcc rId="33213" sId="8">
    <oc r="AH174">
      <f>H174+J174+L174+N174+P174+R174+T174+V174+X174+Z174+AB174+AD174</f>
    </oc>
    <nc r="AH174"/>
  </rcc>
  <rcc rId="33214" sId="8">
    <oc r="AI174">
      <f>AH174</f>
    </oc>
    <nc r="AI174"/>
  </rcc>
  <rcc rId="33215" sId="8">
    <oc r="AJ174">
      <f>I174+K174+M174+O174+Q174+S174+U174+W174+Y174+AA174+AC174+AE174</f>
    </oc>
    <nc r="AJ174"/>
  </rcc>
  <rcc rId="33216" sId="8">
    <oc r="AK174">
      <f>B174-E174</f>
    </oc>
    <nc r="AK174"/>
  </rcc>
  <rcc rId="33217" sId="8">
    <oc r="AH175">
      <f>H175+J175+L175+N175+P175+R175+T175+V175+X175+Z175+AB175+AD175</f>
    </oc>
    <nc r="AH175"/>
  </rcc>
  <rcc rId="33218" sId="8">
    <oc r="AI175">
      <f>AH175</f>
    </oc>
    <nc r="AI175"/>
  </rcc>
  <rcc rId="33219" sId="8">
    <oc r="AJ175">
      <f>I175+K175+M175+O175+Q175+S175+U175+W175+Y175+AA175+AC175+AE175</f>
    </oc>
    <nc r="AJ175"/>
  </rcc>
  <rcc rId="33220" sId="8">
    <oc r="AK175">
      <f>B175-E175</f>
    </oc>
    <nc r="AK175"/>
  </rcc>
  <rcc rId="33221" sId="8">
    <oc r="AH176">
      <f>H176+J176+L176+N176+P176+R176+T176+V176+X176+Z176+AB176+AD176</f>
    </oc>
    <nc r="AH176"/>
  </rcc>
  <rcc rId="33222" sId="8">
    <oc r="AI176">
      <f>AH176</f>
    </oc>
    <nc r="AI176"/>
  </rcc>
  <rcc rId="33223" sId="8">
    <oc r="AJ176">
      <f>I176+K176+M176+O176+Q176+S176+U176+W176+Y176+AA176+AC176+AE176</f>
    </oc>
    <nc r="AJ176"/>
  </rcc>
  <rcc rId="33224" sId="8">
    <oc r="AK176">
      <f>B176-E176</f>
    </oc>
    <nc r="AK176"/>
  </rcc>
  <rcc rId="33225" sId="8">
    <oc r="AH177">
      <f>H177+J177+L177+N177+P177+R177+T177+V177+X177+Z177+AB177+AD177</f>
    </oc>
    <nc r="AH177"/>
  </rcc>
  <rcc rId="33226" sId="8">
    <oc r="AI177">
      <f>AH177</f>
    </oc>
    <nc r="AI177"/>
  </rcc>
  <rcc rId="33227" sId="8">
    <oc r="AJ177">
      <f>I177+K177+M177+O177+Q177+S177+U177+W177+Y177+AA177+AC177+AE177</f>
    </oc>
    <nc r="AJ177"/>
  </rcc>
  <rcc rId="33228" sId="8">
    <oc r="AK177">
      <f>B177-E177</f>
    </oc>
    <nc r="AK177"/>
  </rcc>
  <rcc rId="33229" sId="8">
    <oc r="AH178">
      <f>H178+J178+L178+N178+P178+R178+T178+V178+X178+Z178+AB178+AD178</f>
    </oc>
    <nc r="AH178"/>
  </rcc>
  <rcc rId="33230" sId="8">
    <oc r="AI178">
      <f>AH178</f>
    </oc>
    <nc r="AI178"/>
  </rcc>
  <rcc rId="33231" sId="8">
    <oc r="AJ178">
      <f>I178+K178+M178+O178+Q178+S178+U178+W178+Y178+AA178+AC178+AE178</f>
    </oc>
    <nc r="AJ178"/>
  </rcc>
  <rcc rId="33232" sId="8">
    <oc r="AK178">
      <f>B178-E178</f>
    </oc>
    <nc r="AK178"/>
  </rcc>
  <rcc rId="33233" sId="8">
    <oc r="AH179">
      <f>H179+J179+L179+N179+P179+R179+T179+V179+X179+Z179+AB179+AD179</f>
    </oc>
    <nc r="AH179"/>
  </rcc>
  <rcc rId="33234" sId="8">
    <oc r="AI179">
      <f>AH179</f>
    </oc>
    <nc r="AI179"/>
  </rcc>
  <rcc rId="33235" sId="8">
    <oc r="AJ179">
      <f>I179+K179+M179+O179+Q179+S179+U179+W179+Y179+AA179+AC179+AE179</f>
    </oc>
    <nc r="AJ179"/>
  </rcc>
  <rcc rId="33236" sId="8">
    <oc r="AK179">
      <f>B179-E179</f>
    </oc>
    <nc r="AK179"/>
  </rcc>
  <rcc rId="33237" sId="8">
    <oc r="AH180">
      <f>H180+J180+L180+N180+P180+R180+T180+V180+X180+Z180+AB180+AD180</f>
    </oc>
    <nc r="AH180"/>
  </rcc>
  <rcc rId="33238" sId="8">
    <oc r="AI180">
      <f>AH180</f>
    </oc>
    <nc r="AI180"/>
  </rcc>
  <rcc rId="33239" sId="8">
    <oc r="AJ180">
      <f>I180+K180+M180+O180+Q180+S180+U180+W180+Y180+AA180+AC180+AE180</f>
    </oc>
    <nc r="AJ180"/>
  </rcc>
  <rcc rId="33240" sId="8">
    <oc r="AK180">
      <f>B180-E180</f>
    </oc>
    <nc r="AK180"/>
  </rcc>
  <rcc rId="33241" sId="8">
    <oc r="AH181">
      <f>H181+J181+L181+N181+P181+R181+T181+V181+X181+Z181+AB181+AD181</f>
    </oc>
    <nc r="AH181"/>
  </rcc>
  <rcc rId="33242" sId="8">
    <oc r="AI181">
      <f>AH181</f>
    </oc>
    <nc r="AI181"/>
  </rcc>
  <rcc rId="33243" sId="8">
    <oc r="AJ181">
      <f>I181+K181+M181+O181+Q181+S181+U181+W181+Y181+AA181+AC181+AE181</f>
    </oc>
    <nc r="AJ181"/>
  </rcc>
  <rcc rId="33244" sId="8">
    <oc r="AK181">
      <f>B181-E181</f>
    </oc>
    <nc r="AK181"/>
  </rcc>
  <rcc rId="33245" sId="8">
    <oc r="AH182">
      <f>H182+J182+L182+N182+P182+R182+T182+V182+X182+Z182+AB182+AD182</f>
    </oc>
    <nc r="AH182"/>
  </rcc>
  <rcc rId="33246" sId="8">
    <oc r="AI182">
      <f>AH182</f>
    </oc>
    <nc r="AI182"/>
  </rcc>
  <rcc rId="33247" sId="8">
    <oc r="AJ182">
      <f>I182+K182+M182+O182+Q182+S182+U182+W182+Y182+AA182+AC182+AE182</f>
    </oc>
    <nc r="AJ182"/>
  </rcc>
  <rcc rId="33248" sId="8">
    <oc r="AK182">
      <f>B182-E182</f>
    </oc>
    <nc r="AK182"/>
  </rcc>
  <rcc rId="33249" sId="8">
    <oc r="AH183">
      <f>H183+J183+L183+N183+P183+R183+T183+V183+X183+Z183+AB183+AD183</f>
    </oc>
    <nc r="AH183"/>
  </rcc>
  <rcc rId="33250" sId="8">
    <oc r="AI183">
      <f>AH183</f>
    </oc>
    <nc r="AI183"/>
  </rcc>
  <rcc rId="33251" sId="8">
    <oc r="AJ183">
      <f>I183+K183+M183+O183+Q183+S183+U183+W183+Y183+AA183+AC183+AE183</f>
    </oc>
    <nc r="AJ183"/>
  </rcc>
  <rcc rId="33252" sId="8">
    <oc r="AK183">
      <f>B183-E183</f>
    </oc>
    <nc r="AK183"/>
  </rcc>
  <rcc rId="33253" sId="8">
    <oc r="AH184">
      <f>H184+J184+L184+N184+P184+R184+T184+V184+X184+Z184+AB184+AD184</f>
    </oc>
    <nc r="AH184"/>
  </rcc>
  <rcc rId="33254" sId="8">
    <oc r="AI184">
      <f>AH184</f>
    </oc>
    <nc r="AI184"/>
  </rcc>
  <rcc rId="33255" sId="8">
    <oc r="AJ184">
      <f>I184+K184+M184+O184+Q184+S184+U184+W184+Y184+AA184+AC184+AE184</f>
    </oc>
    <nc r="AJ184"/>
  </rcc>
  <rcc rId="33256" sId="8">
    <oc r="AK184">
      <f>B184-E184</f>
    </oc>
    <nc r="AK184"/>
  </rcc>
  <rcc rId="33257" sId="8">
    <oc r="AH185">
      <f>H185+J185+L185+N185+P185+R185+T185+V185+X185+Z185+AB185+AD185</f>
    </oc>
    <nc r="AH185"/>
  </rcc>
  <rcc rId="33258" sId="8">
    <oc r="AI185">
      <f>AH185</f>
    </oc>
    <nc r="AI185"/>
  </rcc>
  <rcc rId="33259" sId="8">
    <oc r="AJ185">
      <f>I185+K185+M185+O185+Q185+S185+U185+W185+Y185+AA185+AC185+AE185</f>
    </oc>
    <nc r="AJ185"/>
  </rcc>
  <rcc rId="33260" sId="8">
    <oc r="AK185">
      <f>B185-E185</f>
    </oc>
    <nc r="AK185"/>
  </rcc>
  <rcc rId="33261" sId="8">
    <oc r="AH186">
      <f>H186+J186+L186+N186+P186+R186+T186+V186+X186+Z186+AB186+AD186</f>
    </oc>
    <nc r="AH186"/>
  </rcc>
  <rcc rId="33262" sId="8">
    <oc r="AI186">
      <f>AH186</f>
    </oc>
    <nc r="AI186"/>
  </rcc>
  <rcc rId="33263" sId="8">
    <oc r="AJ186">
      <f>I186+K186+M186+O186+Q186+S186+U186+W186+Y186+AA186+AC186+AE186</f>
    </oc>
    <nc r="AJ186"/>
  </rcc>
  <rcc rId="33264" sId="8">
    <oc r="AK186">
      <f>B186-E186</f>
    </oc>
    <nc r="AK186"/>
  </rcc>
  <rcc rId="33265" sId="8">
    <oc r="AH187">
      <f>H187+J187+L187+N187+P187+R187+T187+V187+X187+Z187+AB187+AD187</f>
    </oc>
    <nc r="AH187"/>
  </rcc>
  <rcc rId="33266" sId="8">
    <oc r="AI187">
      <f>AH187</f>
    </oc>
    <nc r="AI187"/>
  </rcc>
  <rcc rId="33267" sId="8">
    <oc r="AJ187">
      <f>I187+K187+M187+O187+Q187+S187+U187+W187+Y187+AA187+AC187+AE187</f>
    </oc>
    <nc r="AJ187"/>
  </rcc>
  <rcc rId="33268" sId="8">
    <oc r="AK187">
      <f>B187-E187</f>
    </oc>
    <nc r="AK187"/>
  </rcc>
  <rcc rId="33269" sId="8">
    <oc r="AH188">
      <f>H188+J188+L188+N188+P188+R188+T188+V188+X188+Z188+AB188+AD188</f>
    </oc>
    <nc r="AH188"/>
  </rcc>
  <rcc rId="33270" sId="8">
    <oc r="AI188">
      <f>AH188</f>
    </oc>
    <nc r="AI188"/>
  </rcc>
  <rcc rId="33271" sId="8">
    <oc r="AJ188">
      <f>I188+K188+M188+O188+Q188+S188+U188+W188+Y188+AA188+AC188+AE188</f>
    </oc>
    <nc r="AJ188"/>
  </rcc>
  <rcc rId="33272" sId="8">
    <oc r="AK188">
      <f>B188-E188</f>
    </oc>
    <nc r="AK188"/>
  </rcc>
  <rcc rId="33273" sId="8">
    <oc r="AH189">
      <f>H189+J189+L189+N189+P189+R189+T189+V189+X189+Z189+AB189+AD189</f>
    </oc>
    <nc r="AH189"/>
  </rcc>
  <rcc rId="33274" sId="8">
    <oc r="AI189">
      <f>AH189</f>
    </oc>
    <nc r="AI189"/>
  </rcc>
  <rcc rId="33275" sId="8">
    <oc r="AJ189">
      <f>I189+K189+M189+O189+Q189+S189+U189+W189+Y189+AA189+AC189+AE189</f>
    </oc>
    <nc r="AJ189"/>
  </rcc>
  <rcc rId="33276" sId="8">
    <oc r="AK189">
      <f>B189-E189</f>
    </oc>
    <nc r="AK189"/>
  </rcc>
  <rcc rId="33277" sId="8">
    <oc r="AH190">
      <f>H190+J190+L190+N190+P190+R190+T190+V190+X190+Z190+AB190+AD190</f>
    </oc>
    <nc r="AH190"/>
  </rcc>
  <rcc rId="33278" sId="8">
    <oc r="AI190">
      <f>AH190</f>
    </oc>
    <nc r="AI190"/>
  </rcc>
  <rcc rId="33279" sId="8">
    <oc r="AJ190">
      <f>I190+K190+M190+O190+Q190+S190+U190+W190+Y190+AA190+AC190+AE190</f>
    </oc>
    <nc r="AJ190"/>
  </rcc>
  <rcc rId="33280" sId="8">
    <oc r="AK190">
      <f>B190-E190</f>
    </oc>
    <nc r="AK190"/>
  </rcc>
  <rcc rId="33281" sId="8">
    <oc r="AH191">
      <f>H191+J191+L191+N191+P191+R191+T191+V191+X191+Z191+AB191+AD191</f>
    </oc>
    <nc r="AH191"/>
  </rcc>
  <rcc rId="33282" sId="8">
    <oc r="AI191">
      <f>AH191</f>
    </oc>
    <nc r="AI191"/>
  </rcc>
  <rcc rId="33283" sId="8">
    <oc r="AJ191">
      <f>I191+K191+M191+O191+Q191+S191+U191+W191+Y191+AA191+AC191+AE191</f>
    </oc>
    <nc r="AJ191"/>
  </rcc>
  <rcc rId="33284" sId="8">
    <oc r="AK191">
      <f>B191-E191</f>
    </oc>
    <nc r="AK191"/>
  </rcc>
  <rcc rId="33285" sId="8">
    <oc r="AH192">
      <f>H192+J192+L192+N192+P192+R192+T192+V192+X192+Z192+AB192+AD192</f>
    </oc>
    <nc r="AH192"/>
  </rcc>
  <rcc rId="33286" sId="8">
    <oc r="AI192">
      <f>AH192</f>
    </oc>
    <nc r="AI192"/>
  </rcc>
  <rcc rId="33287" sId="8">
    <oc r="AJ192">
      <f>I192+K192+M192+O192+Q192+S192+U192+W192+Y192+AA192+AC192+AE192</f>
    </oc>
    <nc r="AJ192"/>
  </rcc>
  <rcc rId="33288" sId="8">
    <oc r="AK192">
      <f>B192-E192</f>
    </oc>
    <nc r="AK192"/>
  </rcc>
  <rcc rId="33289" sId="8">
    <oc r="AH193">
      <f>H193+J193+L193+N193+P193+R193+T193+V193+X193+Z193+AB193+AD193</f>
    </oc>
    <nc r="AH193"/>
  </rcc>
  <rcc rId="33290" sId="8">
    <oc r="AI193">
      <f>AH193</f>
    </oc>
    <nc r="AI193"/>
  </rcc>
  <rcc rId="33291" sId="8">
    <oc r="AJ193">
      <f>I193+K193+M193+O193+Q193+S193+U193+W193+Y193+AA193+AC193+AE193</f>
    </oc>
    <nc r="AJ193"/>
  </rcc>
  <rcc rId="33292" sId="8">
    <oc r="AK193">
      <f>B193-E193</f>
    </oc>
    <nc r="AK193"/>
  </rcc>
  <rcc rId="33293" sId="8">
    <oc r="AH194">
      <f>H194+J194+L194+N194+P194+R194+T194+V194+X194+Z194+AB194+AD194</f>
    </oc>
    <nc r="AH194"/>
  </rcc>
  <rcc rId="33294" sId="8">
    <oc r="AI194">
      <f>AH194</f>
    </oc>
    <nc r="AI194"/>
  </rcc>
  <rcc rId="33295" sId="8">
    <oc r="AJ194">
      <f>I194+K194+M194+O194+Q194+S194+U194+W194+Y194+AA194+AC194+AE194</f>
    </oc>
    <nc r="AJ194"/>
  </rcc>
  <rcc rId="33296" sId="8">
    <oc r="AK194">
      <f>B194-E194</f>
    </oc>
    <nc r="AK194"/>
  </rcc>
  <rcc rId="33297" sId="8">
    <oc r="AH195">
      <f>H195+J195+L195+N195+P195+R195+T195+V195+X195+Z195+AB195+AD195</f>
    </oc>
    <nc r="AH195"/>
  </rcc>
  <rcc rId="33298" sId="8">
    <oc r="AI195">
      <f>AH195</f>
    </oc>
    <nc r="AI195"/>
  </rcc>
  <rcc rId="33299" sId="8">
    <oc r="AJ195">
      <f>I195+K195+M195+O195+Q195+S195+U195+W195+Y195+AA195+AC195+AE195</f>
    </oc>
    <nc r="AJ195"/>
  </rcc>
  <rcc rId="33300" sId="8">
    <oc r="AK195">
      <f>B195-E195</f>
    </oc>
    <nc r="AK195"/>
  </rcc>
  <rcc rId="33301" sId="8">
    <oc r="AH196">
      <f>H196+J196+L196+N196+P196+R196+T196+V196+X196+Z196+AB196+AD196</f>
    </oc>
    <nc r="AH196"/>
  </rcc>
  <rcc rId="33302" sId="8">
    <oc r="AI196">
      <f>AH196</f>
    </oc>
    <nc r="AI196"/>
  </rcc>
  <rcc rId="33303" sId="8">
    <oc r="AJ196">
      <f>I196+K196+M196+O196+Q196+S196+U196+W196+Y196+AA196+AC196+AE196</f>
    </oc>
    <nc r="AJ196"/>
  </rcc>
  <rcc rId="33304" sId="8">
    <oc r="AK196">
      <f>B196-E196</f>
    </oc>
    <nc r="AK196"/>
  </rcc>
  <rcc rId="33305" sId="8">
    <oc r="AH197">
      <f>H197+J197+L197+N197+P197+R197+T197+V197+X197+Z197+AB197+AD197</f>
    </oc>
    <nc r="AH197"/>
  </rcc>
  <rcc rId="33306" sId="8">
    <oc r="AI197">
      <f>AH197</f>
    </oc>
    <nc r="AI197"/>
  </rcc>
  <rcc rId="33307" sId="8">
    <oc r="AJ197">
      <f>I197+K197+M197+O197+Q197+S197+U197+W197+Y197+AA197+AC197+AE197</f>
    </oc>
    <nc r="AJ197"/>
  </rcc>
  <rcc rId="33308" sId="8">
    <oc r="AK197">
      <f>B197-E197</f>
    </oc>
    <nc r="AK197"/>
  </rcc>
  <rcc rId="33309" sId="8">
    <oc r="AH198">
      <f>H198+J198+L198+N198+P198+R198+T198+V198+X198+Z198+AB198+AD198</f>
    </oc>
    <nc r="AH198"/>
  </rcc>
  <rcc rId="33310" sId="8">
    <oc r="AI198">
      <f>AH198</f>
    </oc>
    <nc r="AI198"/>
  </rcc>
  <rcc rId="33311" sId="8">
    <oc r="AJ198">
      <f>I198+K198+M198+O198+Q198+S198+U198+W198+Y198+AA198+AC198+AE198</f>
    </oc>
    <nc r="AJ198"/>
  </rcc>
  <rcc rId="33312" sId="8">
    <oc r="AK198">
      <f>B198-E198</f>
    </oc>
    <nc r="AK198"/>
  </rcc>
  <rcc rId="33313" sId="8">
    <oc r="AH199">
      <f>H199+J199+L199+N199+P199+R199+T199+V199+X199+Z199+AB199+AD199</f>
    </oc>
    <nc r="AH199"/>
  </rcc>
  <rcc rId="33314" sId="8">
    <oc r="AI199">
      <f>AH199</f>
    </oc>
    <nc r="AI199"/>
  </rcc>
  <rcc rId="33315" sId="8">
    <oc r="AJ199">
      <f>I199+K199+M199+O199+Q199+S199+U199+W199+Y199+AA199+AC199+AE199</f>
    </oc>
    <nc r="AJ199"/>
  </rcc>
  <rcc rId="33316" sId="8">
    <oc r="AK199">
      <f>B199-E199</f>
    </oc>
    <nc r="AK199"/>
  </rcc>
  <rcc rId="33317" sId="8">
    <oc r="AH200">
      <f>H200+J200+L200+N200+P200+R200+T200+V200+X200+Z200+AB200+AD200</f>
    </oc>
    <nc r="AH200"/>
  </rcc>
  <rcc rId="33318" sId="8">
    <oc r="AI200">
      <f>AH200</f>
    </oc>
    <nc r="AI200"/>
  </rcc>
  <rcc rId="33319" sId="8">
    <oc r="AJ200">
      <f>I200+K200+M200+O200+Q200+S200+U200+W200+Y200+AA200+AC200+AE200</f>
    </oc>
    <nc r="AJ200"/>
  </rcc>
  <rcc rId="33320" sId="8">
    <oc r="AK200">
      <f>B200-E200</f>
    </oc>
    <nc r="AK200"/>
  </rcc>
  <rcc rId="33321" sId="8">
    <oc r="AH201">
      <f>H201+J201+L201+N201+P201+R201+T201+V201+X201+Z201+AB201+AD201</f>
    </oc>
    <nc r="AH201"/>
  </rcc>
  <rcc rId="33322" sId="8">
    <oc r="AI201">
      <f>AH201</f>
    </oc>
    <nc r="AI201"/>
  </rcc>
  <rcc rId="33323" sId="8">
    <oc r="AJ201">
      <f>I201+K201+M201+O201+Q201+S201+U201+W201+Y201+AA201+AC201+AE201</f>
    </oc>
    <nc r="AJ201"/>
  </rcc>
  <rcc rId="33324" sId="8">
    <oc r="AK201">
      <f>B201-E201</f>
    </oc>
    <nc r="AK201"/>
  </rcc>
  <rcc rId="33325" sId="8">
    <oc r="AH202">
      <f>H202+J202+L202+N202+P202+R202+T202+V202+X202+Z202+AB202+AD202</f>
    </oc>
    <nc r="AH202"/>
  </rcc>
  <rcc rId="33326" sId="8">
    <oc r="AI202">
      <f>AH202</f>
    </oc>
    <nc r="AI202"/>
  </rcc>
  <rcc rId="33327" sId="8">
    <oc r="AJ202">
      <f>I202+K202+M202+O202+Q202+S202+U202+W202+Y202+AA202+AC202+AE202</f>
    </oc>
    <nc r="AJ202"/>
  </rcc>
  <rcc rId="33328" sId="8">
    <oc r="AK202">
      <f>B202-E202</f>
    </oc>
    <nc r="AK202"/>
  </rcc>
  <rcc rId="33329" sId="8">
    <oc r="AH203">
      <f>H203+J203+L203+N203+P203+R203+T203+V203+X203+Z203+AB203+AD203</f>
    </oc>
    <nc r="AH203"/>
  </rcc>
  <rcc rId="33330" sId="8">
    <oc r="AI203">
      <f>AH203</f>
    </oc>
    <nc r="AI203"/>
  </rcc>
  <rcc rId="33331" sId="8">
    <oc r="AJ203">
      <f>I203+K203+M203+O203+Q203+S203+U203+W203+Y203+AA203+AC203+AE203</f>
    </oc>
    <nc r="AJ203"/>
  </rcc>
  <rcc rId="33332" sId="8">
    <oc r="AK203">
      <f>B203-E203</f>
    </oc>
    <nc r="AK203"/>
  </rcc>
  <rcc rId="33333" sId="8">
    <oc r="AH204">
      <f>H204+J204+L204+N204+P204+R204+T204+V204+X204+Z204+AB204+AD204</f>
    </oc>
    <nc r="AH204"/>
  </rcc>
  <rcc rId="33334" sId="8">
    <oc r="AI204">
      <f>AH204</f>
    </oc>
    <nc r="AI204"/>
  </rcc>
  <rcc rId="33335" sId="8">
    <oc r="AJ204">
      <f>I204+K204+M204+O204+Q204+S204+U204+W204+Y204+AA204+AC204+AE204</f>
    </oc>
    <nc r="AJ204"/>
  </rcc>
  <rcc rId="33336" sId="8">
    <oc r="AK204">
      <f>B204-E204</f>
    </oc>
    <nc r="AK204"/>
  </rcc>
  <rcc rId="33337" sId="8">
    <oc r="AH205">
      <f>H205+J205+L205+N205+P205+R205+T205+V205+X205+Z205+AB205+AD205</f>
    </oc>
    <nc r="AH205"/>
  </rcc>
  <rcc rId="33338" sId="8">
    <oc r="AI205">
      <f>AH205</f>
    </oc>
    <nc r="AI205"/>
  </rcc>
  <rcc rId="33339" sId="8">
    <oc r="AJ205">
      <f>I205+K205+M205+O205+Q205+S205+U205+W205+Y205+AA205+AC205+AE205</f>
    </oc>
    <nc r="AJ205"/>
  </rcc>
  <rcc rId="33340" sId="8">
    <oc r="AK205">
      <f>B205-E205</f>
    </oc>
    <nc r="AK205"/>
  </rcc>
  <rcc rId="33341" sId="8">
    <oc r="AH206">
      <f>H206+J206+L206+N206+P206+R206+T206+V206+X206+Z206+AB206+AD206</f>
    </oc>
    <nc r="AH206"/>
  </rcc>
  <rcc rId="33342" sId="8">
    <oc r="AI206">
      <f>AH206</f>
    </oc>
    <nc r="AI206"/>
  </rcc>
  <rcc rId="33343" sId="8">
    <oc r="AJ206">
      <f>I206+K206+M206+O206+Q206+S206+U206+W206+Y206+AA206+AC206+AE206</f>
    </oc>
    <nc r="AJ206"/>
  </rcc>
  <rcc rId="33344" sId="8">
    <oc r="AK206">
      <f>B206-E206</f>
    </oc>
    <nc r="AK206"/>
  </rcc>
  <rcc rId="33345" sId="8">
    <oc r="AH207">
      <f>H207+J207+L207+N207+P207+R207+T207+V207+X207+Z207+AB207+AD207</f>
    </oc>
    <nc r="AH207"/>
  </rcc>
  <rcc rId="33346" sId="8">
    <oc r="AI207">
      <f>AH207</f>
    </oc>
    <nc r="AI207"/>
  </rcc>
  <rcc rId="33347" sId="8">
    <oc r="AJ207">
      <f>I207+K207+M207+O207+Q207+S207+U207+W207+Y207+AA207+AC207+AE207</f>
    </oc>
    <nc r="AJ207"/>
  </rcc>
  <rcc rId="33348" sId="8">
    <oc r="AK207">
      <f>B207-E207</f>
    </oc>
    <nc r="AK207"/>
  </rcc>
  <rcc rId="33349" sId="8">
    <oc r="AH208">
      <f>H208+J208+L208+N208+P208+R208+T208+V208+X208+Z208+AB208+AD208</f>
    </oc>
    <nc r="AH208"/>
  </rcc>
  <rcc rId="33350" sId="8">
    <oc r="AI208">
      <f>AH208</f>
    </oc>
    <nc r="AI208"/>
  </rcc>
  <rcc rId="33351" sId="8">
    <oc r="AJ208">
      <f>I208+K208+M208+O208+Q208+S208+U208+W208+Y208+AA208+AC208+AE208</f>
    </oc>
    <nc r="AJ208"/>
  </rcc>
  <rcc rId="33352" sId="8">
    <oc r="AK208">
      <f>B208-E208</f>
    </oc>
    <nc r="AK208"/>
  </rcc>
  <rcc rId="33353" sId="8">
    <oc r="AH209">
      <f>H209+J209+L209+N209+P209+R209+T209+V209+X209+Z209+AB209+AD209</f>
    </oc>
    <nc r="AH209"/>
  </rcc>
  <rcc rId="33354" sId="8">
    <oc r="AI209">
      <f>AH209</f>
    </oc>
    <nc r="AI209"/>
  </rcc>
  <rcc rId="33355" sId="8">
    <oc r="AJ209">
      <f>I209+K209+M209+O209+Q209+S209+U209+W209+Y209+AA209+AC209+AE209</f>
    </oc>
    <nc r="AJ209"/>
  </rcc>
  <rcc rId="33356" sId="8">
    <oc r="AK209">
      <f>B209-E209</f>
    </oc>
    <nc r="AK209"/>
  </rcc>
  <rcc rId="33357" sId="8">
    <oc r="AH210">
      <f>H210+J210+L210+N210+P210+R210+T210+V210+X210+Z210+AB210+AD210</f>
    </oc>
    <nc r="AH210"/>
  </rcc>
  <rcc rId="33358" sId="8">
    <oc r="AI210">
      <f>AH210</f>
    </oc>
    <nc r="AI210"/>
  </rcc>
  <rcc rId="33359" sId="8">
    <oc r="AJ210">
      <f>I210+K210+M210+O210+Q210+S210+U210+W210+Y210+AA210+AC210+AE210</f>
    </oc>
    <nc r="AJ210"/>
  </rcc>
  <rcc rId="33360" sId="8">
    <oc r="AK210">
      <f>B210-E210</f>
    </oc>
    <nc r="AK210"/>
  </rcc>
  <rcc rId="33361" sId="8">
    <oc r="AH211">
      <f>H211+J211+L211+N211+P211+R211+T211+V211+X211+Z211+AB211+AD211</f>
    </oc>
    <nc r="AH211"/>
  </rcc>
  <rcc rId="33362" sId="8">
    <oc r="AI211">
      <f>AH211</f>
    </oc>
    <nc r="AI211"/>
  </rcc>
  <rcc rId="33363" sId="8">
    <oc r="AJ211">
      <f>I211+K211+M211+O211+Q211+S211+U211+W211+Y211+AA211+AC211+AE211</f>
    </oc>
    <nc r="AJ211"/>
  </rcc>
  <rcc rId="33364" sId="8">
    <oc r="AK211">
      <f>B211-E211</f>
    </oc>
    <nc r="AK211"/>
  </rcc>
  <rcc rId="33365" sId="8">
    <oc r="AH212">
      <f>H212+J212+L212+N212+P212+R212+T212+V212+X212+Z212+AB212+AD212</f>
    </oc>
    <nc r="AH212"/>
  </rcc>
  <rcc rId="33366" sId="8">
    <oc r="AI212">
      <f>AH212</f>
    </oc>
    <nc r="AI212"/>
  </rcc>
  <rcc rId="33367" sId="8">
    <oc r="AJ212">
      <f>I212+K212+M212+O212+Q212+S212+U212+W212+Y212+AA212+AC212+AE212</f>
    </oc>
    <nc r="AJ212"/>
  </rcc>
  <rcc rId="33368" sId="8">
    <oc r="AK212">
      <f>B212-E212</f>
    </oc>
    <nc r="AK212"/>
  </rcc>
  <rcc rId="33369" sId="8">
    <oc r="AH213">
      <f>H213+J213+L213+N213+P213+R213+T213+V213+X213+Z213+AB213+AD213</f>
    </oc>
    <nc r="AH213"/>
  </rcc>
  <rcc rId="33370" sId="8">
    <oc r="AI213">
      <f>AH213</f>
    </oc>
    <nc r="AI213"/>
  </rcc>
  <rcc rId="33371" sId="8">
    <oc r="AJ213">
      <f>I213+K213+M213+O213+Q213+S213+U213+W213+Y213+AA213+AC213+AE213</f>
    </oc>
    <nc r="AJ213"/>
  </rcc>
  <rcc rId="33372" sId="8">
    <oc r="AK213">
      <f>B213-E213</f>
    </oc>
    <nc r="AK213"/>
  </rcc>
  <rcc rId="33373" sId="8">
    <oc r="AH214">
      <f>H214+J214+L214+N214+P214+R214+T214+V214+X214+Z214+AB214+AD214</f>
    </oc>
    <nc r="AH214"/>
  </rcc>
  <rcc rId="33374" sId="8">
    <oc r="AI214">
      <f>AH214</f>
    </oc>
    <nc r="AI214"/>
  </rcc>
  <rcc rId="33375" sId="8">
    <oc r="AJ214">
      <f>I214+K214+M214+O214+Q214+S214+U214+W214+Y214+AA214+AC214+AE214</f>
    </oc>
    <nc r="AJ214"/>
  </rcc>
  <rcc rId="33376" sId="8">
    <oc r="AK214">
      <f>B214-E214</f>
    </oc>
    <nc r="AK214"/>
  </rcc>
  <rcc rId="33377" sId="8">
    <oc r="AH215">
      <f>H215+J215+L215+N215+P215+R215+T215+V215+X215+Z215+AB215+AD215</f>
    </oc>
    <nc r="AH215"/>
  </rcc>
  <rcc rId="33378" sId="8">
    <oc r="AI215">
      <f>AH215</f>
    </oc>
    <nc r="AI215"/>
  </rcc>
  <rcc rId="33379" sId="8">
    <oc r="AJ215">
      <f>I215+K215+M215+O215+Q215+S215+U215+W215+Y215+AA215+AC215+AE215</f>
    </oc>
    <nc r="AJ215"/>
  </rcc>
  <rcc rId="33380" sId="8">
    <oc r="AK215">
      <f>B215-E215</f>
    </oc>
    <nc r="AK215"/>
  </rcc>
  <rcc rId="33381" sId="8">
    <oc r="AH216">
      <f>H216+J216+L216+N216+P216+R216+T216+V216+X216+Z216+AB216+AD216</f>
    </oc>
    <nc r="AH216"/>
  </rcc>
  <rcc rId="33382" sId="8">
    <oc r="AI216">
      <f>AH216</f>
    </oc>
    <nc r="AI216"/>
  </rcc>
  <rcc rId="33383" sId="8">
    <oc r="AJ216">
      <f>I216+K216+M216+O216+Q216+S216+U216+W216+Y216+AA216+AC216+AE216</f>
    </oc>
    <nc r="AJ216"/>
  </rcc>
  <rcc rId="33384" sId="8">
    <oc r="AK216">
      <f>B216-E216</f>
    </oc>
    <nc r="AK216"/>
  </rcc>
  <rcc rId="33385" sId="8">
    <oc r="AH217">
      <f>H217+J217+L217+N217+P217+R217+T217+V217+X217+Z217+AB217+AD217</f>
    </oc>
    <nc r="AH217"/>
  </rcc>
  <rcc rId="33386" sId="8">
    <oc r="AI217">
      <f>AH217</f>
    </oc>
    <nc r="AI217"/>
  </rcc>
  <rcc rId="33387" sId="8">
    <oc r="AJ217">
      <f>I217+K217+M217+O217+Q217+S217+U217+W217+Y217+AA217+AC217+AE217</f>
    </oc>
    <nc r="AJ217"/>
  </rcc>
  <rcc rId="33388" sId="8">
    <oc r="AK217">
      <f>B217-E217</f>
    </oc>
    <nc r="AK217"/>
  </rcc>
  <rcc rId="33389" sId="8">
    <oc r="AH218">
      <f>H218+J218+L218+N218+P218+R218+T218+V218+X218+Z218+AB218+AD218</f>
    </oc>
    <nc r="AH218"/>
  </rcc>
  <rcc rId="33390" sId="8">
    <oc r="AI218">
      <f>AH218</f>
    </oc>
    <nc r="AI218"/>
  </rcc>
  <rcc rId="33391" sId="8">
    <oc r="AJ218">
      <f>I218+K218+M218+O218+Q218+S218+U218+W218+Y218+AA218+AC218+AE218</f>
    </oc>
    <nc r="AJ218"/>
  </rcc>
  <rcc rId="33392" sId="8">
    <oc r="AK218">
      <f>B218-E218</f>
    </oc>
    <nc r="AK218"/>
  </rcc>
  <rcc rId="33393" sId="8">
    <oc r="AH219">
      <f>H219+J219+L219+N219+P219+R219+T219+V219+X219+Z219+AB219+AD219</f>
    </oc>
    <nc r="AH219"/>
  </rcc>
  <rcc rId="33394" sId="8">
    <oc r="AI219">
      <f>AH219</f>
    </oc>
    <nc r="AI219"/>
  </rcc>
  <rcc rId="33395" sId="8">
    <oc r="AJ219">
      <f>I219+K219+M219+O219+Q219+S219+U219+W219+Y219+AA219+AC219+AE219</f>
    </oc>
    <nc r="AJ219"/>
  </rcc>
  <rcc rId="33396" sId="8">
    <oc r="AK219">
      <f>B219-E219</f>
    </oc>
    <nc r="AK219"/>
  </rcc>
  <rcc rId="33397" sId="8">
    <oc r="AH220">
      <f>H220+J220+L220+N220+P220+R220+T220+V220+X220+Z220+AB220+AD220</f>
    </oc>
    <nc r="AH220"/>
  </rcc>
  <rcc rId="33398" sId="8">
    <oc r="AI220">
      <f>AH220</f>
    </oc>
    <nc r="AI220"/>
  </rcc>
  <rcc rId="33399" sId="8">
    <oc r="AJ220">
      <f>I220+K220+M220+O220+Q220+S220+U220+W220+Y220+AA220+AC220+AE220</f>
    </oc>
    <nc r="AJ220"/>
  </rcc>
  <rcc rId="33400" sId="8">
    <oc r="AK220">
      <f>B220-E220</f>
    </oc>
    <nc r="AK220"/>
  </rcc>
  <rcc rId="33401" sId="8">
    <oc r="AH221">
      <f>H221+J221+L221+N221+P221+R221+T221+V221+X221+Z221+AB221+AD221</f>
    </oc>
    <nc r="AH221"/>
  </rcc>
  <rcc rId="33402" sId="8">
    <oc r="AI221">
      <f>AH221</f>
    </oc>
    <nc r="AI221"/>
  </rcc>
  <rcc rId="33403" sId="8">
    <oc r="AJ221">
      <f>I221+K221+M221+O221+Q221+S221+U221+W221+Y221+AA221+AC221+AE221</f>
    </oc>
    <nc r="AJ221"/>
  </rcc>
  <rcc rId="33404" sId="8">
    <oc r="AK221">
      <f>B221-E221</f>
    </oc>
    <nc r="AK221"/>
  </rcc>
  <rcc rId="33405" sId="8">
    <oc r="AH222">
      <f>H222+J222+L222+N222+P222+R222+T222+V222+X222+Z222+AB222+AD222</f>
    </oc>
    <nc r="AH222"/>
  </rcc>
  <rcc rId="33406" sId="8">
    <oc r="AI222">
      <f>AH222</f>
    </oc>
    <nc r="AI222"/>
  </rcc>
  <rcc rId="33407" sId="8">
    <oc r="AJ222">
      <f>I222+K222+M222+O222+Q222+S222+U222+W222+Y222+AA222+AC222+AE222</f>
    </oc>
    <nc r="AJ222"/>
  </rcc>
  <rcc rId="33408" sId="8">
    <oc r="AK222">
      <f>B222-E222</f>
    </oc>
    <nc r="AK222"/>
  </rcc>
  <rcc rId="33409" sId="8">
    <oc r="AH223">
      <f>H223+J223+L223+N223+P223+R223+T223+V223+X223+Z223+AB223+AD223</f>
    </oc>
    <nc r="AH223"/>
  </rcc>
  <rcc rId="33410" sId="8">
    <oc r="AI223">
      <f>AH223</f>
    </oc>
    <nc r="AI223"/>
  </rcc>
  <rcc rId="33411" sId="8">
    <oc r="AJ223">
      <f>I223+K223+M223+O223+Q223+S223+U223+W223+Y223+AA223+AC223+AE223</f>
    </oc>
    <nc r="AJ223"/>
  </rcc>
  <rcc rId="33412" sId="8">
    <oc r="AK223">
      <f>B223-E223</f>
    </oc>
    <nc r="AK223"/>
  </rcc>
  <rcc rId="33413" sId="8">
    <oc r="AH224">
      <f>H224+J224+L224+N224+P224+R224+T224+V224+X224+Z224+AB224+AD224</f>
    </oc>
    <nc r="AH224"/>
  </rcc>
  <rcc rId="33414" sId="8">
    <oc r="AI224">
      <f>AH224</f>
    </oc>
    <nc r="AI224"/>
  </rcc>
  <rcc rId="33415" sId="8">
    <oc r="AJ224">
      <f>I224+K224+M224+O224+Q224+S224+U224+W224+Y224+AA224+AC224+AE224</f>
    </oc>
    <nc r="AJ224"/>
  </rcc>
  <rcc rId="33416" sId="8">
    <oc r="AK224">
      <f>B224-E224</f>
    </oc>
    <nc r="AK224"/>
  </rcc>
  <rcc rId="33417" sId="8">
    <oc r="AH225">
      <f>H225+J225+L225+N225+P225+R225+T225+V225+X225+Z225+AB225+AD225</f>
    </oc>
    <nc r="AH225"/>
  </rcc>
  <rcc rId="33418" sId="8">
    <oc r="AI225">
      <f>AH225</f>
    </oc>
    <nc r="AI225"/>
  </rcc>
  <rcc rId="33419" sId="8">
    <oc r="AJ225">
      <f>I225+K225+M225+O225+Q225+S225+U225+W225+Y225+AA225+AC225+AE225</f>
    </oc>
    <nc r="AJ225"/>
  </rcc>
  <rcc rId="33420" sId="8">
    <oc r="AK225">
      <f>B225-E225</f>
    </oc>
    <nc r="AK225"/>
  </rcc>
  <rcc rId="33421" sId="8">
    <oc r="AH226">
      <f>H226+J226+L226+N226+P226+R226+T226+V226+X226+Z226+AB226+AD226</f>
    </oc>
    <nc r="AH226"/>
  </rcc>
  <rcc rId="33422" sId="8">
    <oc r="AI226">
      <f>AH226</f>
    </oc>
    <nc r="AI226"/>
  </rcc>
  <rcc rId="33423" sId="8">
    <oc r="AJ226">
      <f>I226+K226+M226+O226+Q226+S226+U226+W226+Y226+AA226+AC226+AE226</f>
    </oc>
    <nc r="AJ226"/>
  </rcc>
  <rcc rId="33424" sId="8">
    <oc r="AK226">
      <f>B226-E226</f>
    </oc>
    <nc r="AK226"/>
  </rcc>
  <rcc rId="33425" sId="8">
    <oc r="AH227">
      <f>H227+J227+L227+N227+P227+R227+T227+V227+X227+Z227+AB227+AD227</f>
    </oc>
    <nc r="AH227"/>
  </rcc>
  <rcc rId="33426" sId="8">
    <oc r="AI227">
      <f>AH227</f>
    </oc>
    <nc r="AI227"/>
  </rcc>
  <rcc rId="33427" sId="8">
    <oc r="AJ227">
      <f>I227+K227+M227+O227+Q227+S227+U227+W227+Y227+AA227+AC227+AE227</f>
    </oc>
    <nc r="AJ227"/>
  </rcc>
  <rcc rId="33428" sId="8">
    <oc r="AK227">
      <f>B227-E227</f>
    </oc>
    <nc r="AK227"/>
  </rcc>
  <rcc rId="33429" sId="8">
    <oc r="AH228">
      <f>H228+J228+L228+N228+P228+R228+T228+V228+X228+Z228+AB228+AD228</f>
    </oc>
    <nc r="AH228"/>
  </rcc>
  <rcc rId="33430" sId="8">
    <oc r="AI228">
      <f>AH228</f>
    </oc>
    <nc r="AI228"/>
  </rcc>
  <rcc rId="33431" sId="8">
    <oc r="AJ228">
      <f>I228+K228+M228+O228+Q228+S228+U228+W228+Y228+AA228+AC228+AE228</f>
    </oc>
    <nc r="AJ228"/>
  </rcc>
  <rcc rId="33432" sId="8">
    <oc r="AK228">
      <f>B228-E228</f>
    </oc>
    <nc r="AK228"/>
  </rcc>
  <rcc rId="33433" sId="8">
    <oc r="AH229">
      <f>H229+J229+L229+N229+P229+R229+T229+V229+X229+Z229+AB229+AD229</f>
    </oc>
    <nc r="AH229"/>
  </rcc>
  <rcc rId="33434" sId="8">
    <oc r="AI229">
      <f>AH229</f>
    </oc>
    <nc r="AI229"/>
  </rcc>
  <rcc rId="33435" sId="8">
    <oc r="AJ229">
      <f>I229+K229+M229+O229+Q229+S229+U229+W229+Y229+AA229+AC229+AE229</f>
    </oc>
    <nc r="AJ229"/>
  </rcc>
  <rcc rId="33436" sId="8">
    <oc r="AK229">
      <f>B229-E229</f>
    </oc>
    <nc r="AK229"/>
  </rcc>
  <rcc rId="33437" sId="8">
    <oc r="AH230">
      <f>H230+J230+L230+N230+P230+R230+T230+V230+X230+Z230+AB230+AD230</f>
    </oc>
    <nc r="AH230"/>
  </rcc>
  <rcc rId="33438" sId="8">
    <oc r="AI230">
      <f>AH230</f>
    </oc>
    <nc r="AI230"/>
  </rcc>
  <rcc rId="33439" sId="8">
    <oc r="AJ230">
      <f>I230+K230+M230+O230+Q230+S230+U230+W230+Y230+AA230+AC230+AE230</f>
    </oc>
    <nc r="AJ230"/>
  </rcc>
  <rcc rId="33440" sId="8">
    <oc r="AK230">
      <f>B230-E230</f>
    </oc>
    <nc r="AK230"/>
  </rcc>
  <rcc rId="33441" sId="8">
    <oc r="AH231">
      <f>H231+J231+L231+N231+P231+R231+T231+V231+X231+Z231+AB231+AD231</f>
    </oc>
    <nc r="AH231"/>
  </rcc>
  <rcc rId="33442" sId="8">
    <oc r="AI231">
      <f>AH231</f>
    </oc>
    <nc r="AI231"/>
  </rcc>
  <rcc rId="33443" sId="8">
    <oc r="AJ231">
      <f>I231+K231+M231+O231+Q231+S231+U231+W231+Y231+AA231+AC231+AE231</f>
    </oc>
    <nc r="AJ231"/>
  </rcc>
  <rcc rId="33444" sId="8">
    <oc r="AK231">
      <f>B231-E231</f>
    </oc>
    <nc r="AK231"/>
  </rcc>
  <rcc rId="33445" sId="8">
    <oc r="AH232">
      <f>H232+J232+L232+N232+P232+R232+T232+V232+X232+Z232+AB232+AD232</f>
    </oc>
    <nc r="AH232"/>
  </rcc>
  <rcc rId="33446" sId="8">
    <oc r="AI232">
      <f>AH232</f>
    </oc>
    <nc r="AI232"/>
  </rcc>
  <rcc rId="33447" sId="8">
    <oc r="AJ232">
      <f>I232+K232+M232+O232+Q232+S232+U232+W232+Y232+AA232+AC232+AE232</f>
    </oc>
    <nc r="AJ232"/>
  </rcc>
  <rcc rId="33448" sId="8">
    <oc r="AK232">
      <f>B232-E232</f>
    </oc>
    <nc r="AK232"/>
  </rcc>
  <rcc rId="33449" sId="8">
    <oc r="AH233">
      <f>H233+J233+L233+N233+P233+R233+T233+V233+X233+Z233+AB233+AD233</f>
    </oc>
    <nc r="AH233"/>
  </rcc>
  <rcc rId="33450" sId="8">
    <oc r="AI233">
      <f>AH233</f>
    </oc>
    <nc r="AI233"/>
  </rcc>
  <rcc rId="33451" sId="8">
    <oc r="AJ233">
      <f>I233+K233+M233+O233+Q233+S233+U233+W233+Y233+AA233+AC233+AE233</f>
    </oc>
    <nc r="AJ233"/>
  </rcc>
  <rcc rId="33452" sId="8">
    <oc r="AK233">
      <f>B233-E233</f>
    </oc>
    <nc r="AK233"/>
  </rcc>
  <rcc rId="33453" sId="8">
    <oc r="AH234">
      <f>H234+J234+L234+N234+P234+R234+T234+V234+X234+Z234+AB234+AD234</f>
    </oc>
    <nc r="AH234"/>
  </rcc>
  <rcc rId="33454" sId="8">
    <oc r="AI234">
      <f>AH234</f>
    </oc>
    <nc r="AI234"/>
  </rcc>
  <rcc rId="33455" sId="8">
    <oc r="AJ234">
      <f>I234+K234+M234+O234+Q234+S234+U234+W234+Y234+AA234+AC234+AE234</f>
    </oc>
    <nc r="AJ234"/>
  </rcc>
  <rcc rId="33456" sId="8">
    <oc r="AK234">
      <f>B234-E234</f>
    </oc>
    <nc r="AK234"/>
  </rcc>
  <rcc rId="33457" sId="8">
    <oc r="AH235">
      <f>H235+J235+L235+N235+P235+R235+T235+V235+X235+Z235+AB235+AD235</f>
    </oc>
    <nc r="AH235"/>
  </rcc>
  <rcc rId="33458" sId="8">
    <oc r="AI235">
      <f>AH235</f>
    </oc>
    <nc r="AI235"/>
  </rcc>
  <rcc rId="33459" sId="8">
    <oc r="AJ235">
      <f>I235+K235+M235+O235+Q235+S235+U235+W235+Y235+AA235+AC235+AE235</f>
    </oc>
    <nc r="AJ235"/>
  </rcc>
  <rcc rId="33460" sId="8">
    <oc r="AK235">
      <f>B235-E235</f>
    </oc>
    <nc r="AK235"/>
  </rcc>
  <rcc rId="33461" sId="8">
    <oc r="AH236">
      <f>H236+J236+L236+N236+P236+R236+T236+V236+X236+Z236+AB236+AD236</f>
    </oc>
    <nc r="AH236"/>
  </rcc>
  <rcc rId="33462" sId="8">
    <oc r="AI236">
      <f>AH236</f>
    </oc>
    <nc r="AI236"/>
  </rcc>
  <rcc rId="33463" sId="8">
    <oc r="AJ236">
      <f>I236+K236+M236+O236+Q236+S236+U236+W236+Y236+AA236+AC236+AE236</f>
    </oc>
    <nc r="AJ236"/>
  </rcc>
  <rcc rId="33464" sId="8">
    <oc r="AK236">
      <f>B236-E236</f>
    </oc>
    <nc r="AK236"/>
  </rcc>
  <rcc rId="33465" sId="8">
    <oc r="AH237">
      <f>H237+J237+L237+N237+P237+R237+T237+V237+X237+Z237+AB237+AD237</f>
    </oc>
    <nc r="AH237"/>
  </rcc>
  <rcc rId="33466" sId="8">
    <oc r="AI237">
      <f>AH237</f>
    </oc>
    <nc r="AI237"/>
  </rcc>
  <rcc rId="33467" sId="8">
    <oc r="AJ237">
      <f>I237+K237+M237+O237+Q237+S237+U237+W237+Y237+AA237+AC237+AE237</f>
    </oc>
    <nc r="AJ237"/>
  </rcc>
  <rcc rId="33468" sId="8">
    <oc r="AK237">
      <f>B237-E237</f>
    </oc>
    <nc r="AK237"/>
  </rcc>
  <rcc rId="33469" sId="8">
    <oc r="AH238">
      <f>H238+J238+L238+N238+P238+R238+T238+V238+X238+Z238+AB238+AD238</f>
    </oc>
    <nc r="AH238"/>
  </rcc>
  <rcc rId="33470" sId="8">
    <oc r="AI238">
      <f>AH238</f>
    </oc>
    <nc r="AI238"/>
  </rcc>
  <rcc rId="33471" sId="8">
    <oc r="AJ238">
      <f>I238+K238+M238+O238+Q238+S238+U238+W238+Y238+AA238+AC238+AE238</f>
    </oc>
    <nc r="AJ238"/>
  </rcc>
  <rcc rId="33472" sId="8">
    <oc r="AK238">
      <f>B238-E238</f>
    </oc>
    <nc r="AK238"/>
  </rcc>
  <rcc rId="33473" sId="8">
    <oc r="AH239">
      <f>H239+J239+L239+N239+P239+R239+T239+V239+X239+Z239+AB239+AD239</f>
    </oc>
    <nc r="AH239"/>
  </rcc>
  <rcc rId="33474" sId="8">
    <oc r="AI239">
      <f>AH239</f>
    </oc>
    <nc r="AI239"/>
  </rcc>
  <rcc rId="33475" sId="8">
    <oc r="AJ239">
      <f>I239+K239+M239+O239+Q239+S239+U239+W239+Y239+AA239+AC239+AE239</f>
    </oc>
    <nc r="AJ239"/>
  </rcc>
  <rcc rId="33476" sId="8">
    <oc r="AK239">
      <f>B239-E239</f>
    </oc>
    <nc r="AK239"/>
  </rcc>
  <rcc rId="33477" sId="8">
    <oc r="AH240">
      <f>H240+J240+L240+N240+P240+R240+T240+V240+X240+Z240+AB240+AD240</f>
    </oc>
    <nc r="AH240"/>
  </rcc>
  <rcc rId="33478" sId="8">
    <oc r="AI240">
      <f>AH240</f>
    </oc>
    <nc r="AI240"/>
  </rcc>
  <rcc rId="33479" sId="8">
    <oc r="AJ240">
      <f>I240+K240+M240+O240+Q240+S240+U240+W240+Y240+AA240+AC240+AE240</f>
    </oc>
    <nc r="AJ240"/>
  </rcc>
  <rcc rId="33480" sId="8">
    <oc r="AK240">
      <f>B240-E240</f>
    </oc>
    <nc r="AK240"/>
  </rcc>
  <rcc rId="33481" sId="8">
    <oc r="AH241">
      <f>H241+J241+L241+N241+P241+R241+T241+V241+X241+Z241+AB241+AD241</f>
    </oc>
    <nc r="AH241"/>
  </rcc>
  <rcc rId="33482" sId="8">
    <oc r="AI241">
      <f>AH241</f>
    </oc>
    <nc r="AI241"/>
  </rcc>
  <rcc rId="33483" sId="8">
    <oc r="AJ241">
      <f>I241+K241+M241+O241+Q241+S241+U241+W241+Y241+AA241+AC241+AE241</f>
    </oc>
    <nc r="AJ241"/>
  </rcc>
  <rcc rId="33484" sId="8">
    <oc r="AK241">
      <f>B241-E241</f>
    </oc>
    <nc r="AK241"/>
  </rcc>
  <rcc rId="33485" sId="8">
    <oc r="AH242">
      <f>H242+J242+L242+N242+P242+R242+T242+V242+X242+Z242+AB242+AD242</f>
    </oc>
    <nc r="AH242"/>
  </rcc>
  <rcc rId="33486" sId="8">
    <oc r="AI242">
      <f>AH242</f>
    </oc>
    <nc r="AI242"/>
  </rcc>
  <rcc rId="33487" sId="8">
    <oc r="AJ242">
      <f>I242+K242+M242+O242+Q242+S242+U242+W242+Y242+AA242+AC242+AE242</f>
    </oc>
    <nc r="AJ242"/>
  </rcc>
  <rcc rId="33488" sId="8">
    <oc r="AK242">
      <f>B242-E242</f>
    </oc>
    <nc r="AK242"/>
  </rcc>
  <rcc rId="33489" sId="8">
    <oc r="AH243">
      <f>H243+J243+L243+N243+P243+R243+T243+V243+X243+Z243+AB243+AD243</f>
    </oc>
    <nc r="AH243"/>
  </rcc>
  <rcc rId="33490" sId="8">
    <oc r="AI243">
      <f>AH243</f>
    </oc>
    <nc r="AI243"/>
  </rcc>
  <rcc rId="33491" sId="8">
    <oc r="AJ243">
      <f>I243+K243+M243+O243+Q243+S243+U243+W243+Y243+AA243+AC243+AE243</f>
    </oc>
    <nc r="AJ243"/>
  </rcc>
  <rcc rId="33492" sId="8">
    <oc r="AK243">
      <f>B243-E243</f>
    </oc>
    <nc r="AK243"/>
  </rcc>
  <rcc rId="33493" sId="8">
    <oc r="AH244">
      <f>H244+J244+L244+N244+P244+R244+T244+V244+X244+Z244+AB244+AD244</f>
    </oc>
    <nc r="AH244"/>
  </rcc>
  <rcc rId="33494" sId="8">
    <oc r="AI244">
      <f>AH244</f>
    </oc>
    <nc r="AI244"/>
  </rcc>
  <rcc rId="33495" sId="8">
    <oc r="AJ244">
      <f>I244+K244+M244+O244+Q244+S244+U244+W244+Y244+AA244+AC244+AE244</f>
    </oc>
    <nc r="AJ244"/>
  </rcc>
  <rcc rId="33496" sId="8">
    <oc r="AK244">
      <f>B244-E244</f>
    </oc>
    <nc r="AK244"/>
  </rcc>
  <rcc rId="33497" sId="8">
    <oc r="AH245">
      <f>H245+J245+L245+N245+P245+R245+T245+V245+X245+Z245+AB245+AD245</f>
    </oc>
    <nc r="AH245"/>
  </rcc>
  <rcc rId="33498" sId="8">
    <oc r="AI245">
      <f>AH245</f>
    </oc>
    <nc r="AI245"/>
  </rcc>
  <rcc rId="33499" sId="8">
    <oc r="AJ245">
      <f>I245+K245+M245+O245+Q245+S245+U245+W245+Y245+AA245+AC245+AE245</f>
    </oc>
    <nc r="AJ245"/>
  </rcc>
  <rcc rId="33500" sId="8">
    <oc r="AK245">
      <f>B245-E245</f>
    </oc>
    <nc r="AK245"/>
  </rcc>
  <rcc rId="33501" sId="8">
    <oc r="AH246">
      <f>H246+J246+L246+N246+P246+R246+T246+V246+X246+Z246+AB246+AD246</f>
    </oc>
    <nc r="AH246"/>
  </rcc>
  <rcc rId="33502" sId="8">
    <oc r="AI246">
      <f>AH246</f>
    </oc>
    <nc r="AI246"/>
  </rcc>
  <rcc rId="33503" sId="8">
    <oc r="AJ246">
      <f>I246+K246+M246+O246+Q246+S246+U246+W246+Y246+AA246+AC246+AE246</f>
    </oc>
    <nc r="AJ246"/>
  </rcc>
  <rcc rId="33504" sId="8">
    <oc r="AK246">
      <f>B246-E246</f>
    </oc>
    <nc r="AK246"/>
  </rcc>
  <rcc rId="33505" sId="8">
    <oc r="AH247">
      <f>H247+J247+L247+N247+P247+R247+T247+V247+X247+Z247+AB247+AD247</f>
    </oc>
    <nc r="AH247"/>
  </rcc>
  <rcc rId="33506" sId="8">
    <oc r="AI247">
      <f>AH247</f>
    </oc>
    <nc r="AI247"/>
  </rcc>
  <rcc rId="33507" sId="8">
    <oc r="AJ247">
      <f>I247+K247+M247+O247+Q247+S247+U247+W247+Y247+AA247+AC247+AE247</f>
    </oc>
    <nc r="AJ247"/>
  </rcc>
  <rcc rId="33508" sId="8">
    <oc r="AK247">
      <f>B247-E247</f>
    </oc>
    <nc r="AK247"/>
  </rcc>
  <rcc rId="33509" sId="8">
    <oc r="AH248">
      <f>H248+J248+L248+N248+P248+R248+T248+V248+X248+Z248+AB248+AD248</f>
    </oc>
    <nc r="AH248"/>
  </rcc>
  <rcc rId="33510" sId="8">
    <oc r="AI248">
      <f>AH248</f>
    </oc>
    <nc r="AI248"/>
  </rcc>
  <rcc rId="33511" sId="8">
    <oc r="AJ248">
      <f>I248+K248+M248+O248+Q248+S248+U248+W248+Y248+AA248+AC248+AE248</f>
    </oc>
    <nc r="AJ248"/>
  </rcc>
  <rcc rId="33512" sId="8">
    <oc r="AK248">
      <f>B248-E248</f>
    </oc>
    <nc r="AK248"/>
  </rcc>
  <rcc rId="33513" sId="8">
    <oc r="AH249">
      <f>H249+J249+L249+N249+P249+R249+T249+V249+X249+Z249+AB249+AD249</f>
    </oc>
    <nc r="AH249"/>
  </rcc>
  <rcc rId="33514" sId="8">
    <oc r="AI249">
      <f>AH249</f>
    </oc>
    <nc r="AI249"/>
  </rcc>
  <rcc rId="33515" sId="8">
    <oc r="AJ249">
      <f>I249+K249+M249+O249+Q249+S249+U249+W249+Y249+AA249+AC249+AE249</f>
    </oc>
    <nc r="AJ249"/>
  </rcc>
  <rcc rId="33516" sId="8">
    <oc r="AK249">
      <f>B249-E249</f>
    </oc>
    <nc r="AK249"/>
  </rcc>
  <rcc rId="33517" sId="8">
    <oc r="AH250">
      <f>H250+J250+L250+N250+P250+R250+T250+V250+X250+Z250+AB250+AD250</f>
    </oc>
    <nc r="AH250"/>
  </rcc>
  <rcc rId="33518" sId="8">
    <oc r="AI250">
      <f>AH250</f>
    </oc>
    <nc r="AI250"/>
  </rcc>
  <rcc rId="33519" sId="8">
    <oc r="AJ250">
      <f>I250+K250+M250+O250+Q250+S250+U250+W250+Y250+AA250+AC250+AE250</f>
    </oc>
    <nc r="AJ250"/>
  </rcc>
  <rcc rId="33520" sId="8">
    <oc r="AK250">
      <f>B250-E250</f>
    </oc>
    <nc r="AK250"/>
  </rcc>
  <rcc rId="33521" sId="8">
    <oc r="AH251">
      <f>H251+J251+L251+N251+P251+R251+T251+V251+X251+Z251+AB251+AD251</f>
    </oc>
    <nc r="AH251"/>
  </rcc>
  <rcc rId="33522" sId="8">
    <oc r="AI251">
      <f>AH251</f>
    </oc>
    <nc r="AI251"/>
  </rcc>
  <rcc rId="33523" sId="8">
    <oc r="AJ251">
      <f>I251+K251+M251+O251+Q251+S251+U251+W251+Y251+AA251+AC251+AE251</f>
    </oc>
    <nc r="AJ251"/>
  </rcc>
  <rcc rId="33524" sId="8">
    <oc r="AK251">
      <f>B251-E251</f>
    </oc>
    <nc r="AK251"/>
  </rcc>
  <rcc rId="33525" sId="8">
    <oc r="AH252">
      <f>H252+J252+L252+N252+P252+R252+T252+V252+X252+Z252+AB252+AD252</f>
    </oc>
    <nc r="AH252"/>
  </rcc>
  <rcc rId="33526" sId="8">
    <oc r="AI252">
      <f>AH252</f>
    </oc>
    <nc r="AI252"/>
  </rcc>
  <rcc rId="33527" sId="8">
    <oc r="AJ252">
      <f>I252+K252+M252+O252+Q252+S252+U252+W252+Y252+AA252+AC252+AE252</f>
    </oc>
    <nc r="AJ252"/>
  </rcc>
  <rcc rId="33528" sId="8">
    <oc r="AK252">
      <f>B252-E252</f>
    </oc>
    <nc r="AK252"/>
  </rcc>
  <rcc rId="33529" sId="8">
    <oc r="AH253">
      <f>H253+J253+L253+N253+P253+R253+T253+V253+X253+Z253+AB253+AD253</f>
    </oc>
    <nc r="AH253"/>
  </rcc>
  <rcc rId="33530" sId="8">
    <oc r="AI253">
      <f>AH253</f>
    </oc>
    <nc r="AI253"/>
  </rcc>
  <rcc rId="33531" sId="8">
    <oc r="AJ253">
      <f>I253+K253+M253+O253+Q253+S253+U253+W253+Y253+AA253+AC253+AE253</f>
    </oc>
    <nc r="AJ253"/>
  </rcc>
  <rcc rId="33532" sId="8">
    <oc r="AK253">
      <f>B253-E253</f>
    </oc>
    <nc r="AK253"/>
  </rcc>
  <rcc rId="33533" sId="8">
    <oc r="AH254">
      <f>H254+J254+L254+N254+P254+R254+T254+V254+X254+Z254+AB254+AD254</f>
    </oc>
    <nc r="AH254"/>
  </rcc>
  <rcc rId="33534" sId="8">
    <oc r="AI254">
      <f>AH254</f>
    </oc>
    <nc r="AI254"/>
  </rcc>
  <rcc rId="33535" sId="8">
    <oc r="AJ254">
      <f>I254+K254+M254+O254+Q254+S254+U254+W254+Y254+AA254+AC254+AE254</f>
    </oc>
    <nc r="AJ254"/>
  </rcc>
  <rcc rId="33536" sId="8">
    <oc r="AK254">
      <f>B254-E254</f>
    </oc>
    <nc r="AK254"/>
  </rcc>
  <rcc rId="33537" sId="8">
    <oc r="AH255">
      <f>H255+J255+L255+N255+P255+R255+T255+V255+X255+Z255+AB255+AD255</f>
    </oc>
    <nc r="AH255"/>
  </rcc>
  <rcc rId="33538" sId="8">
    <oc r="AI255">
      <f>AH255</f>
    </oc>
    <nc r="AI255"/>
  </rcc>
  <rcc rId="33539" sId="8">
    <oc r="AJ255">
      <f>I255+K255+M255+O255+Q255+S255+U255+W255+Y255+AA255+AC255+AE255</f>
    </oc>
    <nc r="AJ255"/>
  </rcc>
  <rcc rId="33540" sId="8">
    <oc r="AK255">
      <f>B255-E255</f>
    </oc>
    <nc r="AK255"/>
  </rcc>
  <rcc rId="33541" sId="8">
    <oc r="AH256">
      <f>H256+J256+L256+N256+P256+R256+T256+V256+X256+Z256+AB256+AD256</f>
    </oc>
    <nc r="AH256"/>
  </rcc>
  <rcc rId="33542" sId="8">
    <oc r="AI256">
      <f>AH256</f>
    </oc>
    <nc r="AI256"/>
  </rcc>
  <rcc rId="33543" sId="8">
    <oc r="AJ256">
      <f>I256+K256+M256+O256+Q256+S256+U256+W256+Y256+AA256+AC256+AE256</f>
    </oc>
    <nc r="AJ256"/>
  </rcc>
  <rcc rId="33544" sId="8">
    <oc r="AK256">
      <f>B256-E256</f>
    </oc>
    <nc r="AK256"/>
  </rcc>
  <rcc rId="33545" sId="8">
    <oc r="AH257">
      <f>H257+J257+L257+N257+P257+R257+T257+V257+X257+Z257+AB257+AD257</f>
    </oc>
    <nc r="AH257"/>
  </rcc>
  <rcc rId="33546" sId="8">
    <oc r="AI257">
      <f>AH257</f>
    </oc>
    <nc r="AI257"/>
  </rcc>
  <rcc rId="33547" sId="8">
    <oc r="AJ257">
      <f>I257+K257+M257+O257+Q257+S257+U257+W257+Y257+AA257+AC257+AE257</f>
    </oc>
    <nc r="AJ257"/>
  </rcc>
  <rcc rId="33548" sId="8">
    <oc r="AK257">
      <f>B257-E257</f>
    </oc>
    <nc r="AK257"/>
  </rcc>
  <rcc rId="33549" sId="8">
    <oc r="AH258">
      <f>H258+J258+L258+N258+P258+R258+T258+V258+X258+Z258+AB258+AD258</f>
    </oc>
    <nc r="AH258"/>
  </rcc>
  <rcc rId="33550" sId="8">
    <oc r="AI258">
      <f>AH258</f>
    </oc>
    <nc r="AI258"/>
  </rcc>
  <rcc rId="33551" sId="8">
    <oc r="AJ258">
      <f>I258+K258+M258+O258+Q258+S258+U258+W258+Y258+AA258+AC258+AE258</f>
    </oc>
    <nc r="AJ258"/>
  </rcc>
  <rcc rId="33552" sId="8">
    <oc r="AK258">
      <f>B258-E258</f>
    </oc>
    <nc r="AK258"/>
  </rcc>
  <rcc rId="33553" sId="8">
    <oc r="AH259">
      <f>H259+J259+L259+N259+P259+R259+T259+V259+X259+Z259+AB259+AD259</f>
    </oc>
    <nc r="AH259"/>
  </rcc>
  <rcc rId="33554" sId="8">
    <oc r="AI259">
      <f>AH259</f>
    </oc>
    <nc r="AI259"/>
  </rcc>
  <rcc rId="33555" sId="8">
    <oc r="AJ259">
      <f>I259+K259+M259+O259+Q259+S259+U259+W259+Y259+AA259+AC259+AE259</f>
    </oc>
    <nc r="AJ259"/>
  </rcc>
  <rcc rId="33556" sId="8">
    <oc r="AK259">
      <f>B259-E259</f>
    </oc>
    <nc r="AK259"/>
  </rcc>
  <rcc rId="33557" sId="8">
    <oc r="AH260">
      <f>H260+J260+L260+N260+P260+R260+T260+V260+X260+Z260+AB260+AD260</f>
    </oc>
    <nc r="AH260"/>
  </rcc>
  <rcc rId="33558" sId="8">
    <oc r="AI260">
      <f>AH260</f>
    </oc>
    <nc r="AI260"/>
  </rcc>
  <rcc rId="33559" sId="8">
    <oc r="AJ260">
      <f>I260+K260+M260+O260+Q260+S260+U260+W260+Y260+AA260+AC260+AE260</f>
    </oc>
    <nc r="AJ260"/>
  </rcc>
  <rcc rId="33560" sId="8">
    <oc r="AK260">
      <f>B260-E260</f>
    </oc>
    <nc r="AK260"/>
  </rcc>
  <rcc rId="33561" sId="8">
    <oc r="AH261">
      <f>H261+J261+L261+N261+P261+R261+T261+V261+X261+Z261+AB261+AD261</f>
    </oc>
    <nc r="AH261"/>
  </rcc>
  <rcc rId="33562" sId="8">
    <oc r="AI261">
      <f>AH261</f>
    </oc>
    <nc r="AI261"/>
  </rcc>
  <rcc rId="33563" sId="8">
    <oc r="AJ261">
      <f>I261+K261+M261+O261+Q261+S261+U261+W261+Y261+AA261+AC261+AE261</f>
    </oc>
    <nc r="AJ261"/>
  </rcc>
  <rcc rId="33564" sId="8">
    <oc r="AK261">
      <f>B261-E261</f>
    </oc>
    <nc r="AK261"/>
  </rcc>
  <rcc rId="33565" sId="8">
    <oc r="AH262">
      <f>H262+J262+L262+N262+P262+R262+T262+V262+X262+Z262+AB262+AD262</f>
    </oc>
    <nc r="AH262"/>
  </rcc>
  <rcc rId="33566" sId="8">
    <oc r="AI262">
      <f>AH262</f>
    </oc>
    <nc r="AI262"/>
  </rcc>
  <rcc rId="33567" sId="8">
    <oc r="AJ262">
      <f>I262+K262+M262+O262+Q262+S262+U262+W262+Y262+AA262+AC262+AE262</f>
    </oc>
    <nc r="AJ262"/>
  </rcc>
  <rcc rId="33568" sId="8">
    <oc r="AK262">
      <f>B262-E262</f>
    </oc>
    <nc r="AK262"/>
  </rcc>
  <rcc rId="33569" sId="8">
    <oc r="AH263">
      <f>H263+J263+L263+N263+P263+R263+T263+V263+X263+Z263+AB263+AD263</f>
    </oc>
    <nc r="AH263"/>
  </rcc>
  <rcc rId="33570" sId="8">
    <oc r="AI263">
      <f>AH263</f>
    </oc>
    <nc r="AI263"/>
  </rcc>
  <rcc rId="33571" sId="8">
    <oc r="AJ263">
      <f>I263+K263+M263+O263+Q263+S263+U263+W263+Y263+AA263+AC263+AE263</f>
    </oc>
    <nc r="AJ263"/>
  </rcc>
  <rcc rId="33572" sId="8">
    <oc r="AK263">
      <f>B263-E263</f>
    </oc>
    <nc r="AK263"/>
  </rcc>
  <rcc rId="33573" sId="8">
    <oc r="AH264">
      <f>H264+J264+L264+N264+P264+R264+T264+V264+X264+Z264+AB264+AD264</f>
    </oc>
    <nc r="AH264"/>
  </rcc>
  <rcc rId="33574" sId="8">
    <oc r="AI264">
      <f>AH264</f>
    </oc>
    <nc r="AI264"/>
  </rcc>
  <rcc rId="33575" sId="8">
    <oc r="AJ264">
      <f>I264+K264+M264+O264+Q264+S264+U264+W264+Y264+AA264+AC264+AE264</f>
    </oc>
    <nc r="AJ264"/>
  </rcc>
  <rcc rId="33576" sId="8">
    <oc r="AK264">
      <f>B264-E264</f>
    </oc>
    <nc r="AK264"/>
  </rcc>
  <rcc rId="33577" sId="8">
    <oc r="AH265">
      <f>H265+J265+L265+N265+P265+R265+T265+V265+X265+Z265+AB265+AD265</f>
    </oc>
    <nc r="AH265"/>
  </rcc>
  <rcc rId="33578" sId="8">
    <oc r="AI265">
      <f>AH265</f>
    </oc>
    <nc r="AI265"/>
  </rcc>
  <rcc rId="33579" sId="8">
    <oc r="AJ265">
      <f>I265+K265+M265+O265+Q265+S265+U265+W265+Y265+AA265+AC265+AE265</f>
    </oc>
    <nc r="AJ265"/>
  </rcc>
  <rcc rId="33580" sId="8">
    <oc r="AK265">
      <f>B265-E265</f>
    </oc>
    <nc r="AK265"/>
  </rcc>
  <rcc rId="33581" sId="8">
    <oc r="AH266">
      <f>H266+J266+L266+N266+P266+R266+T266+V266+X266+Z266+AB266+AD266</f>
    </oc>
    <nc r="AH266"/>
  </rcc>
  <rcc rId="33582" sId="8">
    <oc r="AI266">
      <f>AH266</f>
    </oc>
    <nc r="AI266"/>
  </rcc>
  <rcc rId="33583" sId="8">
    <oc r="AJ266">
      <f>I266+K266+M266+O266+Q266+S266+U266+W266+Y266+AA266+AC266+AE266</f>
    </oc>
    <nc r="AJ266"/>
  </rcc>
  <rcc rId="33584" sId="8">
    <oc r="AK266">
      <f>B266-E266</f>
    </oc>
    <nc r="AK266"/>
  </rcc>
  <rcc rId="33585" sId="8">
    <oc r="AH267">
      <f>H267+J267+L267+N267+P267+R267+T267+V267+X267+Z267+AB267+AD267</f>
    </oc>
    <nc r="AH267"/>
  </rcc>
  <rcc rId="33586" sId="8">
    <oc r="AI267">
      <f>AH267</f>
    </oc>
    <nc r="AI267"/>
  </rcc>
  <rcc rId="33587" sId="8">
    <oc r="AJ267">
      <f>I267+K267+M267+O267+Q267+S267+U267+W267+Y267+AA267+AC267+AE267</f>
    </oc>
    <nc r="AJ267"/>
  </rcc>
  <rcc rId="33588" sId="8">
    <oc r="AK267">
      <f>B267-E267</f>
    </oc>
    <nc r="AK267"/>
  </rcc>
  <rcc rId="33589" sId="8">
    <oc r="AH268">
      <f>H268+J268+L268+N268+P268+R268+T268+V268+X268+Z268+AB268+AD268</f>
    </oc>
    <nc r="AH268"/>
  </rcc>
  <rcc rId="33590" sId="8">
    <oc r="AI268">
      <f>AH268</f>
    </oc>
    <nc r="AI268"/>
  </rcc>
  <rcc rId="33591" sId="8">
    <oc r="AJ268">
      <f>I268+K268+M268+O268+Q268+S268+U268+W268+Y268+AA268+AC268+AE268</f>
    </oc>
    <nc r="AJ268"/>
  </rcc>
  <rcc rId="33592" sId="8">
    <oc r="AK268">
      <f>B268-E268</f>
    </oc>
    <nc r="AK268"/>
  </rcc>
  <rcc rId="33593" sId="8">
    <oc r="AH269">
      <f>H269+J269+L269+N269+P269+R269+T269+V269+X269+Z269+AB269+AD269</f>
    </oc>
    <nc r="AH269"/>
  </rcc>
  <rcc rId="33594" sId="8">
    <oc r="AI269">
      <f>AH269</f>
    </oc>
    <nc r="AI269"/>
  </rcc>
  <rcc rId="33595" sId="8">
    <oc r="AJ269">
      <f>I269+K269+M269+O269+Q269+S269+U269+W269+Y269+AA269+AC269+AE269</f>
    </oc>
    <nc r="AJ269"/>
  </rcc>
  <rcc rId="33596" sId="8">
    <oc r="AK269">
      <f>B269-E269</f>
    </oc>
    <nc r="AK269"/>
  </rcc>
  <rcc rId="33597" sId="8">
    <oc r="AH270">
      <f>H270+J270+L270+N270+P270+R270+T270+V270+X270+Z270+AB270+AD270</f>
    </oc>
    <nc r="AH270"/>
  </rcc>
  <rcc rId="33598" sId="8">
    <oc r="AI270">
      <f>AH270</f>
    </oc>
    <nc r="AI270"/>
  </rcc>
  <rcc rId="33599" sId="8">
    <oc r="AJ270">
      <f>I270+K270+M270+O270+Q270+S270+U270+W270+Y270+AA270+AC270+AE270</f>
    </oc>
    <nc r="AJ270"/>
  </rcc>
  <rcc rId="33600" sId="8">
    <oc r="AK270">
      <f>B270-E270</f>
    </oc>
    <nc r="AK270"/>
  </rcc>
  <rcc rId="33601" sId="8">
    <oc r="AH271">
      <f>H271+J271+L271+N271+P271+R271+T271+V271+X271+Z271+AB271+AD271</f>
    </oc>
    <nc r="AH271"/>
  </rcc>
  <rcc rId="33602" sId="8">
    <oc r="AI271">
      <f>AH271</f>
    </oc>
    <nc r="AI271"/>
  </rcc>
  <rcc rId="33603" sId="8">
    <oc r="AJ271">
      <f>I271+K271+M271+O271+Q271+S271+U271+W271+Y271+AA271+AC271+AE271</f>
    </oc>
    <nc r="AJ271"/>
  </rcc>
  <rcc rId="33604" sId="8">
    <oc r="AK271">
      <f>B271-E271</f>
    </oc>
    <nc r="AK271"/>
  </rcc>
  <rcc rId="33605" sId="8">
    <oc r="AH272">
      <f>H272+J272+L272+N272+P272+R272+T272+V272+X272+Z272+AB272+AD272</f>
    </oc>
    <nc r="AH272"/>
  </rcc>
  <rcc rId="33606" sId="8">
    <oc r="AI272">
      <f>AH272</f>
    </oc>
    <nc r="AI272"/>
  </rcc>
  <rcc rId="33607" sId="8">
    <oc r="AJ272">
      <f>I272+K272+M272+O272+Q272+S272+U272+W272+Y272+AA272+AC272+AE272</f>
    </oc>
    <nc r="AJ272"/>
  </rcc>
  <rcc rId="33608" sId="8">
    <oc r="AK272">
      <f>B272-E272</f>
    </oc>
    <nc r="AK272"/>
  </rcc>
  <rcc rId="33609" sId="8">
    <oc r="AH273">
      <f>H273+J273+L273+N273+P273+R273+T273+V273+X273+Z273+AB273+AD273</f>
    </oc>
    <nc r="AH273"/>
  </rcc>
  <rcc rId="33610" sId="8">
    <oc r="AI273">
      <f>AH273</f>
    </oc>
    <nc r="AI273"/>
  </rcc>
  <rcc rId="33611" sId="8">
    <oc r="AJ273">
      <f>I273+K273+M273+O273+Q273+S273+U273+W273+Y273+AA273+AC273+AE273</f>
    </oc>
    <nc r="AJ273"/>
  </rcc>
  <rcc rId="33612" sId="8">
    <oc r="AK273">
      <f>B273-E273</f>
    </oc>
    <nc r="AK273"/>
  </rcc>
  <rcc rId="33613" sId="8">
    <oc r="AH274">
      <f>H274+J274+L274+N274+P274+R274+T274+V274+X274+Z274+AB274+AD274</f>
    </oc>
    <nc r="AH274"/>
  </rcc>
  <rcc rId="33614" sId="8">
    <oc r="AI274">
      <f>AH274</f>
    </oc>
    <nc r="AI274"/>
  </rcc>
  <rcc rId="33615" sId="8">
    <oc r="AJ274">
      <f>I274+K274+M274+O274+Q274+S274+U274+W274+Y274+AA274+AC274+AE274</f>
    </oc>
    <nc r="AJ274"/>
  </rcc>
  <rcc rId="33616" sId="8">
    <oc r="AK274">
      <f>B274-E274</f>
    </oc>
    <nc r="AK274"/>
  </rcc>
  <rcc rId="33617" sId="8">
    <oc r="AH275">
      <f>H275+J275+L275+N275+P275+R275+T275+V275+X275+Z275+AB275+AD275</f>
    </oc>
    <nc r="AH275"/>
  </rcc>
  <rcc rId="33618" sId="8">
    <oc r="AI275">
      <f>AH275</f>
    </oc>
    <nc r="AI275"/>
  </rcc>
  <rcc rId="33619" sId="8">
    <oc r="AJ275">
      <f>I275+K275+M275+O275+Q275+S275+U275+W275+Y275+AA275+AC275+AE275</f>
    </oc>
    <nc r="AJ275"/>
  </rcc>
  <rcc rId="33620" sId="8">
    <oc r="AK275">
      <f>B275-E275</f>
    </oc>
    <nc r="AK275"/>
  </rcc>
  <rcc rId="33621" sId="8">
    <oc r="AH276">
      <f>H276+J276+L276+N276+P276+R276+T276+V276+X276+Z276+AB276+AD276</f>
    </oc>
    <nc r="AH276"/>
  </rcc>
  <rcc rId="33622" sId="8">
    <oc r="AI276">
      <f>AH276</f>
    </oc>
    <nc r="AI276"/>
  </rcc>
  <rcc rId="33623" sId="8">
    <oc r="AJ276">
      <f>I276+K276+M276+O276+Q276+S276+U276+W276+Y276+AA276+AC276+AE276</f>
    </oc>
    <nc r="AJ276"/>
  </rcc>
  <rcc rId="33624" sId="8">
    <oc r="AK276">
      <f>B276-E276</f>
    </oc>
    <nc r="AK276"/>
  </rcc>
  <rcc rId="33625" sId="8">
    <oc r="AH277">
      <f>H277+J277+L277+N277+P277+R277+T277+V277+X277+Z277+AB277+AD277</f>
    </oc>
    <nc r="AH277"/>
  </rcc>
  <rcc rId="33626" sId="8">
    <oc r="AI277">
      <f>AH277</f>
    </oc>
    <nc r="AI277"/>
  </rcc>
  <rcc rId="33627" sId="8">
    <oc r="AJ277">
      <f>I277+K277+M277+O277+Q277+S277+U277+W277+Y277+AA277+AC277+AE277</f>
    </oc>
    <nc r="AJ277"/>
  </rcc>
  <rcc rId="33628" sId="8">
    <oc r="AK277">
      <f>B277-E277</f>
    </oc>
    <nc r="AK277"/>
  </rcc>
  <rcc rId="33629" sId="8">
    <oc r="AH278">
      <f>H278+J278+L278+N278+P278+R278+T278+V278+X278+Z278+AB278+AD278</f>
    </oc>
    <nc r="AH278"/>
  </rcc>
  <rcc rId="33630" sId="8">
    <oc r="AI278">
      <f>AH278</f>
    </oc>
    <nc r="AI278"/>
  </rcc>
  <rcc rId="33631" sId="8">
    <oc r="AJ278">
      <f>I278+K278+M278+O278+Q278+S278+U278+W278+Y278+AA278+AC278+AE278</f>
    </oc>
    <nc r="AJ278"/>
  </rcc>
  <rcc rId="33632" sId="8">
    <oc r="AK278">
      <f>B278-E278</f>
    </oc>
    <nc r="AK278"/>
  </rcc>
  <rcc rId="33633" sId="8">
    <oc r="AH279">
      <f>H279+J279+L279+N279+P279+R279+T279+V279+X279+Z279+AB279+AD279</f>
    </oc>
    <nc r="AH279"/>
  </rcc>
  <rcc rId="33634" sId="8">
    <oc r="AI279">
      <f>AH279</f>
    </oc>
    <nc r="AI279"/>
  </rcc>
  <rcc rId="33635" sId="8">
    <oc r="AJ279">
      <f>I279+K279+M279+O279+Q279+S279+U279+W279+Y279+AA279+AC279+AE279</f>
    </oc>
    <nc r="AJ279"/>
  </rcc>
  <rcc rId="33636" sId="8">
    <oc r="AK279">
      <f>B279-E279</f>
    </oc>
    <nc r="AK279"/>
  </rcc>
  <rcc rId="33637" sId="8">
    <oc r="AH280">
      <f>H280+J280+L280+N280+P280+R280+T280+V280+X280+Z280+AB280+AD280</f>
    </oc>
    <nc r="AH280"/>
  </rcc>
  <rcc rId="33638" sId="8">
    <oc r="AI280">
      <f>AH280</f>
    </oc>
    <nc r="AI280"/>
  </rcc>
  <rcc rId="33639" sId="8">
    <oc r="AJ280">
      <f>I280+K280+M280+O280+Q280+S280+U280+W280+Y280+AA280+AC280+AE280</f>
    </oc>
    <nc r="AJ280"/>
  </rcc>
  <rcc rId="33640" sId="8">
    <oc r="AK280">
      <f>B280-E280</f>
    </oc>
    <nc r="AK280"/>
  </rcc>
  <rcc rId="33641" sId="8">
    <oc r="AH281">
      <f>H281+J281+L281+N281+P281+R281+T281+V281+X281+Z281+AB281+AD281</f>
    </oc>
    <nc r="AH281"/>
  </rcc>
  <rcc rId="33642" sId="8">
    <oc r="AI281">
      <f>AH281</f>
    </oc>
    <nc r="AI281"/>
  </rcc>
  <rcc rId="33643" sId="8">
    <oc r="AJ281">
      <f>I281+K281+M281+O281+Q281+S281+U281+W281+Y281+AA281+AC281+AE281</f>
    </oc>
    <nc r="AJ281"/>
  </rcc>
  <rcc rId="33644" sId="8">
    <oc r="AK281">
      <f>B281-E281</f>
    </oc>
    <nc r="AK281"/>
  </rcc>
  <rcc rId="33645" sId="8">
    <oc r="AH282">
      <f>H282+J282+L282+N282+P282+R282+T282+V282+X282+Z282+AB282+AD282</f>
    </oc>
    <nc r="AH282"/>
  </rcc>
  <rcc rId="33646" sId="8">
    <oc r="AI282">
      <f>AH282</f>
    </oc>
    <nc r="AI282"/>
  </rcc>
  <rcc rId="33647" sId="8">
    <oc r="AJ282">
      <f>I282+K282+M282+O282+Q282+S282+U282+W282+Y282+AA282+AC282+AE282</f>
    </oc>
    <nc r="AJ282"/>
  </rcc>
  <rcc rId="33648" sId="8">
    <oc r="AK282">
      <f>B282-E282</f>
    </oc>
    <nc r="AK282"/>
  </rcc>
  <rcc rId="33649" sId="8">
    <oc r="AH283">
      <f>H283+J283+L283+N283+P283+R283+T283+V283+X283+Z283+AB283+AD283</f>
    </oc>
    <nc r="AH283"/>
  </rcc>
  <rcc rId="33650" sId="8">
    <oc r="AI283">
      <f>AH283</f>
    </oc>
    <nc r="AI283"/>
  </rcc>
  <rcc rId="33651" sId="8">
    <oc r="AJ283">
      <f>I283+K283+M283+O283+Q283+S283+U283+W283+Y283+AA283+AC283+AE283</f>
    </oc>
    <nc r="AJ283"/>
  </rcc>
  <rcc rId="33652" sId="8">
    <oc r="AK283">
      <f>B283-E283</f>
    </oc>
    <nc r="AK283"/>
  </rcc>
  <rcc rId="33653" sId="8">
    <oc r="AH284">
      <f>H284+J284+L284+N284+P284+R284+T284+V284+X284+Z284+AB284+AD284</f>
    </oc>
    <nc r="AH284"/>
  </rcc>
  <rcc rId="33654" sId="8">
    <oc r="AI284">
      <f>AH284</f>
    </oc>
    <nc r="AI284"/>
  </rcc>
  <rcc rId="33655" sId="8">
    <oc r="AJ284">
      <f>I284+K284+M284+O284+Q284+S284+U284+W284+Y284+AA284+AC284+AE284</f>
    </oc>
    <nc r="AJ284"/>
  </rcc>
  <rcc rId="33656" sId="8">
    <oc r="AK284">
      <f>B284-E284</f>
    </oc>
    <nc r="AK284"/>
  </rcc>
  <rcc rId="33657" sId="8">
    <oc r="AH285">
      <f>H285+J285+L285+N285+P285+R285+T285+V285+X285+Z285+AB285+AD285</f>
    </oc>
    <nc r="AH285"/>
  </rcc>
  <rcc rId="33658" sId="8">
    <oc r="AI285">
      <f>AH285</f>
    </oc>
    <nc r="AI285"/>
  </rcc>
  <rcc rId="33659" sId="8">
    <oc r="AJ285">
      <f>I285+K285+M285+O285+Q285+S285+U285+W285+Y285+AA285+AC285+AE285</f>
    </oc>
    <nc r="AJ285"/>
  </rcc>
  <rcc rId="33660" sId="8">
    <oc r="AK285">
      <f>B285-E285</f>
    </oc>
    <nc r="AK285"/>
  </rcc>
  <rcc rId="33661" sId="8">
    <oc r="AH286">
      <f>H286+J286+L286+N286+P286+R286+T286+V286+X286+Z286+AB286+AD286</f>
    </oc>
    <nc r="AH286"/>
  </rcc>
  <rcc rId="33662" sId="8">
    <oc r="AI286">
      <f>AH286</f>
    </oc>
    <nc r="AI286"/>
  </rcc>
  <rcc rId="33663" sId="8">
    <oc r="AJ286">
      <f>I286+K286+M286+O286+Q286+S286+U286+W286+Y286+AA286+AC286+AE286</f>
    </oc>
    <nc r="AJ286"/>
  </rcc>
  <rcc rId="33664" sId="8">
    <oc r="AK286">
      <f>B286-E286</f>
    </oc>
    <nc r="AK286"/>
  </rcc>
  <rcc rId="33665" sId="8">
    <oc r="AH287">
      <f>H287+J287+L287+N287+P287+R287+T287+V287+X287+Z287+AB287+AD287</f>
    </oc>
    <nc r="AH287"/>
  </rcc>
  <rcc rId="33666" sId="8">
    <oc r="AI287">
      <f>AH287</f>
    </oc>
    <nc r="AI287"/>
  </rcc>
  <rcc rId="33667" sId="8">
    <oc r="AJ287">
      <f>I287+K287+M287+O287+Q287+S287+U287+W287+Y287+AA287+AC287+AE287</f>
    </oc>
    <nc r="AJ287"/>
  </rcc>
  <rcc rId="33668" sId="8">
    <oc r="AK287">
      <f>B287-E287</f>
    </oc>
    <nc r="AK287"/>
  </rcc>
  <rcc rId="33669" sId="8">
    <oc r="AH288">
      <f>H288+J288+L288+N288+P288+R288+T288+V288+X288+Z288+AB288+AD288</f>
    </oc>
    <nc r="AH288"/>
  </rcc>
  <rcc rId="33670" sId="8">
    <oc r="AI288">
      <f>AH288</f>
    </oc>
    <nc r="AI288"/>
  </rcc>
  <rcc rId="33671" sId="8">
    <oc r="AJ288">
      <f>I288+K288+M288+O288+Q288+S288+U288+W288+Y288+AA288+AC288+AE288</f>
    </oc>
    <nc r="AJ288"/>
  </rcc>
  <rcc rId="33672" sId="8">
    <oc r="AK288">
      <f>B288-E288</f>
    </oc>
    <nc r="AK288"/>
  </rcc>
  <rcc rId="33673" sId="8">
    <oc r="AH289">
      <f>H289+J289+L289+N289+P289+R289+T289+V289+X289+Z289+AB289+AD289</f>
    </oc>
    <nc r="AH289"/>
  </rcc>
  <rcc rId="33674" sId="8">
    <oc r="AI289">
      <f>AH289</f>
    </oc>
    <nc r="AI289"/>
  </rcc>
  <rcc rId="33675" sId="8">
    <oc r="AJ289">
      <f>I289+K289+M289+O289+Q289+S289+U289+W289+Y289+AA289+AC289+AE289</f>
    </oc>
    <nc r="AJ289"/>
  </rcc>
  <rcc rId="33676" sId="8">
    <oc r="AK289">
      <f>B289-E289</f>
    </oc>
    <nc r="AK289"/>
  </rcc>
  <rcc rId="33677" sId="8">
    <oc r="AH290">
      <f>H290+J290+L290+N290+P290+R290+T290+V290+X290+Z290+AB290+AD290</f>
    </oc>
    <nc r="AH290"/>
  </rcc>
  <rcc rId="33678" sId="8">
    <oc r="AI290">
      <f>AH290</f>
    </oc>
    <nc r="AI290"/>
  </rcc>
  <rcc rId="33679" sId="8">
    <oc r="AJ290">
      <f>I290+K290+M290+O290+Q290+S290+U290+W290+Y290+AA290+AC290+AE290</f>
    </oc>
    <nc r="AJ290"/>
  </rcc>
  <rcc rId="33680" sId="8">
    <oc r="AK290">
      <f>B290-E290</f>
    </oc>
    <nc r="AK290"/>
  </rcc>
  <rcc rId="33681" sId="8">
    <oc r="AH291">
      <f>H291+J291+L291+N291+P291+R291+T291+V291+X291+Z291+AB291+AD291</f>
    </oc>
    <nc r="AH291"/>
  </rcc>
  <rcc rId="33682" sId="8">
    <oc r="AI291">
      <f>AH291</f>
    </oc>
    <nc r="AI291"/>
  </rcc>
  <rcc rId="33683" sId="8">
    <oc r="AJ291">
      <f>I291+K291+M291+O291+Q291+S291+U291+W291+Y291+AA291+AC291+AE291</f>
    </oc>
    <nc r="AJ291"/>
  </rcc>
  <rcc rId="33684" sId="8">
    <oc r="AK291">
      <f>B291-E291</f>
    </oc>
    <nc r="AK291"/>
  </rcc>
  <rcc rId="33685" sId="8">
    <oc r="AH292">
      <f>H292+J292+L292+N292+P292+R292+T292+V292+X292+Z292+AB292+AD292</f>
    </oc>
    <nc r="AH292"/>
  </rcc>
  <rcc rId="33686" sId="8">
    <oc r="AI292">
      <f>AH292</f>
    </oc>
    <nc r="AI292"/>
  </rcc>
  <rcc rId="33687" sId="8">
    <oc r="AJ292">
      <f>I292+K292+M292+O292+Q292+S292+U292+W292+Y292+AA292+AC292+AE292</f>
    </oc>
    <nc r="AJ292"/>
  </rcc>
  <rcc rId="33688" sId="8">
    <oc r="AK292">
      <f>B292-E292</f>
    </oc>
    <nc r="AK292"/>
  </rcc>
  <rcc rId="33689" sId="8">
    <oc r="AH293">
      <f>H293+J293+L293+N293+P293+R293+T293+V293+X293+Z293+AB293+AD293</f>
    </oc>
    <nc r="AH293"/>
  </rcc>
  <rcc rId="33690" sId="8">
    <oc r="AI293">
      <f>AH293</f>
    </oc>
    <nc r="AI293"/>
  </rcc>
  <rcc rId="33691" sId="8">
    <oc r="AJ293">
      <f>I293+K293+M293+O293+Q293+S293+U293+W293+Y293+AA293+AC293+AE293</f>
    </oc>
    <nc r="AJ293"/>
  </rcc>
  <rcc rId="33692" sId="8">
    <oc r="AK293">
      <f>B293-E293</f>
    </oc>
    <nc r="AK293"/>
  </rcc>
  <rcc rId="33693" sId="8">
    <oc r="AH294">
      <f>H294+J294+L294+N294+P294+R294+T294+V294+X294+Z294+AB294+AD294</f>
    </oc>
    <nc r="AH294"/>
  </rcc>
  <rcc rId="33694" sId="8">
    <oc r="AI294">
      <f>AH294</f>
    </oc>
    <nc r="AI294"/>
  </rcc>
  <rcc rId="33695" sId="8">
    <oc r="AJ294">
      <f>I294+K294+M294+O294+Q294+S294+U294+W294+Y294+AA294+AC294+AE294</f>
    </oc>
    <nc r="AJ294"/>
  </rcc>
  <rcc rId="33696" sId="8">
    <oc r="AK294">
      <f>B294-E294</f>
    </oc>
    <nc r="AK294"/>
  </rcc>
  <rcc rId="33697" sId="8">
    <oc r="AH295">
      <f>H295+J295+L295+N295+P295+R295+T295+V295+X295+Z295+AB295+AD295</f>
    </oc>
    <nc r="AH295"/>
  </rcc>
  <rcc rId="33698" sId="8">
    <oc r="AI295">
      <f>AH295</f>
    </oc>
    <nc r="AI295"/>
  </rcc>
  <rcc rId="33699" sId="8">
    <oc r="AJ295">
      <f>I295+K295+M295+O295+Q295+S295+U295+W295+Y295+AA295+AC295+AE295</f>
    </oc>
    <nc r="AJ295"/>
  </rcc>
  <rcc rId="33700" sId="8">
    <oc r="AK295">
      <f>B295-E295</f>
    </oc>
    <nc r="AK295"/>
  </rcc>
  <rcc rId="33701" sId="8">
    <oc r="AH296">
      <f>H296+J296+L296+N296+P296+R296+T296+V296+X296+Z296+AB296+AD296</f>
    </oc>
    <nc r="AH296"/>
  </rcc>
  <rcc rId="33702" sId="8">
    <oc r="AI296">
      <f>AH296</f>
    </oc>
    <nc r="AI296"/>
  </rcc>
  <rcc rId="33703" sId="8">
    <oc r="AJ296">
      <f>I296+K296+M296+O296+Q296+S296+U296+W296+Y296+AA296+AC296+AE296</f>
    </oc>
    <nc r="AJ296"/>
  </rcc>
  <rcc rId="33704" sId="8">
    <oc r="AK296">
      <f>B296-E296</f>
    </oc>
    <nc r="AK296"/>
  </rcc>
  <rcc rId="33705" sId="8">
    <oc r="AH297">
      <f>H297+J297+L297+N297+P297+R297+T297+V297+X297+Z297+AB297+AD297</f>
    </oc>
    <nc r="AH297"/>
  </rcc>
  <rcc rId="33706" sId="8">
    <oc r="AI297">
      <f>AH297</f>
    </oc>
    <nc r="AI297"/>
  </rcc>
  <rcc rId="33707" sId="8">
    <oc r="AJ297">
      <f>I297+K297+M297+O297+Q297+S297+U297+W297+Y297+AA297+AC297+AE297</f>
    </oc>
    <nc r="AJ297"/>
  </rcc>
  <rcc rId="33708" sId="8">
    <oc r="AK297">
      <f>B297-E297</f>
    </oc>
    <nc r="AK297"/>
  </rcc>
  <rcc rId="33709" sId="8">
    <oc r="AH298">
      <f>H298+J298+L298+N298+P298+R298+T298+V298+X298+Z298+AB298+AD298</f>
    </oc>
    <nc r="AH298"/>
  </rcc>
  <rcc rId="33710" sId="8">
    <oc r="AI298">
      <f>AH298</f>
    </oc>
    <nc r="AI298"/>
  </rcc>
  <rcc rId="33711" sId="8">
    <oc r="AJ298">
      <f>I298+K298+M298+O298+Q298+S298+U298+W298+Y298+AA298+AC298+AE298</f>
    </oc>
    <nc r="AJ298"/>
  </rcc>
  <rcc rId="33712" sId="8">
    <oc r="AK298">
      <f>B298-E298</f>
    </oc>
    <nc r="AK298"/>
  </rcc>
  <rcc rId="33713" sId="8">
    <oc r="AH299">
      <f>H299+J299+L299+N299+P299+R299+T299+V299+X299+Z299+AB299+AD299</f>
    </oc>
    <nc r="AH299"/>
  </rcc>
  <rcc rId="33714" sId="8">
    <oc r="AI299">
      <f>AH299</f>
    </oc>
    <nc r="AI299"/>
  </rcc>
  <rcc rId="33715" sId="8">
    <oc r="AJ299">
      <f>I299+K299+M299+O299+Q299+S299+U299+W299+Y299+AA299+AC299+AE299</f>
    </oc>
    <nc r="AJ299"/>
  </rcc>
  <rcc rId="33716" sId="8">
    <oc r="AK299">
      <f>B299-E299</f>
    </oc>
    <nc r="AK299"/>
  </rcc>
  <rcc rId="33717" sId="8">
    <oc r="AH301">
      <f>H301+J301+L301+N301+P301+R301+T301+V301+X301+Z301+AB301+AD301</f>
    </oc>
    <nc r="AH301"/>
  </rcc>
  <rcc rId="33718" sId="8">
    <oc r="AI301">
      <f>AH301</f>
    </oc>
    <nc r="AI301"/>
  </rcc>
  <rcc rId="33719" sId="8">
    <oc r="AJ301">
      <f>I301+K301+M301+O301+Q301+S301+U301+W301+Y301+AA301+AC301+AE301</f>
    </oc>
    <nc r="AJ301"/>
  </rcc>
  <rcc rId="33720" sId="8">
    <oc r="AK301">
      <f>B301-E301</f>
    </oc>
    <nc r="AK301"/>
  </rcc>
  <rcc rId="33721" sId="8">
    <oc r="AH302">
      <f>H302+J302+L302+N302+P302+R302+T302+V302+X302+Z302+AB302+AD302</f>
    </oc>
    <nc r="AH302"/>
  </rcc>
  <rcc rId="33722" sId="8">
    <oc r="AI302">
      <f>AH302</f>
    </oc>
    <nc r="AI302"/>
  </rcc>
  <rcc rId="33723" sId="8">
    <oc r="AJ302">
      <f>I302+K302+M302+O302+Q302+S302+U302+W302+Y302+AA302+AC302+AE302</f>
    </oc>
    <nc r="AJ302"/>
  </rcc>
  <rcc rId="33724" sId="8">
    <oc r="AK302">
      <f>B302-E302</f>
    </oc>
    <nc r="AK302"/>
  </rcc>
  <rcc rId="33725" sId="8">
    <oc r="AH303">
      <f>H303+J303+L303+N303+P303+R303+T303+V303+X303+Z303+AB303+AD303</f>
    </oc>
    <nc r="AH303"/>
  </rcc>
  <rcc rId="33726" sId="8">
    <oc r="AI303">
      <f>AH303</f>
    </oc>
    <nc r="AI303"/>
  </rcc>
  <rcc rId="33727" sId="8">
    <oc r="AJ303">
      <f>I303+K303+M303+O303+Q303+S303+U303+W303+Y303+AA303+AC303+AE303</f>
    </oc>
    <nc r="AJ303"/>
  </rcc>
  <rcc rId="33728" sId="8">
    <oc r="AK303">
      <f>B303-E303</f>
    </oc>
    <nc r="AK303"/>
  </rcc>
  <rcc rId="33729" sId="8">
    <oc r="AH304">
      <f>H304+J304+L304+N304+P304+R304+T304+V304+X304+Z304+AB304+AD304</f>
    </oc>
    <nc r="AH304"/>
  </rcc>
  <rcc rId="33730" sId="8">
    <oc r="AI304">
      <f>AH304</f>
    </oc>
    <nc r="AI304"/>
  </rcc>
  <rcc rId="33731" sId="8">
    <oc r="AJ304">
      <f>I304+K304+M304+O304+Q304+S304+U304+W304+Y304+AA304+AC304+AE304</f>
    </oc>
    <nc r="AJ304"/>
  </rcc>
  <rcc rId="33732" sId="8">
    <oc r="AK304">
      <f>B304-E304</f>
    </oc>
    <nc r="AK304"/>
  </rcc>
  <rcc rId="33733" sId="8">
    <oc r="AH305">
      <f>H305+J305+L305+N305+P305+R305+T305+V305+X305+Z305+AB305+AD305</f>
    </oc>
    <nc r="AH305"/>
  </rcc>
  <rcc rId="33734" sId="8">
    <oc r="AI305">
      <f>AH305</f>
    </oc>
    <nc r="AI305"/>
  </rcc>
  <rcc rId="33735" sId="8">
    <oc r="AJ305">
      <f>I305+K305+M305+O305+Q305+S305+U305+W305+Y305+AA305+AC305+AE305</f>
    </oc>
    <nc r="AJ305"/>
  </rcc>
  <rcc rId="33736" sId="8">
    <oc r="AK305">
      <f>B305-E305</f>
    </oc>
    <nc r="AK305"/>
  </rcc>
  <rcc rId="33737" sId="8">
    <oc r="AH306">
      <f>H306+J306+L306+N306+P306+R306+T306+V306+X306+Z306+AB306+AD306</f>
    </oc>
    <nc r="AH306"/>
  </rcc>
  <rcc rId="33738" sId="8">
    <oc r="AI306">
      <f>AH306</f>
    </oc>
    <nc r="AI306"/>
  </rcc>
  <rcc rId="33739" sId="8">
    <oc r="AJ306">
      <f>I306+K306+M306+O306+Q306+S306+U306+W306+Y306+AA306+AC306+AE306</f>
    </oc>
    <nc r="AJ306"/>
  </rcc>
  <rcc rId="33740" sId="8">
    <oc r="AK306">
      <f>B306-E306</f>
    </oc>
    <nc r="AK306"/>
  </rcc>
  <rcc rId="33741" sId="8">
    <oc r="AG11">
      <f>B11-H11-J11-L11-N11-P11-R11-T11-V11-X11-Z11-AB11-AD11</f>
    </oc>
    <nc r="AG11"/>
  </rcc>
  <rcc rId="33742" sId="8">
    <oc r="AG12">
      <f>B12-H12-J12-L12-N12-P12-R12-T12-V12-X12-Z12-AB12-AD12</f>
    </oc>
    <nc r="AG12"/>
  </rcc>
  <rcc rId="33743" sId="8">
    <oc r="AG13">
      <f>B13-H13-J13-L13-N13-P13-R13-T13-V13-X13-Z13-AB13-AD13</f>
    </oc>
    <nc r="AG13"/>
  </rcc>
  <rcc rId="33744" sId="8">
    <oc r="AG14">
      <f>B14-H14-J14-L14-N14-P14-R14-T14-V14-X14-Z14-AB14-AD14</f>
    </oc>
    <nc r="AG14"/>
  </rcc>
  <rcc rId="33745" sId="8">
    <oc r="AG15">
      <f>B15-H15-J15-L15-N15-P15-R15-T15-V15-X15-Z15-AB15-AD15</f>
    </oc>
    <nc r="AG15"/>
  </rcc>
  <rcc rId="33746" sId="8">
    <oc r="AG16">
      <f>B16-H16-J16-L16-N16-P16-R16-T16-V16-X16-Z16-AB16-AD16</f>
    </oc>
    <nc r="AG16"/>
  </rcc>
  <rcc rId="33747" sId="8">
    <oc r="AG17">
      <f>B17-H17-J17-L17-N17-P17-R17-T17-V17-X17-Z17-AB17-AD17</f>
    </oc>
    <nc r="AG17"/>
  </rcc>
  <rcc rId="33748" sId="8">
    <oc r="AG18">
      <f>B18-H18-J18-L18-N18-P18-R18-T18-V18-X18-Z18-AB18-AD18</f>
    </oc>
    <nc r="AG18"/>
  </rcc>
  <rcc rId="33749" sId="8">
    <oc r="AG19">
      <f>B19-H19-J19-L19-N19-P19-R19-T19-V19-X19-Z19-AB19-AD19</f>
    </oc>
    <nc r="AG19"/>
  </rcc>
  <rcc rId="33750" sId="8">
    <oc r="AG20">
      <f>B20-H20-J20-L20-N20-P20-R20-T20-V20-X20-Z20-AB20-AD20</f>
    </oc>
    <nc r="AG20"/>
  </rcc>
  <rcc rId="33751" sId="8">
    <oc r="AG21">
      <f>B21-H21-J21-L21-N21-P21-R21-T21-V21-X21-Z21-AB21-AD21</f>
    </oc>
    <nc r="AG21"/>
  </rcc>
  <rcc rId="33752" sId="8">
    <oc r="AG22">
      <f>B22-H22-J22-L22-N22-P22-R22-T22-V22-X22-Z22-AB22-AD22</f>
    </oc>
    <nc r="AG22"/>
  </rcc>
  <rcc rId="33753" sId="8">
    <oc r="AG23">
      <f>B23-H23-J23-L23-N23-P23-R23-T23-V23-X23-Z23-AB23-AD23</f>
    </oc>
    <nc r="AG23"/>
  </rcc>
  <rcc rId="33754" sId="8">
    <oc r="AG24">
      <f>B24-H24-J24-L24-N24-P24-R24-T24-V24-X24-Z24-AB24-AD24</f>
    </oc>
    <nc r="AG24"/>
  </rcc>
  <rcc rId="33755" sId="8">
    <oc r="AG25">
      <f>B25-H25-J25-L25-N25-P25-R25-T25-V25-X25-Z25-AB25-AD25</f>
    </oc>
    <nc r="AG25"/>
  </rcc>
  <rcc rId="33756" sId="8">
    <oc r="AG26">
      <f>B26-H26-J26-L26-N26-P26-R26-T26-V26-X26-Z26-AB26-AD26</f>
    </oc>
    <nc r="AG26"/>
  </rcc>
  <rcc rId="33757" sId="8">
    <oc r="AG27">
      <f>B27-H27-J27-L27-N27-P27-R27-T27-V27-X27-Z27-AB27-AD27</f>
    </oc>
    <nc r="AG27"/>
  </rcc>
  <rcc rId="33758" sId="8">
    <oc r="AG28">
      <f>B28-H28-J28-L28-N28-P28-R28-T28-V28-X28-Z28-AB28-AD28</f>
    </oc>
    <nc r="AG28"/>
  </rcc>
  <rcc rId="33759" sId="8">
    <oc r="AG30">
      <f>B30-H30-J30-L30-N30-P30-R30-T30-V30-X30-Z30-AB30-AD30</f>
    </oc>
    <nc r="AG30"/>
  </rcc>
  <rcc rId="33760" sId="8">
    <oc r="AG31">
      <f>B31-H31-J31-L31-N31-P31-R31-T31-V31-X31-Z31-AB31-AD31</f>
    </oc>
    <nc r="AG31"/>
  </rcc>
  <rcc rId="33761" sId="8">
    <oc r="AG32">
      <f>B32-H32-J32-L32-N32-P32-R32-T32-V32-X32-Z32-AB32-AD32</f>
    </oc>
    <nc r="AG32"/>
  </rcc>
  <rcc rId="33762" sId="8">
    <oc r="AG33">
      <f>B33-H33-J33-L33-N33-P33-R33-T33-V33-X33-Z33-AB33-AD33</f>
    </oc>
    <nc r="AG33"/>
  </rcc>
  <rcc rId="33763" sId="8">
    <oc r="AG34">
      <f>B34-H34-J34-L34-N34-P34-R34-T34-V34-X34-Z34-AB34-AD34</f>
    </oc>
    <nc r="AG34"/>
  </rcc>
  <rcc rId="33764" sId="8">
    <oc r="AG35">
      <f>B35-H35-J35-L35-N35-P35-R35-T35-V35-X35-Z35-AB35-AD35</f>
    </oc>
    <nc r="AG35"/>
  </rcc>
  <rcc rId="33765" sId="8">
    <oc r="AG37">
      <f>B37-H37-J37-L37-N37-P37-R37-T37-V37-X37-Z37-AB37-AD37</f>
    </oc>
    <nc r="AG37"/>
  </rcc>
  <rcc rId="33766" sId="8">
    <oc r="AG38">
      <f>B38-H38-J38-L38-N38-P38-R38-T38-V38-X38-Z38-AB38-AD38</f>
    </oc>
    <nc r="AG38"/>
  </rcc>
  <rcc rId="33767" sId="8">
    <oc r="AG39">
      <f>B39-H39-J39-L39-N39-P39-R39-T39-V39-X39-Z39-AB39-AD39</f>
    </oc>
    <nc r="AG39"/>
  </rcc>
  <rcc rId="33768" sId="8">
    <oc r="AG40">
      <f>B40-H40-J40-L40-N40-P40-R40-T40-V40-X40-Z40-AB40-AD40</f>
    </oc>
    <nc r="AG40"/>
  </rcc>
  <rcc rId="33769" sId="8">
    <oc r="AG41">
      <f>B41-H41-J41-L41-N41-P41-R41-T41-V41-X41-Z41-AB41-AD41</f>
    </oc>
    <nc r="AG41"/>
  </rcc>
  <rcc rId="33770" sId="8">
    <oc r="AG42">
      <f>B42-H42-J42-L42-N42-P42-R42-T42-V42-X42-Z42-AB42-AD42</f>
    </oc>
    <nc r="AG42"/>
  </rcc>
  <rcc rId="33771" sId="8">
    <oc r="AG43">
      <f>B43-H43-J43-L43-N43-P43-R43-T43-V43-X43-Z43-AB43-AD43</f>
    </oc>
    <nc r="AG43"/>
  </rcc>
  <rcc rId="33772" sId="8">
    <oc r="AG44">
      <f>B44-H44-J44-L44-N44-P44-R44-T44-V44-X44-Z44-AB44-AD44</f>
    </oc>
    <nc r="AG44"/>
  </rcc>
  <rcc rId="33773" sId="8">
    <oc r="AG45">
      <f>B45-H45-J45-L45-N45-P45-R45-T45-V45-X45-Z45-AB45-AD45</f>
    </oc>
    <nc r="AG45"/>
  </rcc>
  <rcc rId="33774" sId="8">
    <oc r="AG46">
      <f>B46-H46-J46-L46-N46-P46-R46-T46-V46-X46-Z46-AB46-AD46</f>
    </oc>
    <nc r="AG46"/>
  </rcc>
  <rcc rId="33775" sId="8">
    <oc r="AG47">
      <f>B47-H47-J47-L47-N47-P47-R47-T47-V47-X47-Z47-AB47-AD47</f>
    </oc>
    <nc r="AG47"/>
  </rcc>
  <rcc rId="33776" sId="8">
    <oc r="AG48">
      <f>B48-H48-J48-L48-N48-P48-R48-T48-V48-X48-Z48-AB48-AD48</f>
    </oc>
    <nc r="AG48"/>
  </rcc>
  <rcc rId="33777" sId="8">
    <oc r="AG49">
      <f>B49-H49-J49-L49-N49-P49-R49-T49-V49-X49-Z49-AB49-AD49</f>
    </oc>
    <nc r="AG49"/>
  </rcc>
  <rcc rId="33778" sId="8">
    <oc r="AG50">
      <f>B50-H50-J50-L50-N50-P50-R50-T50-V50-X50-Z50-AB50-AD50</f>
    </oc>
    <nc r="AG50"/>
  </rcc>
  <rcc rId="33779" sId="8">
    <oc r="AG51">
      <f>B51-H51-J51-L51-N51-P51-R51-T51-V51-X51-Z51-AB51-AD51</f>
    </oc>
    <nc r="AG51"/>
  </rcc>
  <rcc rId="33780" sId="8">
    <oc r="AG52">
      <f>B52-H52-J52-L52-N52-P52-R52-T52-V52-X52-Z52-AB52-AD52</f>
    </oc>
    <nc r="AG52"/>
  </rcc>
  <rcc rId="33781" sId="8">
    <oc r="AG53">
      <f>B53-H53-J53-L53-N53-P53-R53-T53-V53-X53-Z53-AB53-AD53</f>
    </oc>
    <nc r="AG53"/>
  </rcc>
  <rcc rId="33782" sId="8">
    <oc r="AG54">
      <f>B54-H54-J54-L54-N54-P54-R54-T54-V54-X54-Z54-AB54-AD54</f>
    </oc>
    <nc r="AG54"/>
  </rcc>
  <rcc rId="33783" sId="8">
    <oc r="AG55">
      <f>B55-H55-J55-L55-N55-P55-R55-T55-V55-X55-Z55-AB55-AD55</f>
    </oc>
    <nc r="AG55"/>
  </rcc>
  <rcc rId="33784" sId="8">
    <oc r="AG56">
      <f>B56-H56-J56-L56-N56-P56-R56-T56-V56-X56-Z56-AB56-AD56</f>
    </oc>
    <nc r="AG56"/>
  </rcc>
  <rcc rId="33785" sId="8">
    <oc r="AG57">
      <f>B57-H57-J57-L57-N57-P57-R57-T57-V57-X57-Z57-AB57-AD57</f>
    </oc>
    <nc r="AG57"/>
  </rcc>
  <rcc rId="33786" sId="8">
    <oc r="AG58">
      <f>B58-H58-J58-L58-N58-P58-R58-T58-V58-X58-Z58-AB58-AD58</f>
    </oc>
    <nc r="AG58"/>
  </rcc>
  <rcc rId="33787" sId="8">
    <oc r="AG59">
      <f>B59-H59-J59-L59-N59-P59-R59-T59-V59-X59-Z59-AB59-AD59</f>
    </oc>
    <nc r="AG59"/>
  </rcc>
  <rcc rId="33788" sId="8">
    <oc r="AG60">
      <f>B60-H60-J60-L60-N60-P60-R60-T60-V60-X60-Z60-AB60-AD60</f>
    </oc>
    <nc r="AG60"/>
  </rcc>
  <rcc rId="33789" sId="8">
    <oc r="AG61">
      <f>B61-H61-J61-L61-N61-P61-R61-T61-V61-X61-Z61-AB61-AD61</f>
    </oc>
    <nc r="AG61"/>
  </rcc>
  <rcc rId="33790" sId="8">
    <oc r="AG62">
      <f>B62-H62-J62-L62-N62-P62-R62-T62-V62-X62-Z62-AB62-AD62</f>
    </oc>
    <nc r="AG62"/>
  </rcc>
  <rcc rId="33791" sId="8">
    <oc r="AG63">
      <f>B63-H63-J63-L63-N63-P63-R63-T63-V63-X63-Z63-AB63-AD63</f>
    </oc>
    <nc r="AG63"/>
  </rcc>
  <rcc rId="33792" sId="8">
    <oc r="AG64">
      <f>B64-H64-J64-L64-N64-P64-R64-T64-V64-X64-Z64-AB64-AD64</f>
    </oc>
    <nc r="AG64"/>
  </rcc>
  <rcc rId="33793" sId="8">
    <oc r="AG65">
      <f>B65-H65-J65-L65-N65-P65-R65-T65-V65-X65-Z65-AB65-AD65</f>
    </oc>
    <nc r="AG65"/>
  </rcc>
  <rcc rId="33794" sId="8">
    <oc r="AG66">
      <f>B66-H66-J66-L66-N66-P66-R66-T66-V66-X66-Z66-AB66-AD66</f>
    </oc>
    <nc r="AG66"/>
  </rcc>
  <rcc rId="33795" sId="8">
    <oc r="AG67">
      <f>B67-H67-J67-L67-N67-P67-R67-T67-V67-X67-Z67-AB67-AD67</f>
    </oc>
    <nc r="AG67"/>
  </rcc>
  <rcc rId="33796" sId="8">
    <oc r="AG68">
      <f>B68-H68-J68-L68-N68-P68-R68-T68-V68-X68-Z68-AB68-AD68</f>
    </oc>
    <nc r="AG68"/>
  </rcc>
  <rcc rId="33797" sId="8">
    <oc r="AG69">
      <f>B69-H69-J69-L69-N69-P69-R69-T69-V69-X69-Z69-AB69-AD69</f>
    </oc>
    <nc r="AG69"/>
  </rcc>
  <rcc rId="33798" sId="8">
    <oc r="AG70">
      <f>B70-H70-J70-L70-N70-P70-R70-T70-V70-X70-Z70-AB70-AD70</f>
    </oc>
    <nc r="AG70"/>
  </rcc>
  <rcc rId="33799" sId="8">
    <oc r="AG71">
      <f>B71-H71-J71-L71-N71-P71-R71-T71-V71-X71-Z71-AB71-AD71</f>
    </oc>
    <nc r="AG71"/>
  </rcc>
  <rcc rId="33800" sId="8">
    <oc r="AG72">
      <f>B72-H72-J72-L72-N72-P72-R72-T72-V72-X72-Z72-AB72-AD72</f>
    </oc>
    <nc r="AG72"/>
  </rcc>
  <rcc rId="33801" sId="8">
    <oc r="AG73">
      <f>B73-H73-J73-L73-N73-P73-R73-T73-V73-X73-Z73-AB73-AD73</f>
    </oc>
    <nc r="AG73"/>
  </rcc>
  <rcc rId="33802" sId="8">
    <oc r="AG74">
      <f>B74-H74-J74-L74-N74-P74-R74-T74-V74-X74-Z74-AB74-AD74</f>
    </oc>
    <nc r="AG74"/>
  </rcc>
  <rcc rId="33803" sId="8">
    <oc r="AG75">
      <f>B75-H75-J75-L75-N75-P75-R75-T75-V75-X75-Z75-AB75-AD75</f>
    </oc>
    <nc r="AG75"/>
  </rcc>
  <rcc rId="33804" sId="8">
    <oc r="AG77">
      <f>B77-H77-J77-L77-N77-P77-R77-T77-V77-X77-Z77-AB77-AD77</f>
    </oc>
    <nc r="AG77"/>
  </rcc>
  <rcc rId="33805" sId="8">
    <oc r="AG78">
      <f>B78-H78-J78-L78-N78-P78-R78-T78-V78-X78-Z78-AB78-AD78</f>
    </oc>
    <nc r="AG78"/>
  </rcc>
  <rcc rId="33806" sId="8">
    <oc r="AG79">
      <f>B79-H79-J79-L79-N79-P79-R79-T79-V79-X79-Z79-AB79-AD79</f>
    </oc>
    <nc r="AG79"/>
  </rcc>
  <rcc rId="33807" sId="8">
    <oc r="AG80">
      <f>B80-H80-J80-L80-N80-P80-R80-T80-V80-X80-Z80-AB80-AD80</f>
    </oc>
    <nc r="AG80"/>
  </rcc>
  <rcc rId="33808" sId="8">
    <oc r="AG81">
      <f>B81-H81-J81-L81-N81-P81-R81-T81-V81-X81-Z81-AB81-AD81</f>
    </oc>
    <nc r="AG81"/>
  </rcc>
  <rcc rId="33809" sId="8">
    <oc r="AG82">
      <f>B82-H82-J82-L82-N82-P82-R82-T82-V82-X82-Z82-AB82-AD82</f>
    </oc>
    <nc r="AG82"/>
  </rcc>
  <rcc rId="33810" sId="8">
    <oc r="AG83">
      <f>B83-H83-J83-L83-N83-P83-R83-T83-V83-X83-Z83-AB83-AD83</f>
    </oc>
    <nc r="AG83"/>
  </rcc>
  <rcc rId="33811" sId="8">
    <oc r="AG84">
      <f>B84-H84-J84-L84-N84-P84-R84-T84-V84-X84-Z84-AB84-AD84</f>
    </oc>
    <nc r="AG84"/>
  </rcc>
  <rcc rId="33812" sId="8">
    <oc r="AG85">
      <f>B85-H85-J85-L85-N85-P85-R85-T85-V85-X85-Z85-AB85-AD85</f>
    </oc>
    <nc r="AG85"/>
  </rcc>
  <rcc rId="33813" sId="8">
    <oc r="AG86">
      <f>B86-H86-J86-L86-N86-P86-R86-T86-V86-X86-Z86-AB86-AD86</f>
    </oc>
    <nc r="AG86"/>
  </rcc>
  <rcc rId="33814" sId="8">
    <oc r="AG87">
      <f>B87-H87-J87-L87-N87-P87-R87-T87-V87-X87-Z87-AB87-AD87</f>
    </oc>
    <nc r="AG87"/>
  </rcc>
  <rcc rId="33815" sId="8">
    <oc r="AG88">
      <f>B88-H88-J88-L88-N88-P88-R88-T88-V88-X88-Z88-AB88-AD88</f>
    </oc>
    <nc r="AG88"/>
  </rcc>
  <rcc rId="33816" sId="8">
    <oc r="AG89">
      <f>B89-H89-J89-L89-N89-P89-R89-T89-V89-X89-Z89-AB89-AD89</f>
    </oc>
    <nc r="AG89"/>
  </rcc>
  <rcc rId="33817" sId="8">
    <oc r="AG90">
      <f>B90-H90-J90-L90-N90-P90-R90-T90-V90-X90-Z90-AB90-AD90</f>
    </oc>
    <nc r="AG90"/>
  </rcc>
  <rcc rId="33818" sId="8">
    <oc r="AG91">
      <f>B91-H91-J91-L91-N91-P91-R91-T91-V91-X91-Z91-AB91-AD91</f>
    </oc>
    <nc r="AG91"/>
  </rcc>
  <rcc rId="33819" sId="8">
    <oc r="AG92">
      <f>B92-H92-J92-L92-N92-P92-R92-T92-V92-X92-Z92-AB92-AD92</f>
    </oc>
    <nc r="AG92"/>
  </rcc>
  <rcc rId="33820" sId="8">
    <oc r="AG93">
      <f>B93-H93-J93-L93-N93-P93-R93-T93-V93-X93-Z93-AB93-AD93</f>
    </oc>
    <nc r="AG93"/>
  </rcc>
  <rcc rId="33821" sId="8">
    <oc r="AG94">
      <f>B94-H94-J94-L94-N94-P94-R94-T94-V94-X94-Z94-AB94-AD94</f>
    </oc>
    <nc r="AG94"/>
  </rcc>
  <rcc rId="33822" sId="8">
    <oc r="AG95">
      <f>B95-H95-J95-L95-N95-P95-R95-T95-V95-X95-Z95-AB95-AD95</f>
    </oc>
    <nc r="AG95"/>
  </rcc>
  <rcc rId="33823" sId="8">
    <oc r="AG96">
      <f>B96-H96-J96-L96-N96-P96-R96-T96-V96-X96-Z96-AB96-AD96</f>
    </oc>
    <nc r="AG96"/>
  </rcc>
  <rcc rId="33824" sId="8">
    <oc r="AG97">
      <f>B97-H97-J97-L97-N97-P97-R97-T97-V97-X97-Z97-AB97-AD97</f>
    </oc>
    <nc r="AG97"/>
  </rcc>
  <rcc rId="33825" sId="8">
    <oc r="AG98">
      <f>B98-H98-J98-L98-N98-P98-R98-T98-V98-X98-Z98-AB98-AD98</f>
    </oc>
    <nc r="AG98"/>
  </rcc>
  <rcc rId="33826" sId="8">
    <oc r="AG99">
      <f>B99-H99-J99-L99-N99-P99-R99-T99-V99-X99-Z99-AB99-AD99</f>
    </oc>
    <nc r="AG99"/>
  </rcc>
  <rcc rId="33827" sId="8">
    <oc r="AG100">
      <f>B100-H100-J100-L100-N100-P100-R100-T100-V100-X100-Z100-AB100-AD100</f>
    </oc>
    <nc r="AG100"/>
  </rcc>
  <rcc rId="33828" sId="8">
    <oc r="AG101">
      <f>B101-H101-J101-L101-N101-P101-R101-T101-V101-X101-Z101-AB101-AD101</f>
    </oc>
    <nc r="AG101"/>
  </rcc>
  <rcc rId="33829" sId="8">
    <oc r="AG102">
      <f>B102-H102-J102-L102-N102-P102-R102-T102-V102-X102-Z102-AB102-AD102</f>
    </oc>
    <nc r="AG102"/>
  </rcc>
  <rcc rId="33830" sId="8">
    <oc r="AG103">
      <f>B103-H103-J103-L103-N103-P103-R103-T103-V103-X103-Z103-AB103-AD103</f>
    </oc>
    <nc r="AG103"/>
  </rcc>
  <rcc rId="33831" sId="8">
    <oc r="AG104">
      <f>B104-H104-J104-L104-N104-P104-R104-T104-V104-X104-Z104-AB104-AD104</f>
    </oc>
    <nc r="AG104"/>
  </rcc>
  <rcc rId="33832" sId="8">
    <oc r="AG105">
      <f>B105-H105-J105-L105-N105-P105-R105-T105-V105-X105-Z105-AB105-AD105</f>
    </oc>
    <nc r="AG105"/>
  </rcc>
  <rcc rId="33833" sId="8">
    <oc r="AG106">
      <f>B106-H106-J106-L106-N106-P106-R106-T106-V106-X106-Z106-AB106-AD106</f>
    </oc>
    <nc r="AG106"/>
  </rcc>
  <rcc rId="33834" sId="8">
    <oc r="AG107">
      <f>B107-H107-J107-L107-N107-P107-R107-T107-V107-X107-Z107-AB107-AD107</f>
    </oc>
    <nc r="AG107"/>
  </rcc>
  <rcc rId="33835" sId="8">
    <oc r="AG108">
      <f>B108-H108-J108-L108-N108-P108-R108-T108-V108-X108-Z108-AB108-AD108</f>
    </oc>
    <nc r="AG108"/>
  </rcc>
  <rcc rId="33836" sId="8">
    <oc r="AG109">
      <f>B109-H109-J109-L109-N109-P109-R109-T109-V109-X109-Z109-AB109-AD109</f>
    </oc>
    <nc r="AG109"/>
  </rcc>
  <rcc rId="33837" sId="8">
    <oc r="AG110">
      <f>B110-H110-J110-L110-N110-P110-R110-T110-V110-X110-Z110-AB110-AD110</f>
    </oc>
    <nc r="AG110"/>
  </rcc>
  <rcc rId="33838" sId="8">
    <oc r="AG111">
      <f>B111-H111-J111-L111-N111-P111-R111-T111-V111-X111-Z111-AB111-AD111</f>
    </oc>
    <nc r="AG111"/>
  </rcc>
  <rcc rId="33839" sId="8">
    <oc r="AG112">
      <f>B112-H112-J112-L112-N112-P112-R112-T112-V112-X112-Z112-AB112-AD112</f>
    </oc>
    <nc r="AG112"/>
  </rcc>
  <rcc rId="33840" sId="8">
    <oc r="AG113">
      <f>B113-H113-J113-L113-N113-P113-R113-T113-V113-X113-Z113-AB113-AD113</f>
    </oc>
    <nc r="AG113"/>
  </rcc>
  <rcc rId="33841" sId="8">
    <oc r="AG114">
      <f>B114-H114-J114-L114-N114-P114-R114-T114-V114-X114-Z114-AB114-AD114</f>
    </oc>
    <nc r="AG114"/>
  </rcc>
  <rcc rId="33842" sId="8">
    <oc r="AG115">
      <f>B115-H115-J115-L115-N115-P115-R115-T115-V115-X115-Z115-AB115-AD115</f>
    </oc>
    <nc r="AG115"/>
  </rcc>
  <rcc rId="33843" sId="8">
    <oc r="AG116">
      <f>B116-H116-J116-L116-N116-P116-R116-T116-V116-X116-Z116-AB116-AD116</f>
    </oc>
    <nc r="AG116"/>
  </rcc>
  <rcc rId="33844" sId="8">
    <oc r="AG117">
      <f>B117-H117-J117-L117-N117-P117-R117-T117-V117-X117-Z117-AB117-AD117</f>
    </oc>
    <nc r="AG117"/>
  </rcc>
  <rcc rId="33845" sId="8">
    <oc r="AG118">
      <f>B118-H118-J118-L118-N118-P118-R118-T118-V118-X118-Z118-AB118-AD118</f>
    </oc>
    <nc r="AG118"/>
  </rcc>
  <rcc rId="33846" sId="8">
    <oc r="AG119">
      <f>B119-H119-J119-L119-N119-P119-R119-T119-V119-X119-Z119-AB119-AD119</f>
    </oc>
    <nc r="AG119"/>
  </rcc>
  <rcc rId="33847" sId="8">
    <oc r="AG120">
      <f>B120-H120-J120-L120-N120-P120-R120-T120-V120-X120-Z120-AB120-AD120</f>
    </oc>
    <nc r="AG120"/>
  </rcc>
  <rcc rId="33848" sId="8">
    <oc r="AG121">
      <f>B121-H121-J121-L121-N121-P121-R121-T121-V121-X121-Z121-AB121-AD121</f>
    </oc>
    <nc r="AG121"/>
  </rcc>
  <rcc rId="33849" sId="8">
    <oc r="AG122">
      <f>B122-H122-J122-L122-N122-P122-R122-T122-V122-X122-Z122-AB122-AD122</f>
    </oc>
    <nc r="AG122"/>
  </rcc>
  <rcc rId="33850" sId="8">
    <oc r="AG123">
      <f>B123-H123-J123-L123-N123-P123-R123-T123-V123-X123-Z123-AB123-AD123</f>
    </oc>
    <nc r="AG123"/>
  </rcc>
  <rcc rId="33851" sId="8">
    <oc r="AG124">
      <f>B124-H124-J124-L124-N124-P124-R124-T124-V124-X124-Z124-AB124-AD124</f>
    </oc>
    <nc r="AG124"/>
  </rcc>
  <rcc rId="33852" sId="8">
    <oc r="AG125">
      <f>B125-H125-J125-L125-N125-P125-R125-T125-V125-X125-Z125-AB125-AD125</f>
    </oc>
    <nc r="AG125"/>
  </rcc>
  <rcc rId="33853" sId="8">
    <oc r="AG126">
      <f>B126-H126-J126-L126-N126-P126-R126-T126-V126-X126-Z126-AB126-AD126</f>
    </oc>
    <nc r="AG126"/>
  </rcc>
  <rcc rId="33854" sId="8">
    <oc r="AG127">
      <f>B127-H127-J127-L127-N127-P127-R127-T127-V127-X127-Z127-AB127-AD127</f>
    </oc>
    <nc r="AG127"/>
  </rcc>
  <rcc rId="33855" sId="8">
    <oc r="AG128">
      <f>B128-H128-J128-L128-N128-P128-R128-T128-V128-X128-Z128-AB128-AD128</f>
    </oc>
    <nc r="AG128"/>
  </rcc>
  <rcc rId="33856" sId="8">
    <oc r="AG129">
      <f>B129-H129-J129-L129-N129-P129-R129-T129-V129-X129-Z129-AB129-AD129</f>
    </oc>
    <nc r="AG129"/>
  </rcc>
  <rcc rId="33857" sId="8">
    <oc r="AG130">
      <f>B130-H130-J130-L130-N130-P130-R130-T130-V130-X130-Z130-AB130-AD130</f>
    </oc>
    <nc r="AG130"/>
  </rcc>
  <rcc rId="33858" sId="8">
    <oc r="AG131">
      <f>B131-H131-J131-L131-N131-P131-R131-T131-V131-X131-Z131-AB131-AD131</f>
    </oc>
    <nc r="AG131"/>
  </rcc>
  <rcc rId="33859" sId="8">
    <oc r="AG132">
      <f>B132-H132-J132-L132-N132-P132-R132-T132-V132-X132-Z132-AB132-AD132</f>
    </oc>
    <nc r="AG132"/>
  </rcc>
  <rcc rId="33860" sId="8">
    <oc r="AG133">
      <f>B133-H133-J133-L133-N133-P133-R133-T133-V133-X133-Z133-AB133-AD133</f>
    </oc>
    <nc r="AG133"/>
  </rcc>
  <rcc rId="33861" sId="8">
    <oc r="AG134">
      <f>B134-H134-J134-L134-N134-P134-R134-T134-V134-X134-Z134-AB134-AD134</f>
    </oc>
    <nc r="AG134"/>
  </rcc>
  <rcc rId="33862" sId="8">
    <oc r="AG135">
      <f>B135-H135-J135-L135-N135-P135-R135-T135-V135-X135-Z135-AB135-AD135</f>
    </oc>
    <nc r="AG135"/>
  </rcc>
  <rcc rId="33863" sId="8">
    <oc r="AG136">
      <f>B136-H136-J136-L136-N136-P136-R136-T136-V136-X136-Z136-AB136-AD136</f>
    </oc>
    <nc r="AG136"/>
  </rcc>
  <rcc rId="33864" sId="8">
    <oc r="AG137">
      <f>B137-H137-J137-L137-N137-P137-R137-T137-V137-X137-Z137-AB137-AD137</f>
    </oc>
    <nc r="AG137"/>
  </rcc>
  <rcc rId="33865" sId="8">
    <oc r="AG138">
      <f>B138-H138-J138-L138-N138-P138-R138-T138-V138-X138-Z138-AB138-AD138</f>
    </oc>
    <nc r="AG138"/>
  </rcc>
  <rcc rId="33866" sId="8">
    <oc r="AG139">
      <f>B139-H139-J139-L139-N139-P139-R139-T139-V139-X139-Z139-AB139-AD139</f>
    </oc>
    <nc r="AG139"/>
  </rcc>
  <rcc rId="33867" sId="8">
    <oc r="AG140">
      <f>B140-H140-J140-L140-N140-P140-R140-T140-V140-X140-Z140-AB140-AD140</f>
    </oc>
    <nc r="AG140"/>
  </rcc>
  <rcc rId="33868" sId="8">
    <oc r="AG141">
      <f>B141-H141-J141-L141-N141-P141-R141-T141-V141-X141-Z141-AB141-AD141</f>
    </oc>
    <nc r="AG141"/>
  </rcc>
  <rcc rId="33869" sId="8">
    <oc r="AG142">
      <f>B142-H142-J142-L142-N142-P142-R142-T142-V142-X142-Z142-AB142-AD142</f>
    </oc>
    <nc r="AG142"/>
  </rcc>
  <rcc rId="33870" sId="8">
    <oc r="AG143">
      <f>B143-H143-J143-L143-N143-P143-R143-T143-V143-X143-Z143-AB143-AD143</f>
    </oc>
    <nc r="AG143"/>
  </rcc>
  <rcc rId="33871" sId="8">
    <oc r="AG144">
      <f>B144-H144-J144-L144-N144-P144-R144-T144-V144-X144-Z144-AB144-AD144</f>
    </oc>
    <nc r="AG144"/>
  </rcc>
  <rcc rId="33872" sId="8">
    <oc r="AG145">
      <f>B145-H145-J145-L145-N145-P145-R145-T145-V145-X145-Z145-AB145-AD145</f>
    </oc>
    <nc r="AG145"/>
  </rcc>
  <rcc rId="33873" sId="8">
    <oc r="AG146">
      <f>B146-H146-J146-L146-N146-P146-R146-T146-V146-X146-Z146-AB146-AD146</f>
    </oc>
    <nc r="AG146"/>
  </rcc>
  <rcc rId="33874" sId="8">
    <oc r="AG147">
      <f>B147-H147-J147-L147-N147-P147-R147-T147-V147-X147-Z147-AB147-AD147</f>
    </oc>
    <nc r="AG147"/>
  </rcc>
  <rcc rId="33875" sId="8">
    <oc r="AG148">
      <f>B148-H148-J148-L148-N148-P148-R148-T148-V148-X148-Z148-AB148-AD148</f>
    </oc>
    <nc r="AG148"/>
  </rcc>
  <rcc rId="33876" sId="8">
    <oc r="AG149">
      <f>B149-H149-J149-L149-N149-P149-R149-T149-V149-X149-Z149-AB149-AD149</f>
    </oc>
    <nc r="AG149"/>
  </rcc>
  <rcc rId="33877" sId="8">
    <oc r="AG150">
      <f>B150-H150-J150-L150-N150-P150-R150-T150-V150-X150-Z150-AB150-AD150</f>
    </oc>
    <nc r="AG150"/>
  </rcc>
  <rcc rId="33878" sId="8">
    <oc r="AG151">
      <f>B151-H151-J151-L151-N151-P151-R151-T151-V151-X151-Z151-AB151-AD151</f>
    </oc>
    <nc r="AG151"/>
  </rcc>
  <rcc rId="33879" sId="8">
    <oc r="AG152">
      <f>B152-H152-J152-L152-N152-P152-R152-T152-V152-X152-Z152-AB152-AD152</f>
    </oc>
    <nc r="AG152"/>
  </rcc>
  <rcc rId="33880" sId="8">
    <oc r="AG153">
      <f>B153-H153-J153-L153-N153-P153-R153-T153-V153-X153-Z153-AB153-AD153</f>
    </oc>
    <nc r="AG153"/>
  </rcc>
  <rcc rId="33881" sId="8">
    <oc r="AG154">
      <f>B154-H154-J154-L154-N154-P154-R154-T154-V154-X154-Z154-AB154-AD154</f>
    </oc>
    <nc r="AG154"/>
  </rcc>
  <rcc rId="33882" sId="8">
    <oc r="AG155">
      <f>B155-H155-J155-L155-N155-P155-R155-T155-V155-X155-Z155-AB155-AD155</f>
    </oc>
    <nc r="AG155"/>
  </rcc>
  <rcc rId="33883" sId="8">
    <oc r="AG156">
      <f>B156-H156-J156-L156-N156-P156-R156-T156-V156-X156-Z156-AB156-AD156</f>
    </oc>
    <nc r="AG156"/>
  </rcc>
  <rcc rId="33884" sId="8">
    <oc r="AG157">
      <f>B157-H157-J157-L157-N157-P157-R157-T157-V157-X157-Z157-AB157-AD157</f>
    </oc>
    <nc r="AG157"/>
  </rcc>
  <rcc rId="33885" sId="8">
    <oc r="AG158">
      <f>B158-H158-J158-L158-N158-P158-R158-T158-V158-X158-Z158-AB158-AD158</f>
    </oc>
    <nc r="AG158"/>
  </rcc>
  <rcc rId="33886" sId="8">
    <oc r="AG159">
      <f>B159-H159-J159-L159-N159-P159-R159-T159-V159-X159-Z159-AB159-AD159</f>
    </oc>
    <nc r="AG159"/>
  </rcc>
  <rcc rId="33887" sId="8">
    <oc r="AG160">
      <f>B160-H160-J160-L160-N160-P160-R160-T160-V160-X160-Z160-AB160-AD160</f>
    </oc>
    <nc r="AG160"/>
  </rcc>
  <rcc rId="33888" sId="8">
    <oc r="AG161">
      <f>B161-H161-J161-L161-N161-P161-R161-T161-V161-X161-Z161-AB161-AD161</f>
    </oc>
    <nc r="AG161"/>
  </rcc>
  <rcc rId="33889" sId="8">
    <oc r="AG162">
      <f>B162-H162-J162-L162-N162-P162-R162-T162-V162-X162-Z162-AB162-AD162</f>
    </oc>
    <nc r="AG162"/>
  </rcc>
  <rcc rId="33890" sId="8">
    <oc r="AG163">
      <f>B163-H163-J163-L163-N163-P163-R163-T163-V163-X163-Z163-AB163-AD163</f>
    </oc>
    <nc r="AG163"/>
  </rcc>
  <rcc rId="33891" sId="8">
    <oc r="AG164">
      <f>B164-H164-J164-L164-N164-P164-R164-T164-V164-X164-Z164-AB164-AD164</f>
    </oc>
    <nc r="AG164"/>
  </rcc>
  <rcc rId="33892" sId="8">
    <oc r="AG165">
      <f>B165-H165-J165-L165-N165-P165-R165-T165-V165-X165-Z165-AB165-AD165</f>
    </oc>
    <nc r="AG165"/>
  </rcc>
  <rcc rId="33893" sId="8">
    <oc r="AG166">
      <f>B166-H166-J166-L166-N166-P166-R166-T166-V166-X166-Z166-AB166-AD166</f>
    </oc>
    <nc r="AG166"/>
  </rcc>
  <rcc rId="33894" sId="8">
    <oc r="AG167">
      <f>B167-H167-J167-L167-N167-P167-R167-T167-V167-X167-Z167-AB167-AD167</f>
    </oc>
    <nc r="AG167"/>
  </rcc>
  <rcc rId="33895" sId="8">
    <oc r="AG168">
      <f>B168-H168-J168-L168-N168-P168-R168-T168-V168-X168-Z168-AB168-AD168</f>
    </oc>
    <nc r="AG168"/>
  </rcc>
  <rcc rId="33896" sId="8">
    <oc r="AG169">
      <f>B169-H169-J169-L169-N169-P169-R169-T169-V169-X169-Z169-AB169-AD169</f>
    </oc>
    <nc r="AG169"/>
  </rcc>
  <rcc rId="33897" sId="8">
    <oc r="AG170">
      <f>B170-H170-J170-L170-N170-P170-R170-T170-V170-X170-Z170-AB170-AD170</f>
    </oc>
    <nc r="AG170"/>
  </rcc>
  <rcc rId="33898" sId="8">
    <oc r="AG171">
      <f>B171-H171-J171-L171-N171-P171-R171-T171-V171-X171-Z171-AB171-AD171</f>
    </oc>
    <nc r="AG171"/>
  </rcc>
  <rcc rId="33899" sId="8">
    <oc r="AG172">
      <f>B172-H172-J172-L172-N172-P172-R172-T172-V172-X172-Z172-AB172-AD172</f>
    </oc>
    <nc r="AG172"/>
  </rcc>
  <rcc rId="33900" sId="8">
    <oc r="AG173">
      <f>B173-H173-J173-L173-N173-P173-R173-T173-V173-X173-Z173-AB173-AD173</f>
    </oc>
    <nc r="AG173"/>
  </rcc>
  <rcc rId="33901" sId="8">
    <oc r="AG174">
      <f>B174-H174-J174-L174-N174-P174-R174-T174-V174-X174-Z174-AB174-AD174</f>
    </oc>
    <nc r="AG174"/>
  </rcc>
  <rcc rId="33902" sId="8">
    <oc r="AG175">
      <f>B175-H175-J175-L175-N175-P175-R175-T175-V175-X175-Z175-AB175-AD175</f>
    </oc>
    <nc r="AG175"/>
  </rcc>
  <rcc rId="33903" sId="8">
    <oc r="AG176">
      <f>B176-H176-J176-L176-N176-P176-R176-T176-V176-X176-Z176-AB176-AD176</f>
    </oc>
    <nc r="AG176"/>
  </rcc>
  <rcc rId="33904" sId="8">
    <oc r="AG177">
      <f>B177-H177-J177-L177-N177-P177-R177-T177-V177-X177-Z177-AB177-AD177</f>
    </oc>
    <nc r="AG177"/>
  </rcc>
  <rcc rId="33905" sId="8">
    <oc r="AG178">
      <f>B178-H178-J178-L178-N178-P178-R178-T178-V178-X178-Z178-AB178-AD178</f>
    </oc>
    <nc r="AG178"/>
  </rcc>
  <rcc rId="33906" sId="8">
    <oc r="AG179">
      <f>B179-H179-J179-L179-N179-P179-R179-T179-V179-X179-Z179-AB179-AD179</f>
    </oc>
    <nc r="AG179"/>
  </rcc>
  <rcc rId="33907" sId="8">
    <oc r="AG180">
      <f>B180-H180-J180-L180-N180-P180-R180-T180-V180-X180-Z180-AB180-AD180</f>
    </oc>
    <nc r="AG180"/>
  </rcc>
  <rcc rId="33908" sId="8">
    <oc r="AG181">
      <f>B181-H181-J181-L181-N181-P181-R181-T181-V181-X181-Z181-AB181-AD181</f>
    </oc>
    <nc r="AG181"/>
  </rcc>
  <rcc rId="33909" sId="8">
    <oc r="AG182">
      <f>B182-H182-J182-L182-N182-P182-R182-T182-V182-X182-Z182-AB182-AD182</f>
    </oc>
    <nc r="AG182"/>
  </rcc>
  <rcc rId="33910" sId="8">
    <oc r="AG183">
      <f>B183-H183-J183-L183-N183-P183-R183-T183-V183-X183-Z183-AB183-AD183</f>
    </oc>
    <nc r="AG183"/>
  </rcc>
  <rcc rId="33911" sId="8">
    <oc r="AG184">
      <f>B184-H184-J184-L184-N184-P184-R184-T184-V184-X184-Z184-AB184-AD184</f>
    </oc>
    <nc r="AG184"/>
  </rcc>
  <rcc rId="33912" sId="8">
    <oc r="AG185">
      <f>B185-H185-J185-L185-N185-P185-R185-T185-V185-X185-Z185-AB185-AD185</f>
    </oc>
    <nc r="AG185"/>
  </rcc>
  <rcc rId="33913" sId="8">
    <oc r="AG186">
      <f>B186-H186-J186-L186-N186-P186-R186-T186-V186-X186-Z186-AB186-AD186</f>
    </oc>
    <nc r="AG186"/>
  </rcc>
  <rcc rId="33914" sId="8">
    <oc r="AG187">
      <f>B187-H187-J187-L187-N187-P187-R187-T187-V187-X187-Z187-AB187-AD187</f>
    </oc>
    <nc r="AG187"/>
  </rcc>
  <rcc rId="33915" sId="8">
    <oc r="AG188">
      <f>B188-H188-J188-L188-N188-P188-R188-T188-V188-X188-Z188-AB188-AD188</f>
    </oc>
    <nc r="AG188"/>
  </rcc>
  <rcc rId="33916" sId="8">
    <oc r="AG189">
      <f>B189-H189-J189-L189-N189-P189-R189-T189-V189-X189-Z189-AB189-AD189</f>
    </oc>
    <nc r="AG189"/>
  </rcc>
  <rcc rId="33917" sId="8">
    <oc r="AG190">
      <f>B190-H190-J190-L190-N190-P190-R190-T190-V190-X190-Z190-AB190-AD190</f>
    </oc>
    <nc r="AG190"/>
  </rcc>
  <rcc rId="33918" sId="8">
    <oc r="AG191">
      <f>B191-H191-J191-L191-N191-P191-R191-T191-V191-X191-Z191-AB191-AD191</f>
    </oc>
    <nc r="AG191"/>
  </rcc>
  <rcc rId="33919" sId="8">
    <oc r="AG192">
      <f>B192-H192-J192-L192-N192-P192-R192-T192-V192-X192-Z192-AB192-AD192</f>
    </oc>
    <nc r="AG192"/>
  </rcc>
  <rcc rId="33920" sId="8">
    <oc r="AG193">
      <f>B193-H193-J193-L193-N193-P193-R193-T193-V193-X193-Z193-AB193-AD193</f>
    </oc>
    <nc r="AG193"/>
  </rcc>
  <rcc rId="33921" sId="8">
    <oc r="AG194">
      <f>B194-H194-J194-L194-N194-P194-R194-T194-V194-X194-Z194-AB194-AD194</f>
    </oc>
    <nc r="AG194"/>
  </rcc>
  <rcc rId="33922" sId="8">
    <oc r="AG195">
      <f>B195-H195-J195-L195-N195-P195-R195-T195-V195-X195-Z195-AB195-AD195</f>
    </oc>
    <nc r="AG195"/>
  </rcc>
  <rcc rId="33923" sId="8">
    <oc r="AG196">
      <f>B196-H196-J196-L196-N196-P196-R196-T196-V196-X196-Z196-AB196-AD196</f>
    </oc>
    <nc r="AG196"/>
  </rcc>
  <rcc rId="33924" sId="8">
    <oc r="AG197">
      <f>B197-H197-J197-L197-N197-P197-R197-T197-V197-X197-Z197-AB197-AD197</f>
    </oc>
    <nc r="AG197"/>
  </rcc>
  <rcc rId="33925" sId="8">
    <oc r="AG198">
      <f>B198-H198-J198-L198-N198-P198-R198-T198-V198-X198-Z198-AB198-AD198</f>
    </oc>
    <nc r="AG198"/>
  </rcc>
  <rcc rId="33926" sId="8">
    <oc r="AG199">
      <f>B199-H199-J199-L199-N199-P199-R199-T199-V199-X199-Z199-AB199-AD199</f>
    </oc>
    <nc r="AG199"/>
  </rcc>
  <rcc rId="33927" sId="8">
    <oc r="AG200">
      <f>B200-H200-J200-L200-N200-P200-R200-T200-V200-X200-Z200-AB200-AD200</f>
    </oc>
    <nc r="AG200"/>
  </rcc>
  <rcc rId="33928" sId="8">
    <oc r="AG201">
      <f>B201-H201-J201-L201-N201-P201-R201-T201-V201-X201-Z201-AB201-AD201</f>
    </oc>
    <nc r="AG201"/>
  </rcc>
  <rcc rId="33929" sId="8">
    <oc r="AG202">
      <f>B202-H202-J202-L202-N202-P202-R202-T202-V202-X202-Z202-AB202-AD202</f>
    </oc>
    <nc r="AG202"/>
  </rcc>
  <rcc rId="33930" sId="8">
    <oc r="AG203">
      <f>B203-H203-J203-L203-N203-P203-R203-T203-V203-X203-Z203-AB203-AD203</f>
    </oc>
    <nc r="AG203"/>
  </rcc>
  <rcc rId="33931" sId="8">
    <oc r="AG204">
      <f>B204-H204-J204-L204-N204-P204-R204-T204-V204-X204-Z204-AB204-AD204</f>
    </oc>
    <nc r="AG204"/>
  </rcc>
  <rcc rId="33932" sId="8">
    <oc r="AG205">
      <f>B205-H205-J205-L205-N205-P205-R205-T205-V205-X205-Z205-AB205-AD205</f>
    </oc>
    <nc r="AG205"/>
  </rcc>
  <rcc rId="33933" sId="8">
    <oc r="AG206">
      <f>B206-H206-J206-L206-N206-P206-R206-T206-V206-X206-Z206-AB206-AD206</f>
    </oc>
    <nc r="AG206"/>
  </rcc>
  <rcc rId="33934" sId="8">
    <oc r="AG207">
      <f>B207-H207-J207-L207-N207-P207-R207-T207-V207-X207-Z207-AB207-AD207</f>
    </oc>
    <nc r="AG207"/>
  </rcc>
  <rcc rId="33935" sId="8">
    <oc r="AG208">
      <f>B208-H208-J208-L208-N208-P208-R208-T208-V208-X208-Z208-AB208-AD208</f>
    </oc>
    <nc r="AG208"/>
  </rcc>
  <rcc rId="33936" sId="8">
    <oc r="AG209">
      <f>B209-H209-J209-L209-N209-P209-R209-T209-V209-X209-Z209-AB209-AD209</f>
    </oc>
    <nc r="AG209"/>
  </rcc>
  <rcc rId="33937" sId="8">
    <oc r="AG210">
      <f>B210-H210-J210-L210-N210-P210-R210-T210-V210-X210-Z210-AB210-AD210</f>
    </oc>
    <nc r="AG210"/>
  </rcc>
  <rcc rId="33938" sId="8">
    <oc r="AG211">
      <f>B211-H211-J211-L211-N211-P211-R211-T211-V211-X211-Z211-AB211-AD211</f>
    </oc>
    <nc r="AG211"/>
  </rcc>
  <rcc rId="33939" sId="8">
    <oc r="AG212">
      <f>B212-H212-J212-L212-N212-P212-R212-T212-V212-X212-Z212-AB212-AD212</f>
    </oc>
    <nc r="AG212"/>
  </rcc>
  <rcc rId="33940" sId="8">
    <oc r="AG213">
      <f>B213-H213-J213-L213-N213-P213-R213-T213-V213-X213-Z213-AB213-AD213</f>
    </oc>
    <nc r="AG213"/>
  </rcc>
  <rcc rId="33941" sId="8">
    <oc r="AG214">
      <f>B214-H214-J214-L214-N214-P214-R214-T214-V214-X214-Z214-AB214-AD214</f>
    </oc>
    <nc r="AG214"/>
  </rcc>
  <rcc rId="33942" sId="8">
    <oc r="AG215">
      <f>B215-H215-J215-L215-N215-P215-R215-T215-V215-X215-Z215-AB215-AD215</f>
    </oc>
    <nc r="AG215"/>
  </rcc>
  <rcc rId="33943" sId="8">
    <oc r="AG216">
      <f>B216-H216-J216-L216-N216-P216-R216-T216-V216-X216-Z216-AB216-AD216</f>
    </oc>
    <nc r="AG216"/>
  </rcc>
  <rcc rId="33944" sId="8">
    <oc r="AG217">
      <f>B217-H217-J217-L217-N217-P217-R217-T217-V217-X217-Z217-AB217-AD217</f>
    </oc>
    <nc r="AG217"/>
  </rcc>
  <rcc rId="33945" sId="8">
    <oc r="AG218">
      <f>B218-H218-J218-L218-N218-P218-R218-T218-V218-X218-Z218-AB218-AD218</f>
    </oc>
    <nc r="AG218"/>
  </rcc>
  <rcc rId="33946" sId="8">
    <oc r="AG219">
      <f>B219-H219-J219-L219-N219-P219-R219-T219-V219-X219-Z219-AB219-AD219</f>
    </oc>
    <nc r="AG219"/>
  </rcc>
  <rcc rId="33947" sId="8">
    <oc r="AG220">
      <f>B220-H220-J220-L220-N220-P220-R220-T220-V220-X220-Z220-AB220-AD220</f>
    </oc>
    <nc r="AG220"/>
  </rcc>
  <rcc rId="33948" sId="8">
    <oc r="AG221">
      <f>B221-H221-J221-L221-N221-P221-R221-T221-V221-X221-Z221-AB221-AD221</f>
    </oc>
    <nc r="AG221"/>
  </rcc>
  <rcc rId="33949" sId="8">
    <oc r="AG222">
      <f>B222-H222-J222-L222-N222-P222-R222-T222-V222-X222-Z222-AB222-AD222</f>
    </oc>
    <nc r="AG222"/>
  </rcc>
  <rcc rId="33950" sId="8">
    <oc r="AG223">
      <f>B223-H223-J223-L223-N223-P223-R223-T223-V223-X223-Z223-AB223-AD223</f>
    </oc>
    <nc r="AG223"/>
  </rcc>
  <rcc rId="33951" sId="8">
    <oc r="AG224">
      <f>B224-H224-J224-L224-N224-P224-R224-T224-V224-X224-Z224-AB224-AD224</f>
    </oc>
    <nc r="AG224"/>
  </rcc>
  <rcc rId="33952" sId="8">
    <oc r="AG225">
      <f>B225-H225-J225-L225-N225-P225-R225-T225-V225-X225-Z225-AB225-AD225</f>
    </oc>
    <nc r="AG225"/>
  </rcc>
  <rcc rId="33953" sId="8">
    <oc r="AG226">
      <f>B226-H226-J226-L226-N226-P226-R226-T226-V226-X226-Z226-AB226-AD226</f>
    </oc>
    <nc r="AG226"/>
  </rcc>
  <rcc rId="33954" sId="8">
    <oc r="AG227">
      <f>B227-H227-J227-L227-N227-P227-R227-T227-V227-X227-Z227-AB227-AD227</f>
    </oc>
    <nc r="AG227"/>
  </rcc>
  <rcc rId="33955" sId="8">
    <oc r="AG228">
      <f>B228-H228-J228-L228-N228-P228-R228-T228-V228-X228-Z228-AB228-AD228</f>
    </oc>
    <nc r="AG228"/>
  </rcc>
  <rcc rId="33956" sId="8">
    <oc r="AG229">
      <f>B229-H229-J229-L229-N229-P229-R229-T229-V229-X229-Z229-AB229-AD229</f>
    </oc>
    <nc r="AG229"/>
  </rcc>
  <rcc rId="33957" sId="8">
    <oc r="AG230">
      <f>B230-H230-J230-L230-N230-P230-R230-T230-V230-X230-Z230-AB230-AD230</f>
    </oc>
    <nc r="AG230"/>
  </rcc>
  <rcc rId="33958" sId="8">
    <oc r="AG231">
      <f>B231-H231-J231-L231-N231-P231-R231-T231-V231-X231-Z231-AB231-AD231</f>
    </oc>
    <nc r="AG231"/>
  </rcc>
  <rcc rId="33959" sId="8">
    <oc r="AG232">
      <f>B232-H232-J232-L232-N232-P232-R232-T232-V232-X232-Z232-AB232-AD232</f>
    </oc>
    <nc r="AG232"/>
  </rcc>
  <rcc rId="33960" sId="8">
    <oc r="AG233">
      <f>B233-H233-J233-L233-N233-P233-R233-T233-V233-X233-Z233-AB233-AD233</f>
    </oc>
    <nc r="AG233"/>
  </rcc>
  <rcc rId="33961" sId="8">
    <oc r="AG234">
      <f>B234-H234-J234-L234-N234-P234-R234-T234-V234-X234-Z234-AB234-AD234</f>
    </oc>
    <nc r="AG234"/>
  </rcc>
  <rcc rId="33962" sId="8">
    <oc r="AG235">
      <f>B235-H235-J235-L235-N235-P235-R235-T235-V235-X235-Z235-AB235-AD235</f>
    </oc>
    <nc r="AG235"/>
  </rcc>
  <rcc rId="33963" sId="8">
    <oc r="AG236">
      <f>B236-H236-J236-L236-N236-P236-R236-T236-V236-X236-Z236-AB236-AD236</f>
    </oc>
    <nc r="AG236"/>
  </rcc>
  <rcc rId="33964" sId="8">
    <oc r="AG237">
      <f>B237-H237-J237-L237-N237-P237-R237-T237-V237-X237-Z237-AB237-AD237</f>
    </oc>
    <nc r="AG237"/>
  </rcc>
  <rcc rId="33965" sId="8">
    <oc r="AG238">
      <f>B238-H238-J238-L238-N238-P238-R238-T238-V238-X238-Z238-AB238-AD238</f>
    </oc>
    <nc r="AG238"/>
  </rcc>
  <rcc rId="33966" sId="8">
    <oc r="AG239">
      <f>B239-H239-J239-L239-N239-P239-R239-T239-V239-X239-Z239-AB239-AD239</f>
    </oc>
    <nc r="AG239"/>
  </rcc>
  <rcc rId="33967" sId="8">
    <oc r="AG240">
      <f>B240-H240-J240-L240-N240-P240-R240-T240-V240-X240-Z240-AB240-AD240</f>
    </oc>
    <nc r="AG240"/>
  </rcc>
  <rcc rId="33968" sId="8">
    <oc r="AG241">
      <f>B241-H241-J241-L241-N241-P241-R241-T241-V241-X241-Z241-AB241-AD241</f>
    </oc>
    <nc r="AG241"/>
  </rcc>
  <rcc rId="33969" sId="8">
    <oc r="AG242">
      <f>B242-H242-J242-L242-N242-P242-R242-T242-V242-X242-Z242-AB242-AD242</f>
    </oc>
    <nc r="AG242"/>
  </rcc>
  <rcc rId="33970" sId="8">
    <oc r="AG243">
      <f>B243-H243-J243-L243-N243-P243-R243-T243-V243-X243-Z243-AB243-AD243</f>
    </oc>
    <nc r="AG243"/>
  </rcc>
  <rcc rId="33971" sId="8">
    <oc r="AG244">
      <f>B244-H244-J244-L244-N244-P244-R244-T244-V244-X244-Z244-AB244-AD244</f>
    </oc>
    <nc r="AG244"/>
  </rcc>
  <rcc rId="33972" sId="8">
    <oc r="AG245">
      <f>B245-H245-J245-L245-N245-P245-R245-T245-V245-X245-Z245-AB245-AD245</f>
    </oc>
    <nc r="AG245"/>
  </rcc>
  <rcc rId="33973" sId="8">
    <oc r="AG246">
      <f>B246-H246-J246-L246-N246-P246-R246-T246-V246-X246-Z246-AB246-AD246</f>
    </oc>
    <nc r="AG246"/>
  </rcc>
  <rcc rId="33974" sId="8">
    <oc r="AG247">
      <f>B247-H247-J247-L247-N247-P247-R247-T247-V247-X247-Z247-AB247-AD247</f>
    </oc>
    <nc r="AG247"/>
  </rcc>
  <rcc rId="33975" sId="8">
    <oc r="AG248">
      <f>B248-H248-J248-L248-N248-P248-R248-T248-V248-X248-Z248-AB248-AD248</f>
    </oc>
    <nc r="AG248"/>
  </rcc>
  <rcc rId="33976" sId="8">
    <oc r="AG249">
      <f>B249-H249-J249-L249-N249-P249-R249-T249-V249-X249-Z249-AB249-AD249</f>
    </oc>
    <nc r="AG249"/>
  </rcc>
  <rcc rId="33977" sId="8">
    <oc r="AG250">
      <f>B250-H250-J250-L250-N250-P250-R250-T250-V250-X250-Z250-AB250-AD250</f>
    </oc>
    <nc r="AG250"/>
  </rcc>
  <rcc rId="33978" sId="8">
    <oc r="AG251">
      <f>B251-H251-J251-L251-N251-P251-R251-T251-V251-X251-Z251-AB251-AD251</f>
    </oc>
    <nc r="AG251"/>
  </rcc>
  <rcc rId="33979" sId="8">
    <oc r="AG252">
      <f>B252-H252-J252-L252-N252-P252-R252-T252-V252-X252-Z252-AB252-AD252</f>
    </oc>
    <nc r="AG252"/>
  </rcc>
  <rcc rId="33980" sId="8">
    <oc r="AG253">
      <f>B253-H253-J253-L253-N253-P253-R253-T253-V253-X253-Z253-AB253-AD253</f>
    </oc>
    <nc r="AG253"/>
  </rcc>
  <rcc rId="33981" sId="8">
    <oc r="AG254">
      <f>B254-H254-J254-L254-N254-P254-R254-T254-V254-X254-Z254-AB254-AD254</f>
    </oc>
    <nc r="AG254"/>
  </rcc>
  <rcc rId="33982" sId="8">
    <oc r="AG255">
      <f>B255-H255-J255-L255-N255-P255-R255-T255-V255-X255-Z255-AB255-AD255</f>
    </oc>
    <nc r="AG255"/>
  </rcc>
  <rcc rId="33983" sId="8">
    <oc r="AG256">
      <f>B256-H256-J256-L256-N256-P256-R256-T256-V256-X256-Z256-AB256-AD256</f>
    </oc>
    <nc r="AG256"/>
  </rcc>
  <rcc rId="33984" sId="8">
    <oc r="AG257">
      <f>B257-H257-J257-L257-N257-P257-R257-T257-V257-X257-Z257-AB257-AD257</f>
    </oc>
    <nc r="AG257"/>
  </rcc>
  <rcc rId="33985" sId="8">
    <oc r="AG258">
      <f>B258-H258-J258-L258-N258-P258-R258-T258-V258-X258-Z258-AB258-AD258</f>
    </oc>
    <nc r="AG258"/>
  </rcc>
  <rcc rId="33986" sId="8">
    <oc r="AG259">
      <f>B259-H259-J259-L259-N259-P259-R259-T259-V259-X259-Z259-AB259-AD259</f>
    </oc>
    <nc r="AG259"/>
  </rcc>
  <rcc rId="33987" sId="8">
    <oc r="AG260">
      <f>B260-H260-J260-L260-N260-P260-R260-T260-V260-X260-Z260-AB260-AD260</f>
    </oc>
    <nc r="AG260"/>
  </rcc>
  <rcc rId="33988" sId="8">
    <oc r="AG261">
      <f>B261-H261-J261-L261-N261-P261-R261-T261-V261-X261-Z261-AB261-AD261</f>
    </oc>
    <nc r="AG261"/>
  </rcc>
  <rcc rId="33989" sId="8">
    <oc r="AG262">
      <f>B262-H262-J262-L262-N262-P262-R262-T262-V262-X262-Z262-AB262-AD262</f>
    </oc>
    <nc r="AG262"/>
  </rcc>
  <rcc rId="33990" sId="8">
    <oc r="AG263">
      <f>B263-H263-J263-L263-N263-P263-R263-T263-V263-X263-Z263-AB263-AD263</f>
    </oc>
    <nc r="AG263"/>
  </rcc>
  <rcc rId="33991" sId="8">
    <oc r="AG264">
      <f>B264-H264-J264-L264-N264-P264-R264-T264-V264-X264-Z264-AB264-AD264</f>
    </oc>
    <nc r="AG264"/>
  </rcc>
  <rcc rId="33992" sId="8">
    <oc r="AG265">
      <f>B265-H265-J265-L265-N265-P265-R265-T265-V265-X265-Z265-AB265-AD265</f>
    </oc>
    <nc r="AG265"/>
  </rcc>
  <rcc rId="33993" sId="8">
    <oc r="AG266">
      <f>B266-H266-J266-L266-N266-P266-R266-T266-V266-X266-Z266-AB266-AD266</f>
    </oc>
    <nc r="AG266"/>
  </rcc>
  <rcc rId="33994" sId="8">
    <oc r="AG267">
      <f>B267-H267-J267-L267-N267-P267-R267-T267-V267-X267-Z267-AB267-AD267</f>
    </oc>
    <nc r="AG267"/>
  </rcc>
  <rcc rId="33995" sId="8">
    <oc r="AG268">
      <f>B268-H268-J268-L268-N268-P268-R268-T268-V268-X268-Z268-AB268-AD268</f>
    </oc>
    <nc r="AG268"/>
  </rcc>
  <rcc rId="33996" sId="8">
    <oc r="AG269">
      <f>B269-H269-J269-L269-N269-P269-R269-T269-V269-X269-Z269-AB269-AD269</f>
    </oc>
    <nc r="AG269"/>
  </rcc>
  <rcc rId="33997" sId="8">
    <oc r="AG270">
      <f>B270-H270-J270-L270-N270-P270-R270-T270-V270-X270-Z270-AB270-AD270</f>
    </oc>
    <nc r="AG270"/>
  </rcc>
  <rcc rId="33998" sId="8">
    <oc r="AG271">
      <f>B271-H271-J271-L271-N271-P271-R271-T271-V271-X271-Z271-AB271-AD271</f>
    </oc>
    <nc r="AG271"/>
  </rcc>
  <rcc rId="33999" sId="8">
    <oc r="AG272">
      <f>B272-H272-J272-L272-N272-P272-R272-T272-V272-X272-Z272-AB272-AD272</f>
    </oc>
    <nc r="AG272"/>
  </rcc>
  <rcc rId="34000" sId="8">
    <oc r="AG273">
      <f>B273-H273-J273-L273-N273-P273-R273-T273-V273-X273-Z273-AB273-AD273</f>
    </oc>
    <nc r="AG273"/>
  </rcc>
  <rcc rId="34001" sId="8">
    <oc r="AG274">
      <f>B274-H274-J274-L274-N274-P274-R274-T274-V274-X274-Z274-AB274-AD274</f>
    </oc>
    <nc r="AG274"/>
  </rcc>
  <rcc rId="34002" sId="8">
    <oc r="AG275">
      <f>B275-H275-J275-L275-N275-P275-R275-T275-V275-X275-Z275-AB275-AD275</f>
    </oc>
    <nc r="AG275"/>
  </rcc>
  <rcc rId="34003" sId="8">
    <oc r="AG276">
      <f>B276-H276-J276-L276-N276-P276-R276-T276-V276-X276-Z276-AB276-AD276</f>
    </oc>
    <nc r="AG276"/>
  </rcc>
  <rcc rId="34004" sId="8">
    <oc r="AG277">
      <f>B277-H277-J277-L277-N277-P277-R277-T277-V277-X277-Z277-AB277-AD277</f>
    </oc>
    <nc r="AG277"/>
  </rcc>
  <rcc rId="34005" sId="8">
    <oc r="AG278">
      <f>B278-H278-J278-L278-N278-P278-R278-T278-V278-X278-Z278-AB278-AD278</f>
    </oc>
    <nc r="AG278"/>
  </rcc>
  <rcc rId="34006" sId="8">
    <oc r="AG279">
      <f>B279-H279-J279-L279-N279-P279-R279-T279-V279-X279-Z279-AB279-AD279</f>
    </oc>
    <nc r="AG279"/>
  </rcc>
  <rcc rId="34007" sId="8">
    <oc r="AG280">
      <f>B280-H280-J280-L280-N280-P280-R280-T280-V280-X280-Z280-AB280-AD280</f>
    </oc>
    <nc r="AG280"/>
  </rcc>
  <rcc rId="34008" sId="8">
    <oc r="AG281">
      <f>B281-H281-J281-L281-N281-P281-R281-T281-V281-X281-Z281-AB281-AD281</f>
    </oc>
    <nc r="AG281"/>
  </rcc>
  <rcc rId="34009" sId="8">
    <oc r="AG282">
      <f>B282-H282-J282-L282-N282-P282-R282-T282-V282-X282-Z282-AB282-AD282</f>
    </oc>
    <nc r="AG282"/>
  </rcc>
  <rcc rId="34010" sId="8">
    <oc r="AG283">
      <f>B283-H283-J283-L283-N283-P283-R283-T283-V283-X283-Z283-AB283-AD283</f>
    </oc>
    <nc r="AG283"/>
  </rcc>
  <rcc rId="34011" sId="8">
    <oc r="AG284">
      <f>B284-H284-J284-L284-N284-P284-R284-T284-V284-X284-Z284-AB284-AD284</f>
    </oc>
    <nc r="AG284"/>
  </rcc>
  <rcc rId="34012" sId="8">
    <oc r="AG285">
      <f>B285-H285-J285-L285-N285-P285-R285-T285-V285-X285-Z285-AB285-AD285</f>
    </oc>
    <nc r="AG285"/>
  </rcc>
  <rcc rId="34013" sId="8">
    <oc r="AG286">
      <f>B286-H286-J286-L286-N286-P286-R286-T286-V286-X286-Z286-AB286-AD286</f>
    </oc>
    <nc r="AG286"/>
  </rcc>
  <rcc rId="34014" sId="8">
    <oc r="AG287">
      <f>B287-H287-J287-L287-N287-P287-R287-T287-V287-X287-Z287-AB287-AD287</f>
    </oc>
    <nc r="AG287"/>
  </rcc>
  <rcc rId="34015" sId="8">
    <oc r="AG288">
      <f>B288-H288-J288-L288-N288-P288-R288-T288-V288-X288-Z288-AB288-AD288</f>
    </oc>
    <nc r="AG288"/>
  </rcc>
  <rcc rId="34016" sId="8">
    <oc r="AG289">
      <f>B289-H289-J289-L289-N289-P289-R289-T289-V289-X289-Z289-AB289-AD289</f>
    </oc>
    <nc r="AG289"/>
  </rcc>
  <rcc rId="34017" sId="8">
    <oc r="AG290">
      <f>B290-H290-J290-L290-N290-P290-R290-T290-V290-X290-Z290-AB290-AD290</f>
    </oc>
    <nc r="AG290"/>
  </rcc>
  <rcc rId="34018" sId="8">
    <oc r="AG291">
      <f>B291-H291-J291-L291-N291-P291-R291-T291-V291-X291-Z291-AB291-AD291</f>
    </oc>
    <nc r="AG291"/>
  </rcc>
  <rcc rId="34019" sId="8">
    <oc r="AG292">
      <f>B292-H292-J292-L292-N292-P292-R292-T292-V292-X292-Z292-AB292-AD292</f>
    </oc>
    <nc r="AG292"/>
  </rcc>
  <rcc rId="34020" sId="8">
    <oc r="AG293">
      <f>B293-H293-J293-L293-N293-P293-R293-T293-V293-X293-Z293-AB293-AD293</f>
    </oc>
    <nc r="AG293"/>
  </rcc>
  <rcc rId="34021" sId="8">
    <oc r="AG294">
      <f>B294-H294-J294-L294-N294-P294-R294-T294-V294-X294-Z294-AB294-AD294</f>
    </oc>
    <nc r="AG294"/>
  </rcc>
  <rcc rId="34022" sId="8">
    <oc r="AG295">
      <f>B295-H295-J295-L295-N295-P295-R295-T295-V295-X295-Z295-AB295-AD295</f>
    </oc>
    <nc r="AG295"/>
  </rcc>
  <rcc rId="34023" sId="8">
    <oc r="AG296">
      <f>B296-H296-J296-L296-N296-P296-R296-T296-V296-X296-Z296-AB296-AD296</f>
    </oc>
    <nc r="AG296"/>
  </rcc>
  <rcc rId="34024" sId="8">
    <oc r="AG297">
      <f>B297-H297-J297-L297-N297-P297-R297-T297-V297-X297-Z297-AB297-AD297</f>
    </oc>
    <nc r="AG297"/>
  </rcc>
  <rcc rId="34025" sId="8">
    <oc r="AG298">
      <f>B298-H298-J298-L298-N298-P298-R298-T298-V298-X298-Z298-AB298-AD298</f>
    </oc>
    <nc r="AG298"/>
  </rcc>
  <rcc rId="34026" sId="8">
    <oc r="AG299">
      <f>B299-H299-J299-L299-N299-P299-R299-T299-V299-X299-Z299-AB299-AD299</f>
    </oc>
    <nc r="AG299"/>
  </rcc>
  <rcc rId="34027" sId="8">
    <oc r="AG301">
      <f>B301-H301-J301-L301-N301-P301-R301-T301-V301-X301-Z301-AB301-AD301</f>
    </oc>
    <nc r="AG301"/>
  </rcc>
  <rcc rId="34028" sId="8">
    <oc r="AG302">
      <f>B302-H302-J302-L302-N302-P302-R302-T302-V302-X302-Z302-AB302-AD302</f>
    </oc>
    <nc r="AG302"/>
  </rcc>
  <rcc rId="34029" sId="8">
    <oc r="AG303">
      <f>B303-H303-J303-L303-N303-P303-R303-T303-V303-X303-Z303-AB303-AD303</f>
    </oc>
    <nc r="AG303"/>
  </rcc>
  <rcc rId="34030" sId="8">
    <oc r="AG304">
      <f>B304-H304-J304-L304-N304-P304-R304-T304-V304-X304-Z304-AB304-AD304</f>
    </oc>
    <nc r="AG304"/>
  </rcc>
  <rcc rId="34031" sId="8">
    <oc r="AG305">
      <f>B305-H305-J305-L305-N305-P305-R305-T305-V305-X305-Z305-AB305-AD305</f>
    </oc>
    <nc r="AG305"/>
  </rcc>
  <rcc rId="34032" sId="8">
    <oc r="AG306">
      <f>B306-H306-J306-L306-N306-P306-R306-T306-V306-X306-Z306-AB306-AD306</f>
    </oc>
    <nc r="AG306"/>
  </rcc>
  <rcc rId="34033" sId="8">
    <oc r="AG307">
      <f>B307-H307-J307-L307-N307-P307-R307-T307-V307-X307-Z307-AB307-AD307</f>
    </oc>
    <nc r="AG307"/>
  </rcc>
  <rcc rId="34034" sId="8">
    <oc r="AG308">
      <f>B308-H308-J308-L308-N308-P308-R308-T308-V308-X308-Z308-AB308-AD308</f>
    </oc>
    <nc r="AG308"/>
  </rcc>
  <rcc rId="34035" sId="8">
    <oc r="AG309">
      <f>B309-H309-J309-L309-N309-P309-R309-T309-V309-X309-Z309-AB309-AD309</f>
    </oc>
    <nc r="AG309"/>
  </rcc>
  <rcc rId="34036" sId="8">
    <oc r="AG310">
      <f>B310-H310-J310-L310-N310-P310-R310-T310-V310-X310-Z310-AB310-AD310</f>
    </oc>
    <nc r="AG310"/>
  </rcc>
  <rcc rId="34037" sId="8">
    <oc r="AG311">
      <f>B311-H311-J311-L311-N311-P311-R311-T311-V311-X311-Z311-AB311-AD311</f>
    </oc>
    <nc r="AG311"/>
  </rcc>
  <rfmt sheetId="8" sqref="F73:H75">
    <dxf>
      <fill>
        <patternFill patternType="none">
          <bgColor auto="1"/>
        </patternFill>
      </fill>
    </dxf>
  </rfmt>
  <rfmt sheetId="8" sqref="F76:G77">
    <dxf>
      <fill>
        <patternFill>
          <bgColor theme="8" tint="0.79998168889431442"/>
        </patternFill>
      </fill>
    </dxf>
  </rfmt>
  <rcc rId="34038" sId="8">
    <oc r="F76">
      <f>IFERROR(E76/B76*100,0)</f>
    </oc>
    <nc r="F76">
      <f>IFERROR(E76/B76*100,0)</f>
    </nc>
  </rcc>
  <rfmt sheetId="8" sqref="F76:G76">
    <dxf>
      <fill>
        <patternFill>
          <bgColor theme="3" tint="0.79998168889431442"/>
        </patternFill>
      </fill>
    </dxf>
  </rfmt>
  <rfmt sheetId="8" sqref="F77:G77">
    <dxf>
      <fill>
        <patternFill>
          <bgColor theme="7" tint="0.79998168889431442"/>
        </patternFill>
      </fill>
    </dxf>
  </rfmt>
  <rfmt sheetId="8" sqref="W124:AE125">
    <dxf>
      <fill>
        <patternFill patternType="none">
          <bgColor auto="1"/>
        </patternFill>
      </fill>
    </dxf>
  </rfmt>
  <rfmt sheetId="8" sqref="B296:AD299">
    <dxf>
      <fill>
        <patternFill>
          <bgColor theme="9" tint="0.79998168889431442"/>
        </patternFill>
      </fill>
    </dxf>
  </rfmt>
  <rfmt sheetId="8" sqref="AE297:AE298">
    <dxf>
      <fill>
        <patternFill>
          <bgColor theme="9" tint="0.79998168889431442"/>
        </patternFill>
      </fill>
    </dxf>
  </rfmt>
  <rfmt sheetId="8" sqref="G291:AE292">
    <dxf>
      <fill>
        <patternFill>
          <bgColor theme="9" tint="0.79998168889431442"/>
        </patternFill>
      </fill>
    </dxf>
  </rfmt>
  <rfmt sheetId="8" sqref="B303:AE306">
    <dxf>
      <fill>
        <patternFill>
          <bgColor theme="9" tint="0.79998168889431442"/>
        </patternFill>
      </fill>
    </dxf>
  </rfmt>
  <rcmt sheetId="8" cell="A36" guid="{00000000-0000-0000-0000-000000000000}" action="delete" author="Степаненко Наталья Алексеевна"/>
  <rcc rId="34039" sId="8" numFmtId="4">
    <nc r="J175">
      <v>0</v>
    </nc>
  </rcc>
  <rcc rId="34040" sId="8" numFmtId="4">
    <nc r="K175">
      <v>0</v>
    </nc>
  </rcc>
  <rcc rId="34041" sId="8" numFmtId="4">
    <oc r="P267">
      <v>4742.9089999999997</v>
    </oc>
    <nc r="P267">
      <v>4804.1009999999997</v>
    </nc>
  </rcc>
  <rfmt sheetId="8" sqref="A242:AE243">
    <dxf>
      <fill>
        <patternFill patternType="none">
          <bgColor auto="1"/>
        </patternFill>
      </fill>
    </dxf>
  </rfmt>
  <rcc rId="34042" sId="8" numFmtId="4">
    <oc r="M267">
      <v>2574.5309999999999</v>
    </oc>
    <nc r="M267">
      <v>3260.3560000000002</v>
    </nc>
  </rcc>
  <rcc rId="34043" sId="8" numFmtId="4">
    <oc r="O267">
      <v>2956.0169999999998</v>
    </oc>
    <nc r="O267">
      <v>3724.99</v>
    </nc>
  </rcc>
  <rcc rId="34044" sId="8" numFmtId="4">
    <oc r="Q267">
      <v>3524.0940000000001</v>
    </oc>
    <nc r="Q267">
      <v>5035.326</v>
    </nc>
  </rcc>
  <rcc rId="34045" sId="8">
    <oc r="AF263" t="inlineStr">
      <is>
        <r>
          <t xml:space="preserve">Кассовый расход сформировался меньше планового в связи с: образованием листов временной нетрудоспособности, вакантных ставок (плотник, уборщик служебных помещений, уборщик территорий).
</t>
        </r>
        <r>
          <rPr>
            <b/>
            <sz val="14"/>
            <rFont val="Times New Roman"/>
            <family val="1"/>
            <charset val="204"/>
          </rPr>
          <t xml:space="preserve">ОТКЛОНЕНИЕ 2 777,7 ТЫС. РУБЛЕЙ 
</t>
        </r>
        <r>
          <rPr>
            <b/>
            <sz val="14"/>
            <color rgb="FFFF0000"/>
            <rFont val="Times New Roman"/>
            <family val="1"/>
            <charset val="204"/>
          </rPr>
          <t xml:space="preserve">ОТКЛОНЕНИЕ 5 743,70, НУЖНО УТОЧНИТЬ ПОЯСНЕНИЕ  </t>
        </r>
      </is>
    </oc>
    <nc r="AF263" t="inlineStr">
      <is>
        <r>
          <t xml:space="preserve">Кассовый расход сформировался меньше планового в связи с: образованием листов временной нетрудоспособности, вакантных ставок (плотник, уборщик служебных помещений, уборщик территорий).
</t>
        </r>
        <r>
          <rPr>
            <b/>
            <sz val="14"/>
            <rFont val="Times New Roman"/>
            <family val="1"/>
            <charset val="204"/>
          </rPr>
          <t/>
        </r>
      </is>
    </nc>
  </rcc>
  <rcc rId="34046" sId="8" numFmtId="4">
    <oc r="H61">
      <v>2194.3220000000001</v>
    </oc>
    <nc r="H61">
      <v>2224.6999999999998</v>
    </nc>
  </rcc>
  <rcc rId="34047" sId="8" numFmtId="4">
    <oc r="J61">
      <v>6210.68</v>
    </oc>
    <nc r="J61">
      <v>6227.22</v>
    </nc>
  </rcc>
  <rcc rId="34048" sId="8" numFmtId="4">
    <oc r="N61">
      <v>6061.8</v>
    </oc>
    <nc r="N61">
      <v>6064.2</v>
    </nc>
  </rcc>
  <rcc rId="34049" sId="8" numFmtId="4">
    <oc r="P61">
      <f>6884+476.8</f>
    </oc>
    <nc r="P61">
      <v>7706.1</v>
    </nc>
  </rcc>
  <rcc rId="34050" sId="8" numFmtId="4">
    <oc r="R61">
      <v>6565</v>
    </oc>
    <nc r="R61">
      <v>6589.5</v>
    </nc>
  </rcc>
  <rcc rId="34051" sId="8" numFmtId="4">
    <oc r="T61">
      <v>7873</v>
    </oc>
    <nc r="T61">
      <v>7939.51</v>
    </nc>
  </rcc>
  <rcc rId="34052" sId="8" numFmtId="4">
    <oc r="V61">
      <v>4937</v>
    </oc>
    <nc r="V61">
      <v>4973.7700000000004</v>
    </nc>
  </rcc>
  <rcc rId="34053" sId="8" numFmtId="4">
    <oc r="X61">
      <v>5331.5</v>
    </oc>
    <nc r="X61">
      <v>5357.23</v>
    </nc>
  </rcc>
  <rcc rId="34054" sId="8" numFmtId="4">
    <oc r="AB61">
      <v>4436.2489999999998</v>
    </oc>
    <nc r="AB61">
      <v>4277.4399999999996</v>
    </nc>
  </rcc>
  <rcc rId="34055" sId="8">
    <oc r="AF57" t="inlineStr">
      <is>
        <r>
          <rPr>
            <b/>
            <sz val="14"/>
            <color rgb="FFFF0000"/>
            <rFont val="Times New Roman"/>
            <family val="1"/>
            <charset val="204"/>
          </rPr>
          <t>ОТКЛОНЕНИЕ ВСЕГО 237,31 ТЫС. РУБ., ПРОПИСАНО БОЛЬШЕ ПО СУММАМ</t>
        </r>
        <r>
          <rPr>
            <sz val="14"/>
            <color rgb="FFFF0000"/>
            <rFont val="Times New Roman"/>
            <family val="1"/>
            <charset val="204"/>
          </rPr>
          <t xml:space="preserve">
Отклонение возникло:
-по оплате труда и начисления - 205,88т.р (наличие больничных листов);
- услуги связи -15,45т.р. (в учреждении действует режим экономиии на телефонную связь)                                                                                                                                                                                                                                                                                                                                                                                                                                                                                                                                                                                                                                                                                                                                                                                                                                                                           
-по коммунальным услугам -255,91.р.(фактические показания счетчиков);
-по работам и услугам по содержанию имущества-14,01т.р. (остаток средств по дог.содержание,тек. ремонт жил. фонда);
-увеличение стоимости основных средств -125,37т.р. (экономия по запросу котировок, остаток будет использован на приобретение компьютеров в 2025 году).</t>
        </r>
      </is>
    </oc>
    <nc r="AF57" t="inlineStr">
      <is>
        <t>Отклонение возникло:
-по оплате труда и начисления - 205,88т.р (наличие больничных листов);
- услуги связи -15,45т.р. (в учреждении действует режим экономиии на телефонную связь)                                                                                                                                                                                                                                                                                                                                                                                                                                                                                                                                                                                                                                                                                                                                                                                                                                                                           
-по коммунальным услугам -255,91.р.(фактические показания счетчиков);
-по работам и услугам по содержанию имущества-14,01т.р. (остаток средств по дог.содержание,тек. ремонт жил. фонда);
-увеличение стоимости основных средств -125,37т.р. (экономия по запросу котировок, остаток будет использован на приобретение компьютеров в 2025 году).</t>
      </is>
    </nc>
  </rcc>
  <rfmt sheetId="8" sqref="AF57" start="0" length="2147483647">
    <dxf>
      <font>
        <color auto="1"/>
      </font>
    </dxf>
  </rfmt>
  <rfmt sheetId="8" sqref="B291:E293">
    <dxf>
      <fill>
        <patternFill>
          <bgColor theme="9" tint="0.79998168889431442"/>
        </patternFill>
      </fill>
    </dxf>
  </rfmt>
  <rfmt sheetId="8" sqref="B294:E294">
    <dxf>
      <fill>
        <patternFill>
          <bgColor theme="4" tint="0.59999389629810485"/>
        </patternFill>
      </fill>
    </dxf>
  </rfmt>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AH1:AK1048576">
    <dxf>
      <fill>
        <patternFill patternType="none">
          <bgColor auto="1"/>
        </patternFill>
      </fill>
    </dxf>
  </rfmt>
  <rfmt sheetId="8" sqref="A300:AE300">
    <dxf>
      <fill>
        <patternFill>
          <bgColor theme="4" tint="0.59999389629810485"/>
        </patternFill>
      </fill>
    </dxf>
  </rfmt>
  <rcmt sheetId="8" cell="C243" guid="{00000000-0000-0000-0000-000000000000}" action="delete" author="Степаненко Наталья Алексеевна"/>
  <rcmt sheetId="8" cell="D243" guid="{00000000-0000-0000-0000-000000000000}" action="delete" author="Степаненко Наталья Алексеевна"/>
  <rcmt sheetId="8" cell="E243" guid="{00000000-0000-0000-0000-000000000000}" action="delete" author="Степаненко Наталья Алексеевна"/>
  <rcmt sheetId="8" cell="E292" guid="{00000000-0000-0000-0000-000000000000}" action="delete" author="Степаненко Наталья Алексеевна"/>
  <rcv guid="{7C130984-112A-4861-AA43-E2940708E3DC}" action="delete"/>
  <rdn rId="0" localSheetId="2" customView="1" name="Z_7C130984_112A_4861_AA43_E2940708E3DC_.wvu.Rows" hidden="1" oldHidden="1">
    <formula>'1.СЗН'!$70:$74</formula>
    <oldFormula>'1.СЗН'!$70:$74</oldFormula>
  </rdn>
  <rdn rId="0" localSheetId="2" customView="1" name="Z_7C130984_112A_4861_AA43_E2940708E3DC_.wvu.FilterData" hidden="1" oldHidden="1">
    <formula>'1.СЗН'!$A$1:$AF$64</formula>
    <oldFormula>'1.СЗН'!$A$1:$AF$64</oldFormula>
  </rdn>
  <rdn rId="0" localSheetId="3" customView="1" name="Z_7C130984_112A_4861_AA43_E2940708E3DC_.wvu.FilterData" hidden="1" oldHidden="1">
    <formula>'2.АПК'!$A$1:$AF$36</formula>
    <oldFormula>'2.АПК'!$A$1:$AF$36</oldFormula>
  </rdn>
  <rdn rId="0" localSheetId="4" customView="1" name="Z_7C130984_112A_4861_AA43_E2940708E3DC_.wvu.FilterData" hidden="1" oldHidden="1">
    <formula>'3.БЖД'!$A$1:$AF$17</formula>
    <oldFormula>'3.БЖД'!$A$1:$AF$17</oldFormula>
  </rdn>
  <rdn rId="0" localSheetId="5" customView="1" name="Z_7C130984_112A_4861_AA43_E2940708E3DC_.wvu.FilterData" hidden="1" oldHidden="1">
    <formula>'4.УМИ'!$A$1:$AF$11</formula>
    <oldFormula>'4.УМИ'!$A$1:$AF$11</oldFormula>
  </rdn>
  <rdn rId="0" localSheetId="6" customView="1" name="Z_7C130984_112A_4861_AA43_E2940708E3DC_.wvu.FilterData" hidden="1" oldHidden="1">
    <formula>'5.Проф. прав.'!$A$1:$AF$12</formula>
    <oldFormula>'5.Проф. прав.'!$A$1:$AF$12</oldFormula>
  </rdn>
  <rdn rId="0" localSheetId="7" customView="1" name="Z_7C130984_112A_4861_AA43_E2940708E3DC_.wvu.Rows" hidden="1" oldHidden="1">
    <formula>'6.Экстримизм'!$9:$23,'6.Экстримизм'!$30:$38,'6.Экстримизм'!$44:$49,'6.Экстримизм'!$65:$67,'6.Экстримизм'!$71:$76,'6.Экстримизм'!$86:$88,'6.Экстримизм'!$95:$97</formula>
    <oldFormula>'6.Экстримизм'!$9:$23,'6.Экстримизм'!$30:$38,'6.Экстримизм'!$44:$49,'6.Экстримизм'!$65:$67,'6.Экстримизм'!$71:$76,'6.Экстримизм'!$86:$88,'6.Экстримизм'!$95:$97</oldFormula>
  </rdn>
  <rdn rId="0" localSheetId="7" customView="1" name="Z_7C130984_112A_4861_AA43_E2940708E3DC_.wvu.FilterData" hidden="1" oldHidden="1">
    <formula>'6.Экстримизм'!$A$1:$AF$11</formula>
    <oldFormula>'6.Экстримизм'!$A$1:$AF$11</oldFormula>
  </rdn>
  <rdn rId="0" localSheetId="14" customView="1" name="Z_7C130984_112A_4861_AA43_E2940708E3DC_.wvu.FilterData" hidden="1" oldHidden="1">
    <formula>'11.МП РО'!$A$7:$AP$125</formula>
    <oldFormula>'11.МП РО'!$A$7:$AP$125</oldFormula>
  </rdn>
  <rdn rId="0" localSheetId="17" customView="1" name="Z_7C130984_112A_4861_AA43_E2940708E3DC_.wvu.Rows" hidden="1" oldHidden="1">
    <formula>'13.МП РЖС'!$122:$127</formula>
    <oldFormula>'13.МП РЖС'!$122:$127</oldFormula>
  </rdn>
  <rdn rId="0" localSheetId="17" customView="1" name="Z_7C130984_112A_4861_AA43_E2940708E3DC_.wvu.Cols" hidden="1" oldHidden="1">
    <formula>'13.МП РЖС'!$AG:$AG</formula>
    <oldFormula>'13.МП РЖС'!$AG:$AG</oldFormula>
  </rdn>
  <rcv guid="{7C130984-112A-4861-AA43-E2940708E3DC}"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AF110" start="0" length="0">
    <dxf>
      <fill>
        <patternFill patternType="solid">
          <bgColor rgb="FFFFFF00"/>
        </patternFill>
      </fill>
      <alignment vertical="top" wrapText="1" readingOrder="0"/>
      <border outline="0">
        <left/>
        <right/>
        <top/>
        <bottom/>
      </border>
    </dxf>
  </rfmt>
  <rcc rId="31162" sId="8">
    <oc r="AF106" t="inlineStr">
      <is>
        <r>
          <t xml:space="preserve">Отклонение 143,367 тыс. руб. -  экономия , в том числе: 141,030 тыс. руб. - по оплате новогодней композиции, 2,338 тыс. руб. - по оплате за приобретение костюмов сценических. </t>
        </r>
        <r>
          <rPr>
            <b/>
            <sz val="14"/>
            <color rgb="FFFF0000"/>
            <rFont val="Times New Roman"/>
            <family val="1"/>
            <charset val="204"/>
          </rPr>
          <t xml:space="preserve">СКОЛЬКО КОСТЮМОВ БЫЛО ПРИОБРЕТЕНО? </t>
        </r>
      </is>
    </oc>
    <nc r="AF106" t="inlineStr">
      <is>
        <r>
          <t xml:space="preserve">Отклонение 143,367 тыс. руб. -  экономия , в том числе: 141,030 тыс. руб. - по оплате новогодней композиции, 2,338 тыс. руб. - по оплате за приобретение костюмов сценических.                                               </t>
        </r>
        <r>
          <rPr>
            <b/>
            <sz val="14"/>
            <color rgb="FFFF0000"/>
            <rFont val="Times New Roman"/>
            <family val="1"/>
            <charset val="204"/>
          </rPr>
          <t>Приобретено всего 400ед., в том числе: консоли светодиодные - 194 ед., портативная акустика - 6 ед., светодиодные новогодние композиции - 5 ед., ростовые куклы - 6 шт., 189 шт. - костюмы сценические</t>
        </r>
      </is>
    </nc>
  </rcc>
  <rfmt sheetId="8" sqref="AF110">
    <dxf>
      <fill>
        <patternFill patternType="none">
          <bgColor auto="1"/>
        </patternFill>
      </fill>
    </dxf>
  </rfmt>
  <rfmt sheetId="8" sqref="AF106" start="0" length="2147483647">
    <dxf>
      <font>
        <color auto="1"/>
      </font>
    </dxf>
  </rfmt>
  <rfmt sheetId="8" sqref="AF106" start="0" length="2147483647">
    <dxf>
      <font>
        <b/>
      </font>
    </dxf>
  </rfmt>
  <rfmt sheetId="8" sqref="AF106" start="0" length="2147483647">
    <dxf>
      <font>
        <b val="0"/>
      </font>
    </dxf>
  </rfmt>
  <rfmt sheetId="8" sqref="AF150" start="0" length="0">
    <dxf>
      <font>
        <b val="0"/>
        <sz val="14"/>
        <color rgb="FFFF0000"/>
        <name val="Times New Roman"/>
        <scheme val="none"/>
      </font>
      <fill>
        <patternFill patternType="solid">
          <bgColor rgb="FFFFFF00"/>
        </patternFill>
      </fill>
      <border outline="0">
        <left/>
        <right/>
        <top/>
        <bottom/>
      </border>
    </dxf>
  </rfmt>
  <rfmt sheetId="8" sqref="AF150">
    <dxf>
      <fill>
        <patternFill patternType="none">
          <bgColor auto="1"/>
        </patternFill>
      </fill>
    </dxf>
  </rfmt>
  <rcc rId="31163" sId="8">
    <oc r="AF150" t="inlineStr">
      <is>
        <t xml:space="preserve">ПРОПРИСАТЬ, ЕСЛИ ЧТО-ТО БЫЛО ПРИОБРЕТЕНО В РАМКАХ ДАННОГО МЕРОПРИЯТИЯ. ЛИБО КАК И НА ЧТО ИЗРАСХОДОВАЛИ ДАННЫЕ СРЕДСТВА. ОТКЛОНЕНИЕ 68,0 ТЫС. РУБЛЕЙ </t>
      </is>
    </oc>
    <nc r="AF150" t="inlineStr">
      <is>
        <t xml:space="preserve">Проведено мероприятие на "Югорском очаге", Приобретены костюмы "Северяночка" - 5 шт. - 90000 руб., а также батарейки, бумага, призы                                           </t>
      </is>
    </nc>
  </rcc>
  <rfmt sheetId="8" sqref="AF150" start="0" length="2147483647">
    <dxf>
      <font>
        <sz val="12"/>
      </font>
    </dxf>
  </rfmt>
  <rm rId="31164" sheetId="8" source="AF150" destination="AF157" sourceSheetId="8">
    <rfmt sheetId="8" sqref="AF157" start="0" length="0">
      <dxf>
        <font>
          <sz val="14"/>
          <color theme="1"/>
          <name val="Times New Roman"/>
          <scheme val="none"/>
        </font>
        <border outline="0">
          <left style="thin">
            <color indexed="64"/>
          </left>
          <right style="thin">
            <color indexed="64"/>
          </right>
          <top style="thin">
            <color indexed="64"/>
          </top>
          <bottom style="thin">
            <color indexed="64"/>
          </bottom>
        </border>
      </dxf>
    </rfmt>
  </rm>
  <rcc rId="31165" sId="8" odxf="1" dxf="1">
    <oc r="AF187" t="inlineStr">
      <is>
        <r>
          <t xml:space="preserve">
</t>
        </r>
        <r>
          <rPr>
            <b/>
            <sz val="14"/>
            <color rgb="FFFF0000"/>
            <rFont val="Times New Roman"/>
            <family val="1"/>
            <charset val="204"/>
          </rPr>
          <t xml:space="preserve">ТУТ НЕ БУДЕТ ОТКЛОНЕНИЯ, 100 % ОСОВОЕНИЕ. НЕОБХОДИМО ПРОПИСАТЬ КАКАЯ РАБОТА ПРОВЕДЕНА, СКОЛЬКО МЕРОПРИЯТИЙ ПРОШЛО, СКОЛЬКО ЗРИТЕЛЕЙ </t>
        </r>
      </is>
    </oc>
    <nc r="AF187" t="inlineStr">
      <is>
        <t>Проведено в соответствии с МЗ - 88 мероприятий, 181560 зрителей</t>
      </is>
    </nc>
    <odxf>
      <font>
        <sz val="14"/>
        <color auto="1"/>
        <name val="Times New Roman"/>
        <scheme val="none"/>
      </font>
      <fill>
        <patternFill>
          <bgColor theme="0"/>
        </patternFill>
      </fill>
      <alignment horizontal="left" vertical="center" readingOrder="0"/>
      <border outline="0">
        <left style="thin">
          <color indexed="64"/>
        </left>
        <right style="thin">
          <color indexed="64"/>
        </right>
        <top style="thin">
          <color indexed="64"/>
        </top>
        <bottom style="thin">
          <color indexed="64"/>
        </bottom>
      </border>
    </odxf>
    <ndxf>
      <font>
        <sz val="14"/>
        <color auto="1"/>
        <name val="Times New Roman"/>
        <scheme val="none"/>
      </font>
      <fill>
        <patternFill>
          <bgColor rgb="FFFFFF00"/>
        </patternFill>
      </fill>
      <alignment horizontal="general" vertical="top" readingOrder="0"/>
      <border outline="0">
        <left/>
        <right/>
        <top/>
        <bottom/>
      </border>
    </ndxf>
  </rcc>
  <rfmt sheetId="8" sqref="AF187">
    <dxf>
      <alignment vertical="top" readingOrder="0"/>
    </dxf>
  </rfmt>
  <rfmt sheetId="8" sqref="AF187">
    <dxf>
      <fill>
        <patternFill patternType="none">
          <bgColor auto="1"/>
        </patternFill>
      </fill>
    </dxf>
  </rfmt>
  <rfmt sheetId="8" sqref="AF187" start="0" length="0">
    <dxf>
      <border>
        <left style="thin">
          <color indexed="64"/>
        </left>
        <right style="thin">
          <color indexed="64"/>
        </right>
        <top style="thin">
          <color indexed="64"/>
        </top>
        <bottom style="thin">
          <color indexed="64"/>
        </bottom>
      </border>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AF219" start="0" length="2147483647">
    <dxf>
      <font>
        <color auto="1"/>
      </font>
    </dxf>
  </rfmt>
  <rfmt sheetId="8" sqref="AF219" start="0" length="2147483647">
    <dxf>
      <font>
        <b val="0"/>
      </font>
    </dxf>
  </rfmt>
  <rfmt sheetId="8" sqref="AF219">
    <dxf>
      <alignment vertical="top" readingOrder="0"/>
    </dxf>
  </rfmt>
  <rcc rId="31166" sId="8">
    <oc r="AF219" t="inlineStr">
      <is>
        <t xml:space="preserve">НЕОБХОДИМО ПРОПИСАТЬ ПРИЧИНЫ ОТКЛОНЕНИЙ 532,6 ТЫС. РУБЛЕЙ </t>
      </is>
    </oc>
    <nc r="AF219" t="inlineStr">
      <is>
        <t xml:space="preserve">В связи с наличием вакансий, предоставлением листов нетрудоспособности, выплатой денежного поощрения по результатам работы за год за фактически отработанное время, предоставлением отпусков без сохранения заработной платы.
В связи с сложившимися фактическими расходами на командировку (суточные).
</t>
      </is>
    </nc>
  </rcc>
  <rcv guid="{7C130984-112A-4861-AA43-E2940708E3DC}" action="delete"/>
  <rdn rId="0" localSheetId="2" customView="1" name="Z_7C130984_112A_4861_AA43_E2940708E3DC_.wvu.Rows" hidden="1" oldHidden="1">
    <formula>'1.СЗН'!$70:$74</formula>
    <oldFormula>'1.СЗН'!$70:$74</oldFormula>
  </rdn>
  <rdn rId="0" localSheetId="2" customView="1" name="Z_7C130984_112A_4861_AA43_E2940708E3DC_.wvu.FilterData" hidden="1" oldHidden="1">
    <formula>'1.СЗН'!$A$1:$AF$64</formula>
    <oldFormula>'1.СЗН'!$A$1:$AF$64</oldFormula>
  </rdn>
  <rdn rId="0" localSheetId="3" customView="1" name="Z_7C130984_112A_4861_AA43_E2940708E3DC_.wvu.FilterData" hidden="1" oldHidden="1">
    <formula>'2.АПК'!$A$1:$AF$36</formula>
    <oldFormula>'2.АПК'!$A$1:$AF$36</oldFormula>
  </rdn>
  <rdn rId="0" localSheetId="4" customView="1" name="Z_7C130984_112A_4861_AA43_E2940708E3DC_.wvu.FilterData" hidden="1" oldHidden="1">
    <formula>'3.БЖД'!$A$1:$AF$17</formula>
    <oldFormula>'3.БЖД'!$A$1:$AF$17</oldFormula>
  </rdn>
  <rdn rId="0" localSheetId="5" customView="1" name="Z_7C130984_112A_4861_AA43_E2940708E3DC_.wvu.FilterData" hidden="1" oldHidden="1">
    <formula>'4.УМИ'!$A$1:$AF$11</formula>
    <oldFormula>'4.УМИ'!$A$1:$AF$11</oldFormula>
  </rdn>
  <rdn rId="0" localSheetId="6" customView="1" name="Z_7C130984_112A_4861_AA43_E2940708E3DC_.wvu.FilterData" hidden="1" oldHidden="1">
    <formula>'5.Проф. прав.'!$A$1:$AF$12</formula>
    <oldFormula>'5.Проф. прав.'!$A$1:$AF$12</oldFormula>
  </rdn>
  <rdn rId="0" localSheetId="7" customView="1" name="Z_7C130984_112A_4861_AA43_E2940708E3DC_.wvu.Rows" hidden="1" oldHidden="1">
    <formula>'6.Экстримизм'!$9:$23,'6.Экстримизм'!$30:$38,'6.Экстримизм'!$44:$49,'6.Экстримизм'!$65:$67,'6.Экстримизм'!$71:$76,'6.Экстримизм'!$86:$88,'6.Экстримизм'!$95:$97</formula>
    <oldFormula>'6.Экстримизм'!$9:$23,'6.Экстримизм'!$30:$38,'6.Экстримизм'!$44:$49,'6.Экстримизм'!$65:$67,'6.Экстримизм'!$71:$76,'6.Экстримизм'!$86:$88,'6.Экстримизм'!$95:$97</oldFormula>
  </rdn>
  <rdn rId="0" localSheetId="7" customView="1" name="Z_7C130984_112A_4861_AA43_E2940708E3DC_.wvu.FilterData" hidden="1" oldHidden="1">
    <formula>'6.Экстримизм'!$A$1:$AF$11</formula>
    <oldFormula>'6.Экстримизм'!$A$1:$AF$11</oldFormula>
  </rdn>
  <rdn rId="0" localSheetId="8" customView="1" name="Z_7C130984_112A_4861_AA43_E2940708E3DC_.wvu.Cols" hidden="1" oldHidden="1">
    <formula>'7.МП КП'!$H:$AC</formula>
    <oldFormula>'7.МП КП'!$H:$AC</oldFormula>
  </rdn>
  <rdn rId="0" localSheetId="14" customView="1" name="Z_7C130984_112A_4861_AA43_E2940708E3DC_.wvu.FilterData" hidden="1" oldHidden="1">
    <formula>'11.МП РО'!$A$7:$AP$125</formula>
    <oldFormula>'11.МП РО'!$A$7:$AP$125</oldFormula>
  </rdn>
  <rdn rId="0" localSheetId="17" customView="1" name="Z_7C130984_112A_4861_AA43_E2940708E3DC_.wvu.Rows" hidden="1" oldHidden="1">
    <formula>'13.МП РЖС'!$122:$127</formula>
    <oldFormula>'13.МП РЖС'!$122:$127</oldFormula>
  </rdn>
  <rdn rId="0" localSheetId="17" customView="1" name="Z_7C130984_112A_4861_AA43_E2940708E3DC_.wvu.Cols" hidden="1" oldHidden="1">
    <formula>'13.МП РЖС'!$AG:$AG</formula>
    <oldFormula>'13.МП РЖС'!$AG:$AG</oldFormula>
  </rdn>
  <rcv guid="{7C130984-112A-4861-AA43-E2940708E3DC}"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179" sId="8">
    <nc r="F59">
      <f>IFERROR(E59/#REF!*100,0)</f>
    </nc>
  </rcc>
  <rfmt sheetId="8" sqref="F58" start="0" length="0">
    <dxf>
      <font>
        <b/>
        <sz val="14"/>
        <color auto="1"/>
        <name val="Times New Roman"/>
        <scheme val="none"/>
      </font>
    </dxf>
  </rfmt>
  <rfmt sheetId="8" sqref="G58" start="0" length="0">
    <dxf>
      <font>
        <b/>
        <sz val="14"/>
        <color auto="1"/>
        <name val="Times New Roman"/>
        <scheme val="none"/>
      </font>
    </dxf>
  </rfmt>
  <rcc rId="31180" sId="8" odxf="1" dxf="1">
    <oc r="F59">
      <f>IFERROR(E59/#REF!*100,0)</f>
    </oc>
    <nc r="F59">
      <f>IFERROR(E59/B59*100,0)</f>
    </nc>
    <ndxf>
      <font>
        <b/>
        <sz val="14"/>
        <color auto="1"/>
        <name val="Times New Roman"/>
        <scheme val="none"/>
      </font>
    </ndxf>
  </rcc>
  <rcc rId="31181" sId="8" odxf="1" dxf="1">
    <oc r="G59">
      <f>IFERROR(E59/C59*100,0)</f>
    </oc>
    <nc r="G59">
      <f>IFERROR(E59/C59*100,0)</f>
    </nc>
    <odxf>
      <font>
        <b val="0"/>
        <sz val="14"/>
        <color auto="1"/>
        <name val="Times New Roman"/>
        <scheme val="none"/>
      </font>
    </odxf>
    <ndxf>
      <font>
        <b/>
        <sz val="14"/>
        <color auto="1"/>
        <name val="Times New Roman"/>
        <scheme val="none"/>
      </font>
    </ndxf>
  </rcc>
  <rcc rId="31182" sId="8" odxf="1" dxf="1">
    <oc r="F60">
      <f>IFERROR(E60/B59*100,0)</f>
    </oc>
    <nc r="F60">
      <f>IFERROR(E60/B60*100,0)</f>
    </nc>
    <odxf>
      <font>
        <b val="0"/>
        <sz val="14"/>
        <color auto="1"/>
        <name val="Times New Roman"/>
        <scheme val="none"/>
      </font>
    </odxf>
    <ndxf>
      <font>
        <b/>
        <sz val="14"/>
        <color auto="1"/>
        <name val="Times New Roman"/>
        <scheme val="none"/>
      </font>
    </ndxf>
  </rcc>
  <rcc rId="31183" sId="8" odxf="1" dxf="1">
    <oc r="G60">
      <f>IFERROR(E60/C60*100,0)</f>
    </oc>
    <nc r="G60">
      <f>IFERROR(E60/C60*100,0)</f>
    </nc>
    <odxf>
      <font>
        <b val="0"/>
        <sz val="14"/>
        <color auto="1"/>
        <name val="Times New Roman"/>
        <scheme val="none"/>
      </font>
    </odxf>
    <ndxf>
      <font>
        <b/>
        <sz val="14"/>
        <color auto="1"/>
        <name val="Times New Roman"/>
        <scheme val="none"/>
      </font>
    </ndxf>
  </rcc>
  <rfmt sheetId="8" sqref="F61" start="0" length="0">
    <dxf>
      <font>
        <b/>
        <sz val="14"/>
        <color auto="1"/>
        <name val="Times New Roman"/>
        <scheme val="none"/>
      </font>
    </dxf>
  </rfmt>
  <rfmt sheetId="8" sqref="G61" start="0" length="0">
    <dxf>
      <font>
        <b/>
        <sz val="14"/>
        <color auto="1"/>
        <name val="Times New Roman"/>
        <scheme val="none"/>
      </font>
    </dxf>
  </rfmt>
  <rcc rId="31184" sId="8" odxf="1" dxf="1">
    <oc r="F62">
      <f>IFERROR(E62/B60*100,0)</f>
    </oc>
    <nc r="F62">
      <f>IFERROR(E62/B62*100,0)</f>
    </nc>
    <odxf>
      <font>
        <b val="0"/>
        <sz val="14"/>
        <color auto="1"/>
        <name val="Times New Roman"/>
        <scheme val="none"/>
      </font>
    </odxf>
    <ndxf>
      <font>
        <b/>
        <sz val="14"/>
        <color auto="1"/>
        <name val="Times New Roman"/>
        <scheme val="none"/>
      </font>
    </ndxf>
  </rcc>
  <rcc rId="31185" sId="8" odxf="1" dxf="1">
    <oc r="G62">
      <f>IFERROR(E62/C62*100,0)</f>
    </oc>
    <nc r="G62">
      <f>IFERROR(E62/C62*100,0)</f>
    </nc>
    <odxf>
      <font>
        <b val="0"/>
        <sz val="14"/>
        <color auto="1"/>
        <name val="Times New Roman"/>
        <scheme val="none"/>
      </font>
    </odxf>
    <ndxf>
      <font>
        <b/>
        <sz val="14"/>
        <color auto="1"/>
        <name val="Times New Roman"/>
        <scheme val="none"/>
      </font>
    </ndxf>
  </rcc>
  <rfmt sheetId="8" sqref="F57:G62" start="0" length="2147483647">
    <dxf>
      <font>
        <b val="0"/>
      </font>
    </dxf>
  </rfmt>
  <rfmt sheetId="8" sqref="F57:G57" start="0" length="2147483647">
    <dxf>
      <font>
        <b/>
      </font>
    </dxf>
  </rfmt>
  <rfmt sheetId="8" sqref="F59:G62">
    <dxf>
      <fill>
        <patternFill patternType="solid">
          <bgColor rgb="FFFFFF00"/>
        </patternFill>
      </fill>
    </dxf>
  </rfmt>
  <rfmt sheetId="8" sqref="F61:G61">
    <dxf>
      <fill>
        <patternFill patternType="none">
          <bgColor auto="1"/>
        </patternFill>
      </fill>
    </dxf>
  </rfmt>
  <rcc rId="31186" sId="8">
    <nc r="F186">
      <f>IFERROR(E186/B186*100,0)</f>
    </nc>
  </rcc>
  <rcc rId="31187" sId="8">
    <nc r="G186">
      <f>IFERROR(E186/C186*100,0)</f>
    </nc>
  </rcc>
  <rfmt sheetId="8" sqref="F186:G186">
    <dxf>
      <fill>
        <patternFill>
          <bgColor rgb="FFFFFF00"/>
        </patternFill>
      </fill>
    </dxf>
  </rfmt>
  <rcc rId="31188" sId="8" numFmtId="4">
    <oc r="F182">
      <v>0</v>
    </oc>
    <nc r="F182">
      <f>IFERROR(E182/B182*100,0)</f>
    </nc>
  </rcc>
  <rcc rId="31189" sId="8" numFmtId="4">
    <oc r="G182">
      <v>0</v>
    </oc>
    <nc r="G182">
      <f>IFERROR(E182/C182*100,0)</f>
    </nc>
  </rcc>
  <rfmt sheetId="8" sqref="F182:G182">
    <dxf>
      <fill>
        <patternFill>
          <bgColor rgb="FFFFFF00"/>
        </patternFill>
      </fill>
    </dxf>
  </rfmt>
  <rfmt sheetId="8" sqref="F187" start="0" length="0">
    <dxf>
      <font>
        <sz val="14"/>
        <color auto="1"/>
        <name val="Times New Roman"/>
        <scheme val="none"/>
      </font>
      <fill>
        <patternFill>
          <bgColor rgb="FFFFFF00"/>
        </patternFill>
      </fill>
    </dxf>
  </rfmt>
  <rfmt sheetId="8" sqref="G187" start="0" length="0">
    <dxf>
      <font>
        <sz val="14"/>
        <color auto="1"/>
        <name val="Times New Roman"/>
        <scheme val="none"/>
      </font>
      <fill>
        <patternFill>
          <bgColor rgb="FFFFFF00"/>
        </patternFill>
      </fill>
    </dxf>
  </rfmt>
  <rcc rId="31190" sId="8" odxf="1" dxf="1">
    <oc r="F188">
      <f>F189+F190+F191+F193</f>
    </oc>
    <nc r="F188">
      <f>IFERROR(E188/B188*100,0)</f>
    </nc>
    <odxf>
      <font>
        <b/>
        <sz val="14"/>
        <color auto="1"/>
        <name val="Times New Roman"/>
        <scheme val="none"/>
      </font>
      <fill>
        <patternFill patternType="none">
          <bgColor indexed="65"/>
        </patternFill>
      </fill>
    </odxf>
    <ndxf>
      <font>
        <b val="0"/>
        <sz val="14"/>
        <color auto="1"/>
        <name val="Times New Roman"/>
        <scheme val="none"/>
      </font>
      <fill>
        <patternFill patternType="solid">
          <bgColor rgb="FFFFFF00"/>
        </patternFill>
      </fill>
    </ndxf>
  </rcc>
  <rcc rId="31191" sId="8" odxf="1" dxf="1">
    <oc r="G188">
      <f>G189+G190+G191+G193</f>
    </oc>
    <nc r="G188">
      <f>IFERROR(E188/C188*100,0)</f>
    </nc>
    <odxf>
      <font>
        <b/>
        <sz val="14"/>
        <color auto="1"/>
        <name val="Times New Roman"/>
        <scheme val="none"/>
      </font>
      <fill>
        <patternFill patternType="none">
          <bgColor indexed="65"/>
        </patternFill>
      </fill>
    </odxf>
    <ndxf>
      <font>
        <b val="0"/>
        <sz val="14"/>
        <color auto="1"/>
        <name val="Times New Roman"/>
        <scheme val="none"/>
      </font>
      <fill>
        <patternFill patternType="solid">
          <bgColor rgb="FFFFFF00"/>
        </patternFill>
      </fill>
    </ndxf>
  </rcc>
  <rfmt sheetId="8" sqref="F187:G187">
    <dxf>
      <fill>
        <patternFill patternType="none">
          <bgColor auto="1"/>
        </patternFill>
      </fill>
    </dxf>
  </rfmt>
  <rcc rId="31192" sId="8">
    <nc r="F192">
      <f>IFERROR(E192/B192*100,0)</f>
    </nc>
  </rcc>
  <rcc rId="31193" sId="8">
    <nc r="G192">
      <f>IFERROR(E192/C192*100,0)</f>
    </nc>
  </rcc>
  <rfmt sheetId="8" sqref="F192:G192">
    <dxf>
      <fill>
        <patternFill patternType="solid">
          <bgColor rgb="FFFFFF00"/>
        </patternFill>
      </fill>
    </dxf>
  </rfmt>
  <rfmt sheetId="8" sqref="F220:AD220" start="0" length="2147483647">
    <dxf>
      <font>
        <b/>
      </font>
    </dxf>
  </rfmt>
  <rcc rId="31194" sId="8">
    <oc r="F287">
      <f>IFERROR(E287/B287*100,0)</f>
    </oc>
    <nc r="F287">
      <f>IFERROR(E287/B287*100,0)</f>
    </nc>
  </rcc>
  <rcc rId="31195" sId="8">
    <oc r="G287">
      <f>IFERROR(E287/C287*100,0)</f>
    </oc>
    <nc r="G287">
      <f>IFERROR(E287/C287*100,0)</f>
    </nc>
  </rcc>
  <rcc rId="31196" sId="8">
    <oc r="F288">
      <f>IFERROR(E288/B288*100,0)</f>
    </oc>
    <nc r="F288">
      <f>IFERROR(E288/B288*100,0)</f>
    </nc>
  </rcc>
  <rcc rId="31197" sId="8">
    <oc r="F290">
      <f>IFERROR(E290/B290*100,0)</f>
    </oc>
    <nc r="F290">
      <f>IFERROR(E290/B290*100,0)</f>
    </nc>
  </rcc>
  <rcv guid="{533DC55B-6AD4-4674-9488-685EF2039F3E}" action="delete"/>
  <rdn rId="0" localSheetId="2" customView="1" name="Z_533DC55B_6AD4_4674_9488_685EF2039F3E_.wvu.Rows" hidden="1" oldHidden="1">
    <formula>'1.СЗН'!$70:$74</formula>
    <oldFormula>'1.СЗН'!$70:$74</oldFormula>
  </rdn>
  <rdn rId="0" localSheetId="2" customView="1" name="Z_533DC55B_6AD4_4674_9488_685EF2039F3E_.wvu.FilterData" hidden="1" oldHidden="1">
    <formula>'1.СЗН'!$A$1:$AF$64</formula>
    <oldFormula>'1.СЗН'!$A$1:$AF$64</oldFormula>
  </rdn>
  <rdn rId="0" localSheetId="3" customView="1" name="Z_533DC55B_6AD4_4674_9488_685EF2039F3E_.wvu.FilterData" hidden="1" oldHidden="1">
    <formula>'2.АПК'!$A$1:$AF$36</formula>
    <oldFormula>'2.АПК'!$A$1:$AF$36</oldFormula>
  </rdn>
  <rdn rId="0" localSheetId="4" customView="1" name="Z_533DC55B_6AD4_4674_9488_685EF2039F3E_.wvu.FilterData" hidden="1" oldHidden="1">
    <formula>'3.БЖД'!$A$1:$AF$17</formula>
    <oldFormula>'3.БЖД'!$A$1:$AF$17</oldFormula>
  </rdn>
  <rdn rId="0" localSheetId="5" customView="1" name="Z_533DC55B_6AD4_4674_9488_685EF2039F3E_.wvu.FilterData" hidden="1" oldHidden="1">
    <formula>'4.УМИ'!$A$1:$AF$11</formula>
    <oldFormula>'4.УМИ'!$A$1:$AF$11</oldFormula>
  </rdn>
  <rdn rId="0" localSheetId="6" customView="1" name="Z_533DC55B_6AD4_4674_9488_685EF2039F3E_.wvu.FilterData" hidden="1" oldHidden="1">
    <formula>'5.Проф. прав.'!$A$1:$AF$12</formula>
    <oldFormula>'5.Проф. прав.'!$A$1:$AF$12</oldFormula>
  </rdn>
  <rdn rId="0" localSheetId="7" customView="1" name="Z_533DC55B_6AD4_4674_9488_685EF2039F3E_.wvu.Rows" hidden="1" oldHidden="1">
    <formula>'6.Экстримизм'!$9:$23,'6.Экстримизм'!$30:$38,'6.Экстримизм'!$44:$49,'6.Экстримизм'!$65:$67,'6.Экстримизм'!$71:$76,'6.Экстримизм'!$86:$88,'6.Экстримизм'!$95:$97</formula>
    <oldFormula>'6.Экстримизм'!$9:$23,'6.Экстримизм'!$30:$38,'6.Экстримизм'!$44:$49,'6.Экстримизм'!$65:$67,'6.Экстримизм'!$71:$76,'6.Экстримизм'!$86:$88,'6.Экстримизм'!$95:$97</oldFormula>
  </rdn>
  <rdn rId="0" localSheetId="7" customView="1" name="Z_533DC55B_6AD4_4674_9488_685EF2039F3E_.wvu.FilterData" hidden="1" oldHidden="1">
    <formula>'6.Экстримизм'!$A$1:$AF$11</formula>
    <oldFormula>'6.Экстримизм'!$A$1:$AF$11</oldFormula>
  </rdn>
  <rdn rId="0" localSheetId="8" customView="1" name="Z_533DC55B_6AD4_4674_9488_685EF2039F3E_.wvu.Cols" hidden="1" oldHidden="1">
    <formula>'7.МП КП'!$H:$AC</formula>
  </rdn>
  <rdn rId="0" localSheetId="14" customView="1" name="Z_533DC55B_6AD4_4674_9488_685EF2039F3E_.wvu.FilterData" hidden="1" oldHidden="1">
    <formula>'11.МП РО'!$A$7:$AP$125</formula>
    <oldFormula>'11.МП РО'!$A$7:$AP$125</oldFormula>
  </rdn>
  <rdn rId="0" localSheetId="17" customView="1" name="Z_533DC55B_6AD4_4674_9488_685EF2039F3E_.wvu.Rows" hidden="1" oldHidden="1">
    <formula>'13.МП РЖС'!$122:$127</formula>
    <oldFormula>'13.МП РЖС'!$122:$127</oldFormula>
  </rdn>
  <rdn rId="0" localSheetId="17" customView="1" name="Z_533DC55B_6AD4_4674_9488_685EF2039F3E_.wvu.Cols" hidden="1" oldHidden="1">
    <formula>'13.МП РЖС'!$AG:$AG</formula>
    <oldFormula>'13.МП РЖС'!$AG:$AG</oldFormula>
  </rdn>
  <rcv guid="{533DC55B-6AD4-4674-9488-685EF2039F3E}"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210" sId="8" odxf="1" dxf="1">
    <oc r="B62">
      <f>H62+J62+L62+N62+P62+R62+T62+V62+X62+Z62+AB62+AD62</f>
    </oc>
    <nc r="B62">
      <f>H62+J62+L62+N62+P62+R62+T62+V62+X62+Z62+AB62+AD62</f>
    </nc>
    <odxf>
      <fill>
        <patternFill patternType="none">
          <bgColor indexed="65"/>
        </patternFill>
      </fill>
    </odxf>
    <ndxf>
      <fill>
        <patternFill patternType="solid">
          <bgColor theme="4" tint="0.59999389629810485"/>
        </patternFill>
      </fill>
    </ndxf>
  </rcc>
  <rcc rId="31211" sId="8" odxf="1" dxf="1">
    <oc r="C62">
      <f>H62+J62+L62+N62+P62+R62+T62+V62+X62+Z62+AB62+AD62</f>
    </oc>
    <nc r="C62">
      <f>H62+J62+L62+N62+P62+R62+T62+V62+X62+Z62+AB62+AD62</f>
    </nc>
    <odxf>
      <numFmt numFmtId="169" formatCode="#,##0.00_ ;[Red]\-#,##0.00\ "/>
      <fill>
        <patternFill patternType="none">
          <bgColor indexed="65"/>
        </patternFill>
      </fill>
      <alignment wrapText="0" readingOrder="0"/>
    </odxf>
    <ndxf>
      <numFmt numFmtId="168" formatCode="#,##0.00\ _₽"/>
      <fill>
        <patternFill patternType="solid">
          <bgColor theme="4" tint="0.59999389629810485"/>
        </patternFill>
      </fill>
      <alignment wrapText="1" readingOrder="0"/>
    </ndxf>
  </rcc>
  <rcc rId="31212" sId="8" odxf="1" dxf="1">
    <oc r="D62">
      <f>E62</f>
    </oc>
    <nc r="D62">
      <f>E62</f>
    </nc>
    <odxf>
      <numFmt numFmtId="169" formatCode="#,##0.00_ ;[Red]\-#,##0.00\ "/>
      <fill>
        <patternFill patternType="none">
          <bgColor indexed="65"/>
        </patternFill>
      </fill>
      <alignment horizontal="general" vertical="bottom" wrapText="0" readingOrder="0"/>
    </odxf>
    <ndxf>
      <numFmt numFmtId="168" formatCode="#,##0.00\ _₽"/>
      <fill>
        <patternFill patternType="solid">
          <bgColor theme="4" tint="0.59999389629810485"/>
        </patternFill>
      </fill>
      <alignment horizontal="right" vertical="top" wrapText="1" readingOrder="0"/>
    </ndxf>
  </rcc>
  <rcc rId="31213" sId="8" odxf="1" dxf="1">
    <oc r="E62">
      <f>I62+K62+M62+O62+Q62+S62+U62+W62+Y62+AA62+AC62+AE62</f>
    </oc>
    <nc r="E62">
      <f>I62+K62+M62+O62+Q62+S62+U62+W62+Y62+AA62+AC62+AE62</f>
    </nc>
    <odxf>
      <numFmt numFmtId="169" formatCode="#,##0.00_ ;[Red]\-#,##0.00\ "/>
      <fill>
        <patternFill patternType="none">
          <bgColor indexed="65"/>
        </patternFill>
      </fill>
      <alignment wrapText="0" readingOrder="0"/>
    </odxf>
    <ndxf>
      <numFmt numFmtId="168" formatCode="#,##0.00\ _₽"/>
      <fill>
        <patternFill patternType="solid">
          <bgColor theme="4" tint="0.59999389629810485"/>
        </patternFill>
      </fill>
      <alignment wrapText="1" readingOrder="0"/>
    </ndxf>
  </rcc>
  <rcc rId="31214" sId="8" odxf="1" dxf="1">
    <oc r="F62">
      <f>IFERROR(E62/B62*100,0)</f>
    </oc>
    <nc r="F62">
      <f>IFERROR(E62/B62*100,0)</f>
    </nc>
    <odxf>
      <fill>
        <patternFill>
          <bgColor rgb="FFFFFF00"/>
        </patternFill>
      </fill>
    </odxf>
    <ndxf>
      <fill>
        <patternFill>
          <bgColor theme="4" tint="0.59999389629810485"/>
        </patternFill>
      </fill>
    </ndxf>
  </rcc>
  <rcc rId="31215" sId="8" odxf="1" dxf="1">
    <oc r="G62">
      <f>IFERROR(E62/C62*100,0)</f>
    </oc>
    <nc r="G62">
      <f>IFERROR(E62/C62*100,0)</f>
    </nc>
    <odxf>
      <fill>
        <patternFill>
          <bgColor rgb="FFFFFF00"/>
        </patternFill>
      </fill>
    </odxf>
    <ndxf>
      <fill>
        <patternFill>
          <bgColor theme="4" tint="0.59999389629810485"/>
        </patternFill>
      </fill>
    </ndxf>
  </rcc>
  <rfmt sheetId="8" sqref="H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I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J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K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L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M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N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O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P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Q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R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S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T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U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V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W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X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Y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Z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AA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AB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AC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AD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AE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AF62" start="0" length="0">
    <dxf>
      <font>
        <sz val="14"/>
        <color auto="1"/>
        <name val="Times New Roman"/>
        <scheme val="none"/>
      </font>
      <numFmt numFmtId="168" formatCode="#,##0.00\ _₽"/>
      <fill>
        <patternFill patternType="solid">
          <bgColor theme="4" tint="0.59999389629810485"/>
        </patternFill>
      </fill>
      <alignment horizontal="right" vertical="top" wrapText="1" readingOrder="0"/>
    </dxf>
  </rfmt>
  <rfmt sheetId="8" sqref="F62:G62">
    <dxf>
      <fill>
        <patternFill>
          <bgColor rgb="FFFFFF00"/>
        </patternFill>
      </fill>
    </dxf>
  </rfmt>
  <rrc rId="31216" sId="8" ref="A281:XFD281" action="insertRow">
    <undo index="0" exp="area" ref3D="1" dr="$H$1:$AC$1048576" dn="Z_533DC55B_6AD4_4674_9488_685EF2039F3E_.wvu.Cols" sId="8"/>
    <undo index="0" exp="area" ref3D="1" dr="$H$1:$AC$1048576" dn="Z_7C130984_112A_4861_AA43_E2940708E3DC_.wvu.Cols" sId="8"/>
  </rrc>
  <rcc rId="31217" sId="8" odxf="1" dxf="1">
    <nc r="A281" t="inlineStr">
      <is>
        <t>в т.ч. бюджет города Когалыма в части софинансирования</t>
      </is>
    </nc>
    <odxf>
      <font>
        <b val="0"/>
        <sz val="14"/>
        <color auto="1"/>
        <name val="Times New Roman"/>
        <scheme val="none"/>
      </font>
      <fill>
        <patternFill>
          <bgColor theme="7" tint="0.79998168889431442"/>
        </patternFill>
      </fill>
    </odxf>
    <ndxf>
      <font>
        <b/>
        <sz val="14"/>
        <color auto="1"/>
        <name val="Times New Roman"/>
        <scheme val="none"/>
      </font>
      <fill>
        <patternFill>
          <bgColor theme="4" tint="0.59999389629810485"/>
        </patternFill>
      </fill>
    </ndxf>
  </rcc>
  <rfmt sheetId="8" sqref="B281" start="0" length="0">
    <dxf>
      <font>
        <b/>
        <sz val="14"/>
        <color auto="1"/>
        <name val="Times New Roman"/>
        <scheme val="none"/>
      </font>
      <fill>
        <patternFill>
          <bgColor theme="4" tint="0.59999389629810485"/>
        </patternFill>
      </fill>
    </dxf>
  </rfmt>
  <rfmt sheetId="8" sqref="C281" start="0" length="0">
    <dxf>
      <font>
        <b/>
        <sz val="14"/>
        <color auto="1"/>
        <name val="Times New Roman"/>
        <scheme val="none"/>
      </font>
      <fill>
        <patternFill>
          <bgColor theme="4" tint="0.59999389629810485"/>
        </patternFill>
      </fill>
    </dxf>
  </rfmt>
  <rfmt sheetId="8" sqref="D281" start="0" length="0">
    <dxf>
      <font>
        <b/>
        <sz val="14"/>
        <color auto="1"/>
        <name val="Times New Roman"/>
        <scheme val="none"/>
      </font>
      <fill>
        <patternFill>
          <bgColor theme="4" tint="0.59999389629810485"/>
        </patternFill>
      </fill>
    </dxf>
  </rfmt>
  <rfmt sheetId="8" sqref="E281" start="0" length="0">
    <dxf>
      <font>
        <b/>
        <sz val="14"/>
        <color auto="1"/>
        <name val="Times New Roman"/>
        <scheme val="none"/>
      </font>
      <fill>
        <patternFill>
          <bgColor theme="4" tint="0.59999389629810485"/>
        </patternFill>
      </fill>
    </dxf>
  </rfmt>
  <rfmt sheetId="8" sqref="F281" start="0" length="0">
    <dxf>
      <font>
        <b/>
        <sz val="14"/>
        <color auto="1"/>
        <name val="Times New Roman"/>
        <scheme val="none"/>
      </font>
      <fill>
        <patternFill>
          <bgColor theme="4" tint="0.59999389629810485"/>
        </patternFill>
      </fill>
    </dxf>
  </rfmt>
  <rfmt sheetId="8" sqref="G281" start="0" length="0">
    <dxf>
      <font>
        <b/>
        <sz val="14"/>
        <color auto="1"/>
        <name val="Times New Roman"/>
        <scheme val="none"/>
      </font>
      <fill>
        <patternFill>
          <bgColor theme="4" tint="0.59999389629810485"/>
        </patternFill>
      </fill>
    </dxf>
  </rfmt>
  <rfmt sheetId="8" sqref="H281" start="0" length="0">
    <dxf>
      <font>
        <b/>
        <sz val="14"/>
        <color auto="1"/>
        <name val="Times New Roman"/>
        <scheme val="none"/>
      </font>
      <fill>
        <patternFill>
          <bgColor theme="4" tint="0.59999389629810485"/>
        </patternFill>
      </fill>
    </dxf>
  </rfmt>
  <rfmt sheetId="8" sqref="I281" start="0" length="0">
    <dxf>
      <font>
        <b/>
        <sz val="14"/>
        <color auto="1"/>
        <name val="Times New Roman"/>
        <scheme val="none"/>
      </font>
      <fill>
        <patternFill>
          <bgColor theme="4" tint="0.59999389629810485"/>
        </patternFill>
      </fill>
    </dxf>
  </rfmt>
  <rfmt sheetId="8" sqref="J281" start="0" length="0">
    <dxf>
      <font>
        <b/>
        <sz val="14"/>
        <color auto="1"/>
        <name val="Times New Roman"/>
        <scheme val="none"/>
      </font>
      <fill>
        <patternFill>
          <bgColor theme="4" tint="0.59999389629810485"/>
        </patternFill>
      </fill>
    </dxf>
  </rfmt>
  <rfmt sheetId="8" sqref="K281" start="0" length="0">
    <dxf>
      <font>
        <b/>
        <sz val="14"/>
        <color auto="1"/>
        <name val="Times New Roman"/>
        <scheme val="none"/>
      </font>
      <fill>
        <patternFill>
          <bgColor theme="4" tint="0.59999389629810485"/>
        </patternFill>
      </fill>
    </dxf>
  </rfmt>
  <rfmt sheetId="8" sqref="L281" start="0" length="0">
    <dxf>
      <font>
        <b/>
        <sz val="14"/>
        <color auto="1"/>
        <name val="Times New Roman"/>
        <scheme val="none"/>
      </font>
      <fill>
        <patternFill>
          <bgColor theme="4" tint="0.59999389629810485"/>
        </patternFill>
      </fill>
    </dxf>
  </rfmt>
  <rfmt sheetId="8" sqref="M281" start="0" length="0">
    <dxf>
      <font>
        <b/>
        <sz val="14"/>
        <color auto="1"/>
        <name val="Times New Roman"/>
        <scheme val="none"/>
      </font>
      <fill>
        <patternFill>
          <bgColor theme="4" tint="0.59999389629810485"/>
        </patternFill>
      </fill>
    </dxf>
  </rfmt>
  <rfmt sheetId="8" sqref="N281" start="0" length="0">
    <dxf>
      <font>
        <b/>
        <sz val="14"/>
        <color auto="1"/>
        <name val="Times New Roman"/>
        <scheme val="none"/>
      </font>
      <fill>
        <patternFill>
          <bgColor theme="4" tint="0.59999389629810485"/>
        </patternFill>
      </fill>
    </dxf>
  </rfmt>
  <rfmt sheetId="8" sqref="O281" start="0" length="0">
    <dxf>
      <font>
        <b/>
        <sz val="14"/>
        <color auto="1"/>
        <name val="Times New Roman"/>
        <scheme val="none"/>
      </font>
      <fill>
        <patternFill>
          <bgColor theme="4" tint="0.59999389629810485"/>
        </patternFill>
      </fill>
    </dxf>
  </rfmt>
  <rfmt sheetId="8" sqref="P281" start="0" length="0">
    <dxf>
      <font>
        <b/>
        <sz val="14"/>
        <color auto="1"/>
        <name val="Times New Roman"/>
        <scheme val="none"/>
      </font>
      <fill>
        <patternFill>
          <bgColor theme="4" tint="0.59999389629810485"/>
        </patternFill>
      </fill>
    </dxf>
  </rfmt>
  <rfmt sheetId="8" sqref="Q281" start="0" length="0">
    <dxf>
      <font>
        <b/>
        <sz val="14"/>
        <color auto="1"/>
        <name val="Times New Roman"/>
        <scheme val="none"/>
      </font>
      <fill>
        <patternFill>
          <bgColor theme="4" tint="0.59999389629810485"/>
        </patternFill>
      </fill>
    </dxf>
  </rfmt>
  <rfmt sheetId="8" sqref="R281" start="0" length="0">
    <dxf>
      <font>
        <b/>
        <sz val="14"/>
        <color auto="1"/>
        <name val="Times New Roman"/>
        <scheme val="none"/>
      </font>
      <fill>
        <patternFill>
          <bgColor theme="4" tint="0.59999389629810485"/>
        </patternFill>
      </fill>
    </dxf>
  </rfmt>
  <rfmt sheetId="8" sqref="S281" start="0" length="0">
    <dxf>
      <font>
        <b/>
        <sz val="14"/>
        <color auto="1"/>
        <name val="Times New Roman"/>
        <scheme val="none"/>
      </font>
      <fill>
        <patternFill>
          <bgColor theme="4" tint="0.59999389629810485"/>
        </patternFill>
      </fill>
    </dxf>
  </rfmt>
  <rfmt sheetId="8" sqref="T281" start="0" length="0">
    <dxf>
      <font>
        <b/>
        <sz val="14"/>
        <color auto="1"/>
        <name val="Times New Roman"/>
        <scheme val="none"/>
      </font>
      <fill>
        <patternFill>
          <bgColor theme="4" tint="0.59999389629810485"/>
        </patternFill>
      </fill>
    </dxf>
  </rfmt>
  <rfmt sheetId="8" sqref="U281" start="0" length="0">
    <dxf>
      <font>
        <b/>
        <sz val="14"/>
        <color auto="1"/>
        <name val="Times New Roman"/>
        <scheme val="none"/>
      </font>
      <fill>
        <patternFill>
          <bgColor theme="4" tint="0.59999389629810485"/>
        </patternFill>
      </fill>
    </dxf>
  </rfmt>
  <rfmt sheetId="8" sqref="V281" start="0" length="0">
    <dxf>
      <font>
        <b/>
        <sz val="14"/>
        <color auto="1"/>
        <name val="Times New Roman"/>
        <scheme val="none"/>
      </font>
      <fill>
        <patternFill>
          <bgColor theme="4" tint="0.59999389629810485"/>
        </patternFill>
      </fill>
    </dxf>
  </rfmt>
  <rfmt sheetId="8" sqref="W281" start="0" length="0">
    <dxf>
      <font>
        <b/>
        <sz val="14"/>
        <color auto="1"/>
        <name val="Times New Roman"/>
        <scheme val="none"/>
      </font>
      <fill>
        <patternFill>
          <bgColor theme="4" tint="0.59999389629810485"/>
        </patternFill>
      </fill>
    </dxf>
  </rfmt>
  <rfmt sheetId="8" sqref="X281" start="0" length="0">
    <dxf>
      <font>
        <b/>
        <sz val="14"/>
        <color auto="1"/>
        <name val="Times New Roman"/>
        <scheme val="none"/>
      </font>
      <fill>
        <patternFill>
          <bgColor theme="4" tint="0.59999389629810485"/>
        </patternFill>
      </fill>
    </dxf>
  </rfmt>
  <rfmt sheetId="8" sqref="Y281" start="0" length="0">
    <dxf>
      <font>
        <b/>
        <sz val="14"/>
        <color auto="1"/>
        <name val="Times New Roman"/>
        <scheme val="none"/>
      </font>
      <fill>
        <patternFill>
          <bgColor theme="4" tint="0.59999389629810485"/>
        </patternFill>
      </fill>
    </dxf>
  </rfmt>
  <rfmt sheetId="8" sqref="Z281" start="0" length="0">
    <dxf>
      <font>
        <b/>
        <sz val="14"/>
        <color auto="1"/>
        <name val="Times New Roman"/>
        <scheme val="none"/>
      </font>
      <fill>
        <patternFill>
          <bgColor theme="4" tint="0.59999389629810485"/>
        </patternFill>
      </fill>
    </dxf>
  </rfmt>
  <rfmt sheetId="8" sqref="AA281" start="0" length="0">
    <dxf>
      <font>
        <b/>
        <sz val="14"/>
        <color auto="1"/>
        <name val="Times New Roman"/>
        <scheme val="none"/>
      </font>
      <fill>
        <patternFill>
          <bgColor theme="4" tint="0.59999389629810485"/>
        </patternFill>
      </fill>
    </dxf>
  </rfmt>
  <rfmt sheetId="8" sqref="AB281" start="0" length="0">
    <dxf>
      <font>
        <b/>
        <sz val="14"/>
        <color auto="1"/>
        <name val="Times New Roman"/>
        <scheme val="none"/>
      </font>
      <fill>
        <patternFill>
          <bgColor theme="4" tint="0.59999389629810485"/>
        </patternFill>
      </fill>
    </dxf>
  </rfmt>
  <rfmt sheetId="8" sqref="AC281" start="0" length="0">
    <dxf>
      <font>
        <b/>
        <sz val="14"/>
        <color auto="1"/>
        <name val="Times New Roman"/>
        <scheme val="none"/>
      </font>
      <fill>
        <patternFill>
          <bgColor theme="4" tint="0.59999389629810485"/>
        </patternFill>
      </fill>
    </dxf>
  </rfmt>
  <rfmt sheetId="8" sqref="AD281" start="0" length="0">
    <dxf>
      <font>
        <b/>
        <sz val="14"/>
        <color auto="1"/>
        <name val="Times New Roman"/>
        <scheme val="none"/>
      </font>
      <fill>
        <patternFill>
          <bgColor theme="4" tint="0.59999389629810485"/>
        </patternFill>
      </fill>
    </dxf>
  </rfmt>
  <rfmt sheetId="8" sqref="AE281" start="0" length="0">
    <dxf>
      <font>
        <b/>
        <sz val="14"/>
        <color auto="1"/>
        <name val="Times New Roman"/>
        <scheme val="none"/>
      </font>
      <fill>
        <patternFill>
          <bgColor theme="4" tint="0.59999389629810485"/>
        </patternFill>
      </fill>
    </dxf>
  </rfmt>
  <rfmt sheetId="8" sqref="AF281" start="0" length="0">
    <dxf>
      <font>
        <b/>
        <sz val="14"/>
        <color auto="1"/>
        <name val="Times New Roman"/>
        <scheme val="none"/>
      </font>
      <numFmt numFmtId="168" formatCode="#,##0.00\ _₽"/>
      <fill>
        <patternFill>
          <bgColor theme="4" tint="0.59999389629810485"/>
        </patternFill>
      </fill>
      <alignment horizontal="right" vertical="top" wrapText="1" readingOrder="0"/>
    </dxf>
  </rfmt>
  <rrc rId="31218" sId="8" ref="A288:XFD288" action="insertRow">
    <undo index="0" exp="area" ref3D="1" dr="$H$1:$AC$1048576" dn="Z_533DC55B_6AD4_4674_9488_685EF2039F3E_.wvu.Cols" sId="8"/>
    <undo index="0" exp="area" ref3D="1" dr="$H$1:$AC$1048576" dn="Z_7C130984_112A_4861_AA43_E2940708E3DC_.wvu.Cols" sId="8"/>
  </rrc>
  <rfmt sheetId="8" sqref="A288" start="0" length="0">
    <dxf>
      <font>
        <b/>
        <sz val="14"/>
        <color auto="1"/>
        <name val="Times New Roman"/>
        <scheme val="none"/>
      </font>
      <fill>
        <patternFill>
          <bgColor theme="4" tint="0.59999389629810485"/>
        </patternFill>
      </fill>
    </dxf>
  </rfmt>
  <rfmt sheetId="8" sqref="B288" start="0" length="0">
    <dxf>
      <font>
        <b/>
        <sz val="14"/>
        <color auto="1"/>
        <name val="Times New Roman"/>
        <scheme val="none"/>
      </font>
      <fill>
        <patternFill>
          <bgColor theme="4" tint="0.59999389629810485"/>
        </patternFill>
      </fill>
    </dxf>
  </rfmt>
  <rfmt sheetId="8" sqref="C288" start="0" length="0">
    <dxf>
      <font>
        <b/>
        <sz val="14"/>
        <color auto="1"/>
        <name val="Times New Roman"/>
        <scheme val="none"/>
      </font>
      <fill>
        <patternFill>
          <bgColor theme="4" tint="0.59999389629810485"/>
        </patternFill>
      </fill>
    </dxf>
  </rfmt>
  <rfmt sheetId="8" sqref="D288" start="0" length="0">
    <dxf>
      <font>
        <b/>
        <sz val="14"/>
        <color auto="1"/>
        <name val="Times New Roman"/>
        <scheme val="none"/>
      </font>
      <fill>
        <patternFill>
          <bgColor theme="4" tint="0.59999389629810485"/>
        </patternFill>
      </fill>
    </dxf>
  </rfmt>
  <rfmt sheetId="8" sqref="E288" start="0" length="0">
    <dxf>
      <font>
        <b/>
        <sz val="14"/>
        <color auto="1"/>
        <name val="Times New Roman"/>
        <scheme val="none"/>
      </font>
      <fill>
        <patternFill>
          <bgColor theme="4" tint="0.59999389629810485"/>
        </patternFill>
      </fill>
    </dxf>
  </rfmt>
  <rfmt sheetId="8" sqref="F288" start="0" length="0">
    <dxf>
      <font>
        <b/>
        <sz val="14"/>
        <color auto="1"/>
        <name val="Times New Roman"/>
        <scheme val="none"/>
      </font>
      <fill>
        <patternFill>
          <bgColor theme="4" tint="0.59999389629810485"/>
        </patternFill>
      </fill>
    </dxf>
  </rfmt>
  <rfmt sheetId="8" sqref="G288" start="0" length="0">
    <dxf>
      <font>
        <b/>
        <sz val="14"/>
        <color auto="1"/>
        <name val="Times New Roman"/>
        <scheme val="none"/>
      </font>
      <fill>
        <patternFill>
          <bgColor theme="4" tint="0.59999389629810485"/>
        </patternFill>
      </fill>
    </dxf>
  </rfmt>
  <rfmt sheetId="8" sqref="H288" start="0" length="0">
    <dxf>
      <font>
        <b/>
        <sz val="14"/>
        <color auto="1"/>
        <name val="Times New Roman"/>
        <scheme val="none"/>
      </font>
      <fill>
        <patternFill>
          <bgColor theme="4" tint="0.59999389629810485"/>
        </patternFill>
      </fill>
    </dxf>
  </rfmt>
  <rfmt sheetId="8" sqref="I288" start="0" length="0">
    <dxf>
      <font>
        <b/>
        <sz val="14"/>
        <color auto="1"/>
        <name val="Times New Roman"/>
        <scheme val="none"/>
      </font>
      <fill>
        <patternFill>
          <bgColor theme="4" tint="0.59999389629810485"/>
        </patternFill>
      </fill>
    </dxf>
  </rfmt>
  <rfmt sheetId="8" sqref="J288" start="0" length="0">
    <dxf>
      <font>
        <b/>
        <sz val="14"/>
        <color auto="1"/>
        <name val="Times New Roman"/>
        <scheme val="none"/>
      </font>
      <fill>
        <patternFill>
          <bgColor theme="4" tint="0.59999389629810485"/>
        </patternFill>
      </fill>
    </dxf>
  </rfmt>
  <rfmt sheetId="8" sqref="K288" start="0" length="0">
    <dxf>
      <font>
        <b/>
        <sz val="14"/>
        <color auto="1"/>
        <name val="Times New Roman"/>
        <scheme val="none"/>
      </font>
      <fill>
        <patternFill>
          <bgColor theme="4" tint="0.59999389629810485"/>
        </patternFill>
      </fill>
    </dxf>
  </rfmt>
  <rfmt sheetId="8" sqref="L288" start="0" length="0">
    <dxf>
      <font>
        <b/>
        <sz val="14"/>
        <color auto="1"/>
        <name val="Times New Roman"/>
        <scheme val="none"/>
      </font>
      <fill>
        <patternFill>
          <bgColor theme="4" tint="0.59999389629810485"/>
        </patternFill>
      </fill>
    </dxf>
  </rfmt>
  <rfmt sheetId="8" sqref="M288" start="0" length="0">
    <dxf>
      <font>
        <b/>
        <sz val="14"/>
        <color auto="1"/>
        <name val="Times New Roman"/>
        <scheme val="none"/>
      </font>
      <fill>
        <patternFill>
          <bgColor theme="4" tint="0.59999389629810485"/>
        </patternFill>
      </fill>
    </dxf>
  </rfmt>
  <rfmt sheetId="8" sqref="N288" start="0" length="0">
    <dxf>
      <font>
        <b/>
        <sz val="14"/>
        <color auto="1"/>
        <name val="Times New Roman"/>
        <scheme val="none"/>
      </font>
      <fill>
        <patternFill>
          <bgColor theme="4" tint="0.59999389629810485"/>
        </patternFill>
      </fill>
    </dxf>
  </rfmt>
  <rfmt sheetId="8" sqref="O288" start="0" length="0">
    <dxf>
      <font>
        <b/>
        <sz val="14"/>
        <color auto="1"/>
        <name val="Times New Roman"/>
        <scheme val="none"/>
      </font>
      <fill>
        <patternFill>
          <bgColor theme="4" tint="0.59999389629810485"/>
        </patternFill>
      </fill>
    </dxf>
  </rfmt>
  <rfmt sheetId="8" sqref="P288" start="0" length="0">
    <dxf>
      <font>
        <b/>
        <sz val="14"/>
        <color auto="1"/>
        <name val="Times New Roman"/>
        <scheme val="none"/>
      </font>
      <fill>
        <patternFill>
          <bgColor theme="4" tint="0.59999389629810485"/>
        </patternFill>
      </fill>
    </dxf>
  </rfmt>
  <rfmt sheetId="8" sqref="Q288" start="0" length="0">
    <dxf>
      <font>
        <b/>
        <sz val="14"/>
        <color auto="1"/>
        <name val="Times New Roman"/>
        <scheme val="none"/>
      </font>
      <fill>
        <patternFill>
          <bgColor theme="4" tint="0.59999389629810485"/>
        </patternFill>
      </fill>
    </dxf>
  </rfmt>
  <rfmt sheetId="8" sqref="R288" start="0" length="0">
    <dxf>
      <font>
        <b/>
        <sz val="14"/>
        <color auto="1"/>
        <name val="Times New Roman"/>
        <scheme val="none"/>
      </font>
      <fill>
        <patternFill>
          <bgColor theme="4" tint="0.59999389629810485"/>
        </patternFill>
      </fill>
    </dxf>
  </rfmt>
  <rfmt sheetId="8" sqref="S288" start="0" length="0">
    <dxf>
      <font>
        <b/>
        <sz val="14"/>
        <color auto="1"/>
        <name val="Times New Roman"/>
        <scheme val="none"/>
      </font>
      <fill>
        <patternFill>
          <bgColor theme="4" tint="0.59999389629810485"/>
        </patternFill>
      </fill>
    </dxf>
  </rfmt>
  <rfmt sheetId="8" sqref="T288" start="0" length="0">
    <dxf>
      <font>
        <b/>
        <sz val="14"/>
        <color auto="1"/>
        <name val="Times New Roman"/>
        <scheme val="none"/>
      </font>
      <fill>
        <patternFill>
          <bgColor theme="4" tint="0.59999389629810485"/>
        </patternFill>
      </fill>
    </dxf>
  </rfmt>
  <rfmt sheetId="8" sqref="U288" start="0" length="0">
    <dxf>
      <font>
        <b/>
        <sz val="14"/>
        <color auto="1"/>
        <name val="Times New Roman"/>
        <scheme val="none"/>
      </font>
      <fill>
        <patternFill>
          <bgColor theme="4" tint="0.59999389629810485"/>
        </patternFill>
      </fill>
    </dxf>
  </rfmt>
  <rfmt sheetId="8" sqref="V288" start="0" length="0">
    <dxf>
      <font>
        <b/>
        <sz val="14"/>
        <color auto="1"/>
        <name val="Times New Roman"/>
        <scheme val="none"/>
      </font>
      <fill>
        <patternFill>
          <bgColor theme="4" tint="0.59999389629810485"/>
        </patternFill>
      </fill>
    </dxf>
  </rfmt>
  <rfmt sheetId="8" sqref="W288" start="0" length="0">
    <dxf>
      <font>
        <b/>
        <sz val="14"/>
        <color auto="1"/>
        <name val="Times New Roman"/>
        <scheme val="none"/>
      </font>
      <fill>
        <patternFill>
          <bgColor theme="4" tint="0.59999389629810485"/>
        </patternFill>
      </fill>
    </dxf>
  </rfmt>
  <rfmt sheetId="8" sqref="X288" start="0" length="0">
    <dxf>
      <font>
        <b/>
        <sz val="14"/>
        <color auto="1"/>
        <name val="Times New Roman"/>
        <scheme val="none"/>
      </font>
      <fill>
        <patternFill>
          <bgColor theme="4" tint="0.59999389629810485"/>
        </patternFill>
      </fill>
    </dxf>
  </rfmt>
  <rfmt sheetId="8" sqref="Y288" start="0" length="0">
    <dxf>
      <font>
        <b/>
        <sz val="14"/>
        <color auto="1"/>
        <name val="Times New Roman"/>
        <scheme val="none"/>
      </font>
      <fill>
        <patternFill>
          <bgColor theme="4" tint="0.59999389629810485"/>
        </patternFill>
      </fill>
    </dxf>
  </rfmt>
  <rfmt sheetId="8" sqref="Z288" start="0" length="0">
    <dxf>
      <font>
        <b/>
        <sz val="14"/>
        <color auto="1"/>
        <name val="Times New Roman"/>
        <scheme val="none"/>
      </font>
      <fill>
        <patternFill>
          <bgColor theme="4" tint="0.59999389629810485"/>
        </patternFill>
      </fill>
    </dxf>
  </rfmt>
  <rfmt sheetId="8" sqref="AA288" start="0" length="0">
    <dxf>
      <font>
        <b/>
        <sz val="14"/>
        <color auto="1"/>
        <name val="Times New Roman"/>
        <scheme val="none"/>
      </font>
      <fill>
        <patternFill>
          <bgColor theme="4" tint="0.59999389629810485"/>
        </patternFill>
      </fill>
    </dxf>
  </rfmt>
  <rfmt sheetId="8" sqref="AB288" start="0" length="0">
    <dxf>
      <font>
        <b/>
        <sz val="14"/>
        <color auto="1"/>
        <name val="Times New Roman"/>
        <scheme val="none"/>
      </font>
      <fill>
        <patternFill>
          <bgColor theme="4" tint="0.59999389629810485"/>
        </patternFill>
      </fill>
    </dxf>
  </rfmt>
  <rfmt sheetId="8" sqref="AC288" start="0" length="0">
    <dxf>
      <font>
        <b/>
        <sz val="14"/>
        <color auto="1"/>
        <name val="Times New Roman"/>
        <scheme val="none"/>
      </font>
      <fill>
        <patternFill>
          <bgColor theme="4" tint="0.59999389629810485"/>
        </patternFill>
      </fill>
    </dxf>
  </rfmt>
  <rfmt sheetId="8" sqref="AD288" start="0" length="0">
    <dxf>
      <font>
        <b/>
        <sz val="14"/>
        <color auto="1"/>
        <name val="Times New Roman"/>
        <scheme val="none"/>
      </font>
      <fill>
        <patternFill>
          <bgColor theme="4" tint="0.59999389629810485"/>
        </patternFill>
      </fill>
    </dxf>
  </rfmt>
  <rfmt sheetId="8" sqref="AE288" start="0" length="0">
    <dxf>
      <font>
        <b/>
        <sz val="14"/>
        <color auto="1"/>
        <name val="Times New Roman"/>
        <scheme val="none"/>
      </font>
      <fill>
        <patternFill>
          <bgColor theme="4" tint="0.59999389629810485"/>
        </patternFill>
      </fill>
    </dxf>
  </rfmt>
  <rfmt sheetId="8" sqref="AF288" start="0" length="0">
    <dxf>
      <font>
        <b/>
        <sz val="14"/>
        <color auto="1"/>
        <name val="Times New Roman"/>
        <scheme val="none"/>
      </font>
      <numFmt numFmtId="168" formatCode="#,##0.00\ _₽"/>
      <fill>
        <patternFill>
          <bgColor theme="4" tint="0.59999389629810485"/>
        </patternFill>
      </fill>
      <alignment horizontal="right" vertical="top" wrapText="1" readingOrder="0"/>
    </dxf>
  </rfmt>
  <rcc rId="31219" sId="8">
    <nc r="A288" t="inlineStr">
      <is>
        <t>в т.ч. бюджет города Когалыма в части софинансирования</t>
      </is>
    </nc>
  </rcc>
  <rfmt sheetId="8" sqref="A281">
    <dxf>
      <fill>
        <patternFill>
          <bgColor rgb="FFFFFF00"/>
        </patternFill>
      </fill>
    </dxf>
  </rfmt>
  <rfmt sheetId="8" sqref="A288">
    <dxf>
      <fill>
        <patternFill>
          <bgColor rgb="FFFFFF00"/>
        </patternFill>
      </fill>
    </dxf>
  </rfmt>
  <rcc rId="31220" sId="8" numFmtId="4">
    <nc r="X281">
      <v>45.2</v>
    </nc>
  </rcc>
  <rfmt sheetId="8" sqref="X281">
    <dxf>
      <fill>
        <patternFill>
          <bgColor rgb="FFFFFF00"/>
        </patternFill>
      </fill>
    </dxf>
  </rfmt>
  <rcc rId="31221" sId="8">
    <nc r="B281">
      <f>H281+J281+L281+N281+P281+R281+T281+V281+X281+Z281+AB281+AD281</f>
    </nc>
  </rcc>
  <rcc rId="31222" sId="8">
    <nc r="C281">
      <f>H281+J281+L281+N281+P281+R281+T281+V281+X281+Z281+AB281+AD281</f>
    </nc>
  </rcc>
  <rcc rId="31223" sId="8">
    <nc r="E281">
      <f>I281+K281+M281+O281+Q281+S281+U281+W281+Y281+AA281+AC281+AE281</f>
    </nc>
  </rcc>
  <rcc rId="31224" sId="8">
    <nc r="D281">
      <f>E281</f>
    </nc>
  </rcc>
  <rcc rId="31225" sId="8">
    <nc r="F281">
      <f>IFERROR(E281/B281*100,0)</f>
    </nc>
  </rcc>
  <rcc rId="31226" sId="8">
    <nc r="G281">
      <f>IFERROR(E281/C281*100,0)</f>
    </nc>
  </rcc>
  <rcc rId="31227" sId="8">
    <nc r="AK281">
      <f>B281-E281</f>
    </nc>
  </rcc>
  <rcc rId="31228" sId="8" numFmtId="4">
    <nc r="Y281">
      <v>45.2</v>
    </nc>
  </rcc>
  <rfmt sheetId="8" sqref="Y281">
    <dxf>
      <fill>
        <patternFill>
          <bgColor rgb="FFFFFF00"/>
        </patternFill>
      </fill>
    </dxf>
  </rfmt>
  <rfmt sheetId="8" sqref="B281:G281">
    <dxf>
      <fill>
        <patternFill>
          <bgColor rgb="FFFFFF00"/>
        </patternFill>
      </fill>
    </dxf>
  </rfmt>
  <rcc rId="31229" sId="8" numFmtId="4">
    <nc r="V288">
      <v>104.5</v>
    </nc>
  </rcc>
  <rcc rId="31230" sId="8" numFmtId="4">
    <nc r="W288">
      <v>104.5</v>
    </nc>
  </rcc>
  <rcc rId="31231" sId="8" odxf="1" dxf="1">
    <nc r="B288">
      <f>H288+J288+L288+N288+P288+R288+T288+V288+X288+Z288+AB288+AD288</f>
    </nc>
    <ndxf>
      <fill>
        <patternFill>
          <bgColor rgb="FFFFFF00"/>
        </patternFill>
      </fill>
    </ndxf>
  </rcc>
  <rcc rId="31232" sId="8" odxf="1" dxf="1">
    <nc r="C288">
      <f>H288+J288+L288+N288+P288+R288+T288+V288+X288+Z288+AB288+AD288</f>
    </nc>
    <ndxf>
      <fill>
        <patternFill>
          <bgColor rgb="FFFFFF00"/>
        </patternFill>
      </fill>
    </ndxf>
  </rcc>
  <rcc rId="31233" sId="8" odxf="1" dxf="1">
    <nc r="D288">
      <f>E288</f>
    </nc>
    <ndxf>
      <fill>
        <patternFill>
          <bgColor rgb="FFFFFF00"/>
        </patternFill>
      </fill>
    </ndxf>
  </rcc>
  <rcc rId="31234" sId="8" odxf="1" dxf="1">
    <nc r="E288">
      <f>I288+K288+M288+O288+Q288+S288+U288+W288+Y288+AA288+AC288+AE288</f>
    </nc>
    <ndxf>
      <fill>
        <patternFill>
          <bgColor rgb="FFFFFF00"/>
        </patternFill>
      </fill>
    </ndxf>
  </rcc>
  <rcc rId="31235" sId="8" odxf="1" dxf="1">
    <nc r="F288">
      <f>IFERROR(E288/B288*100,0)</f>
    </nc>
    <ndxf>
      <fill>
        <patternFill>
          <bgColor rgb="FFFFFF00"/>
        </patternFill>
      </fill>
    </ndxf>
  </rcc>
  <rcc rId="31236" sId="8" odxf="1" dxf="1">
    <nc r="G288">
      <f>IFERROR(E288/C288*100,0)</f>
    </nc>
    <ndxf>
      <fill>
        <patternFill>
          <bgColor rgb="FFFFFF00"/>
        </patternFill>
      </fill>
    </ndxf>
  </rcc>
  <rcmt sheetId="8" cell="B288" guid="{00000000-0000-0000-0000-000000000000}" action="delete" author="Степаненко Наталья Алексеевна"/>
  <rcmt sheetId="8" cell="B281" guid="{00000000-0000-0000-0000-000000000000}" action="delete" author="Степаненко Наталья Алексеевна"/>
  <rfmt sheetId="8" sqref="V288:W288">
    <dxf>
      <fill>
        <patternFill>
          <bgColor rgb="FFFFFF00"/>
        </patternFill>
      </fill>
    </dxf>
  </rfmt>
  <rcc rId="31237" sId="8">
    <oc r="B294">
      <f>B35+B54</f>
    </oc>
    <nc r="B294">
      <f>B35+B54+B62+B281+B288</f>
    </nc>
  </rcc>
  <rcc rId="31238" sId="8">
    <oc r="C294">
      <f>C35+C54</f>
    </oc>
    <nc r="C294">
      <f>C35+C54+C62+C281+C288</f>
    </nc>
  </rcc>
  <rcc rId="31239" sId="8" odxf="1" dxf="1">
    <oc r="D294">
      <f>D35+D54</f>
    </oc>
    <nc r="D294">
      <f>D35+D54+D62+D281+D288</f>
    </nc>
    <odxf>
      <fill>
        <patternFill>
          <bgColor theme="4" tint="0.59999389629810485"/>
        </patternFill>
      </fill>
    </odxf>
    <ndxf>
      <fill>
        <patternFill>
          <bgColor rgb="FFFF0000"/>
        </patternFill>
      </fill>
    </ndxf>
  </rcc>
  <rcc rId="31240" sId="8" odxf="1" dxf="1">
    <oc r="E294">
      <f>E35+E54</f>
    </oc>
    <nc r="E294">
      <f>E35+E54+E62+E281+E288</f>
    </nc>
    <odxf>
      <fill>
        <patternFill>
          <bgColor theme="4" tint="0.59999389629810485"/>
        </patternFill>
      </fill>
    </odxf>
    <ndxf>
      <fill>
        <patternFill>
          <bgColor rgb="FFFF0000"/>
        </patternFill>
      </fill>
    </ndxf>
  </rcc>
  <rfmt sheetId="8" sqref="B294:E294">
    <dxf>
      <fill>
        <patternFill>
          <bgColor rgb="FFFFFF00"/>
        </patternFill>
      </fill>
    </dxf>
  </rfmt>
  <rrc rId="31241" sId="8" ref="A300:XFD300" action="insertRow">
    <undo index="0" exp="area" ref3D="1" dr="$H$1:$AC$1048576" dn="Z_533DC55B_6AD4_4674_9488_685EF2039F3E_.wvu.Cols" sId="8"/>
    <undo index="0" exp="area" ref3D="1" dr="$H$1:$AC$1048576" dn="Z_7C130984_112A_4861_AA43_E2940708E3DC_.wvu.Cols" sId="8"/>
  </rrc>
  <rfmt sheetId="8" sqref="A300" start="0" length="0">
    <dxf>
      <font>
        <b/>
        <sz val="14"/>
        <color auto="1"/>
        <name val="Times New Roman"/>
        <scheme val="none"/>
      </font>
      <fill>
        <patternFill>
          <bgColor theme="4" tint="0.59999389629810485"/>
        </patternFill>
      </fill>
      <alignment vertical="top" readingOrder="0"/>
    </dxf>
  </rfmt>
  <rfmt sheetId="8" sqref="B300" start="0" length="0">
    <dxf>
      <font>
        <b/>
        <sz val="14"/>
        <color auto="1"/>
        <name val="Times New Roman"/>
        <scheme val="none"/>
      </font>
      <fill>
        <patternFill>
          <bgColor theme="4" tint="0.59999389629810485"/>
        </patternFill>
      </fill>
    </dxf>
  </rfmt>
  <rfmt sheetId="8" sqref="C300" start="0" length="0">
    <dxf>
      <font>
        <b/>
        <sz val="14"/>
        <color auto="1"/>
        <name val="Times New Roman"/>
        <scheme val="none"/>
      </font>
      <fill>
        <patternFill>
          <bgColor theme="4" tint="0.59999389629810485"/>
        </patternFill>
      </fill>
    </dxf>
  </rfmt>
  <rfmt sheetId="8" sqref="D300" start="0" length="0">
    <dxf>
      <font>
        <b/>
        <sz val="14"/>
        <color auto="1"/>
        <name val="Times New Roman"/>
        <scheme val="none"/>
      </font>
      <fill>
        <patternFill>
          <bgColor theme="4" tint="0.59999389629810485"/>
        </patternFill>
      </fill>
    </dxf>
  </rfmt>
  <rfmt sheetId="8" sqref="E300" start="0" length="0">
    <dxf>
      <font>
        <b/>
        <sz val="14"/>
        <color auto="1"/>
        <name val="Times New Roman"/>
        <scheme val="none"/>
      </font>
      <fill>
        <patternFill>
          <bgColor theme="4" tint="0.59999389629810485"/>
        </patternFill>
      </fill>
    </dxf>
  </rfmt>
  <rfmt sheetId="8" sqref="F300" start="0" length="0">
    <dxf>
      <font>
        <b/>
        <sz val="14"/>
        <color auto="1"/>
        <name val="Times New Roman"/>
        <scheme val="none"/>
      </font>
      <fill>
        <patternFill>
          <bgColor theme="4" tint="0.59999389629810485"/>
        </patternFill>
      </fill>
    </dxf>
  </rfmt>
  <rfmt sheetId="8" sqref="G300" start="0" length="0">
    <dxf>
      <font>
        <b/>
        <sz val="14"/>
        <color auto="1"/>
        <name val="Times New Roman"/>
        <scheme val="none"/>
      </font>
      <fill>
        <patternFill>
          <bgColor theme="4" tint="0.59999389629810485"/>
        </patternFill>
      </fill>
    </dxf>
  </rfmt>
  <rfmt sheetId="8" sqref="H300" start="0" length="0">
    <dxf>
      <font>
        <b/>
        <sz val="14"/>
        <color auto="1"/>
        <name val="Times New Roman"/>
        <scheme val="none"/>
      </font>
      <fill>
        <patternFill>
          <bgColor theme="4" tint="0.59999389629810485"/>
        </patternFill>
      </fill>
    </dxf>
  </rfmt>
  <rfmt sheetId="8" sqref="I300" start="0" length="0">
    <dxf>
      <font>
        <b/>
        <sz val="14"/>
        <color auto="1"/>
        <name val="Times New Roman"/>
        <scheme val="none"/>
      </font>
      <fill>
        <patternFill>
          <bgColor theme="4" tint="0.59999389629810485"/>
        </patternFill>
      </fill>
    </dxf>
  </rfmt>
  <rfmt sheetId="8" sqref="J300" start="0" length="0">
    <dxf>
      <font>
        <b/>
        <sz val="14"/>
        <color auto="1"/>
        <name val="Times New Roman"/>
        <scheme val="none"/>
      </font>
      <fill>
        <patternFill>
          <bgColor theme="4" tint="0.59999389629810485"/>
        </patternFill>
      </fill>
    </dxf>
  </rfmt>
  <rfmt sheetId="8" sqref="K300" start="0" length="0">
    <dxf>
      <font>
        <b/>
        <sz val="14"/>
        <color auto="1"/>
        <name val="Times New Roman"/>
        <scheme val="none"/>
      </font>
      <fill>
        <patternFill>
          <bgColor theme="4" tint="0.59999389629810485"/>
        </patternFill>
      </fill>
    </dxf>
  </rfmt>
  <rfmt sheetId="8" sqref="L300" start="0" length="0">
    <dxf>
      <font>
        <b/>
        <sz val="14"/>
        <color auto="1"/>
        <name val="Times New Roman"/>
        <scheme val="none"/>
      </font>
      <fill>
        <patternFill>
          <bgColor theme="4" tint="0.59999389629810485"/>
        </patternFill>
      </fill>
    </dxf>
  </rfmt>
  <rfmt sheetId="8" sqref="M300" start="0" length="0">
    <dxf>
      <font>
        <b/>
        <sz val="14"/>
        <color auto="1"/>
        <name val="Times New Roman"/>
        <scheme val="none"/>
      </font>
      <fill>
        <patternFill>
          <bgColor theme="4" tint="0.59999389629810485"/>
        </patternFill>
      </fill>
    </dxf>
  </rfmt>
  <rfmt sheetId="8" sqref="N300" start="0" length="0">
    <dxf>
      <font>
        <b/>
        <sz val="14"/>
        <color auto="1"/>
        <name val="Times New Roman"/>
        <scheme val="none"/>
      </font>
      <fill>
        <patternFill>
          <bgColor theme="4" tint="0.59999389629810485"/>
        </patternFill>
      </fill>
    </dxf>
  </rfmt>
  <rfmt sheetId="8" sqref="O300" start="0" length="0">
    <dxf>
      <font>
        <b/>
        <sz val="14"/>
        <color auto="1"/>
        <name val="Times New Roman"/>
        <scheme val="none"/>
      </font>
      <fill>
        <patternFill>
          <bgColor theme="4" tint="0.59999389629810485"/>
        </patternFill>
      </fill>
    </dxf>
  </rfmt>
  <rfmt sheetId="8" sqref="P300" start="0" length="0">
    <dxf>
      <font>
        <b/>
        <sz val="14"/>
        <color auto="1"/>
        <name val="Times New Roman"/>
        <scheme val="none"/>
      </font>
      <fill>
        <patternFill>
          <bgColor theme="4" tint="0.59999389629810485"/>
        </patternFill>
      </fill>
    </dxf>
  </rfmt>
  <rfmt sheetId="8" sqref="Q300" start="0" length="0">
    <dxf>
      <font>
        <b/>
        <sz val="14"/>
        <color auto="1"/>
        <name val="Times New Roman"/>
        <scheme val="none"/>
      </font>
      <fill>
        <patternFill>
          <bgColor theme="4" tint="0.59999389629810485"/>
        </patternFill>
      </fill>
    </dxf>
  </rfmt>
  <rfmt sheetId="8" sqref="R300" start="0" length="0">
    <dxf>
      <font>
        <b/>
        <sz val="14"/>
        <color auto="1"/>
        <name val="Times New Roman"/>
        <scheme val="none"/>
      </font>
      <fill>
        <patternFill>
          <bgColor theme="4" tint="0.59999389629810485"/>
        </patternFill>
      </fill>
    </dxf>
  </rfmt>
  <rfmt sheetId="8" sqref="S300" start="0" length="0">
    <dxf>
      <font>
        <b/>
        <sz val="14"/>
        <color auto="1"/>
        <name val="Times New Roman"/>
        <scheme val="none"/>
      </font>
      <fill>
        <patternFill>
          <bgColor theme="4" tint="0.59999389629810485"/>
        </patternFill>
      </fill>
    </dxf>
  </rfmt>
  <rfmt sheetId="8" sqref="T300" start="0" length="0">
    <dxf>
      <font>
        <b/>
        <sz val="14"/>
        <color auto="1"/>
        <name val="Times New Roman"/>
        <scheme val="none"/>
      </font>
      <fill>
        <patternFill>
          <bgColor theme="4" tint="0.59999389629810485"/>
        </patternFill>
      </fill>
    </dxf>
  </rfmt>
  <rfmt sheetId="8" sqref="U300" start="0" length="0">
    <dxf>
      <font>
        <b/>
        <sz val="14"/>
        <color auto="1"/>
        <name val="Times New Roman"/>
        <scheme val="none"/>
      </font>
      <fill>
        <patternFill>
          <bgColor theme="4" tint="0.59999389629810485"/>
        </patternFill>
      </fill>
    </dxf>
  </rfmt>
  <rfmt sheetId="8" sqref="V300" start="0" length="0">
    <dxf>
      <font>
        <b/>
        <sz val="14"/>
        <color auto="1"/>
        <name val="Times New Roman"/>
        <scheme val="none"/>
      </font>
      <fill>
        <patternFill>
          <bgColor theme="4" tint="0.59999389629810485"/>
        </patternFill>
      </fill>
    </dxf>
  </rfmt>
  <rfmt sheetId="8" sqref="W300" start="0" length="0">
    <dxf>
      <font>
        <b/>
        <sz val="14"/>
        <color auto="1"/>
        <name val="Times New Roman"/>
        <scheme val="none"/>
      </font>
      <fill>
        <patternFill>
          <bgColor theme="4" tint="0.59999389629810485"/>
        </patternFill>
      </fill>
    </dxf>
  </rfmt>
  <rfmt sheetId="8" sqref="X300" start="0" length="0">
    <dxf>
      <font>
        <b/>
        <sz val="14"/>
        <color auto="1"/>
        <name val="Times New Roman"/>
        <scheme val="none"/>
      </font>
      <fill>
        <patternFill>
          <bgColor theme="4" tint="0.59999389629810485"/>
        </patternFill>
      </fill>
    </dxf>
  </rfmt>
  <rfmt sheetId="8" sqref="Y300" start="0" length="0">
    <dxf>
      <font>
        <b/>
        <sz val="14"/>
        <color auto="1"/>
        <name val="Times New Roman"/>
        <scheme val="none"/>
      </font>
      <fill>
        <patternFill>
          <bgColor theme="4" tint="0.59999389629810485"/>
        </patternFill>
      </fill>
    </dxf>
  </rfmt>
  <rfmt sheetId="8" sqref="Z300" start="0" length="0">
    <dxf>
      <font>
        <b/>
        <sz val="14"/>
        <color auto="1"/>
        <name val="Times New Roman"/>
        <scheme val="none"/>
      </font>
      <fill>
        <patternFill>
          <bgColor theme="4" tint="0.59999389629810485"/>
        </patternFill>
      </fill>
    </dxf>
  </rfmt>
  <rfmt sheetId="8" sqref="AA300" start="0" length="0">
    <dxf>
      <font>
        <b/>
        <sz val="14"/>
        <color auto="1"/>
        <name val="Times New Roman"/>
        <scheme val="none"/>
      </font>
      <fill>
        <patternFill>
          <bgColor theme="4" tint="0.59999389629810485"/>
        </patternFill>
      </fill>
    </dxf>
  </rfmt>
  <rfmt sheetId="8" sqref="AB300" start="0" length="0">
    <dxf>
      <font>
        <b/>
        <sz val="14"/>
        <color auto="1"/>
        <name val="Times New Roman"/>
        <scheme val="none"/>
      </font>
      <fill>
        <patternFill>
          <bgColor theme="4" tint="0.59999389629810485"/>
        </patternFill>
      </fill>
    </dxf>
  </rfmt>
  <rfmt sheetId="8" sqref="AC300" start="0" length="0">
    <dxf>
      <font>
        <b/>
        <sz val="14"/>
        <color auto="1"/>
        <name val="Times New Roman"/>
        <scheme val="none"/>
      </font>
      <fill>
        <patternFill>
          <bgColor theme="4" tint="0.59999389629810485"/>
        </patternFill>
      </fill>
    </dxf>
  </rfmt>
  <rfmt sheetId="8" sqref="AD300" start="0" length="0">
    <dxf>
      <font>
        <b/>
        <sz val="14"/>
        <color auto="1"/>
        <name val="Times New Roman"/>
        <scheme val="none"/>
      </font>
      <fill>
        <patternFill>
          <bgColor theme="4" tint="0.59999389629810485"/>
        </patternFill>
      </fill>
    </dxf>
  </rfmt>
  <rfmt sheetId="8" sqref="AE300" start="0" length="0">
    <dxf>
      <font>
        <b/>
        <sz val="14"/>
        <color auto="1"/>
        <name val="Times New Roman"/>
        <scheme val="none"/>
      </font>
      <fill>
        <patternFill>
          <bgColor theme="4" tint="0.59999389629810485"/>
        </patternFill>
      </fill>
    </dxf>
  </rfmt>
  <rfmt sheetId="8" sqref="AF300" start="0" length="0">
    <dxf>
      <font>
        <b/>
        <sz val="14"/>
        <color auto="1"/>
        <name val="Times New Roman"/>
        <scheme val="none"/>
      </font>
      <fill>
        <patternFill>
          <bgColor theme="4" tint="0.59999389629810485"/>
        </patternFill>
      </fill>
    </dxf>
  </rfmt>
  <rcc rId="31242" sId="8">
    <nc r="A300" t="inlineStr">
      <is>
        <t>в т.ч. бюджет города Когалыма в части софинансирования</t>
      </is>
    </nc>
  </rcc>
  <rfmt sheetId="8" sqref="A300">
    <dxf>
      <fill>
        <patternFill>
          <bgColor rgb="FFFFFF00"/>
        </patternFill>
      </fill>
    </dxf>
  </rfmt>
  <rcmt sheetId="8" cell="A281" guid="{124EC108-8D1C-4D33-B70A-EB352ACE97BC}" author="Степаненко Наталья Алексеевна" newLength="62"/>
  <rcmt sheetId="8" cell="A288" guid="{CFF5422D-4B0A-4394-AB40-0BEE893363EA}" author="Степаненко Наталья Алексеевна" newLength="62"/>
  <rcmt sheetId="8" cell="B294" guid="{F03EFDEB-F5AA-41E5-8D68-57AB41717EDA}" author="Степаненко Наталья Алексеевна" oldLength="86" newLength="38"/>
  <rdn rId="0" localSheetId="8" customView="1" name="Z_533DC55B_6AD4_4674_9488_685EF2039F3E_.wvu.Cols" hidden="1" oldHidden="1">
    <oldFormula>'7.МП КП'!$H:$AC</oldFormula>
  </rdn>
  <rcv guid="{533DC55B-6AD4-4674-9488-685EF2039F3E}" action="delete"/>
  <rdn rId="0" localSheetId="2" customView="1" name="Z_533DC55B_6AD4_4674_9488_685EF2039F3E_.wvu.Rows" hidden="1" oldHidden="1">
    <formula>'1.СЗН'!$70:$74</formula>
    <oldFormula>'1.СЗН'!$70:$74</oldFormula>
  </rdn>
  <rdn rId="0" localSheetId="2" customView="1" name="Z_533DC55B_6AD4_4674_9488_685EF2039F3E_.wvu.FilterData" hidden="1" oldHidden="1">
    <formula>'1.СЗН'!$A$1:$AF$64</formula>
    <oldFormula>'1.СЗН'!$A$1:$AF$64</oldFormula>
  </rdn>
  <rdn rId="0" localSheetId="3" customView="1" name="Z_533DC55B_6AD4_4674_9488_685EF2039F3E_.wvu.FilterData" hidden="1" oldHidden="1">
    <formula>'2.АПК'!$A$1:$AF$36</formula>
    <oldFormula>'2.АПК'!$A$1:$AF$36</oldFormula>
  </rdn>
  <rdn rId="0" localSheetId="4" customView="1" name="Z_533DC55B_6AD4_4674_9488_685EF2039F3E_.wvu.FilterData" hidden="1" oldHidden="1">
    <formula>'3.БЖД'!$A$1:$AF$17</formula>
    <oldFormula>'3.БЖД'!$A$1:$AF$17</oldFormula>
  </rdn>
  <rdn rId="0" localSheetId="5" customView="1" name="Z_533DC55B_6AD4_4674_9488_685EF2039F3E_.wvu.FilterData" hidden="1" oldHidden="1">
    <formula>'4.УМИ'!$A$1:$AF$11</formula>
    <oldFormula>'4.УМИ'!$A$1:$AF$11</oldFormula>
  </rdn>
  <rdn rId="0" localSheetId="6" customView="1" name="Z_533DC55B_6AD4_4674_9488_685EF2039F3E_.wvu.FilterData" hidden="1" oldHidden="1">
    <formula>'5.Проф. прав.'!$A$1:$AF$12</formula>
    <oldFormula>'5.Проф. прав.'!$A$1:$AF$12</oldFormula>
  </rdn>
  <rdn rId="0" localSheetId="7" customView="1" name="Z_533DC55B_6AD4_4674_9488_685EF2039F3E_.wvu.Rows" hidden="1" oldHidden="1">
    <formula>'6.Экстримизм'!$9:$23,'6.Экстримизм'!$30:$38,'6.Экстримизм'!$44:$49,'6.Экстримизм'!$65:$67,'6.Экстримизм'!$71:$76,'6.Экстримизм'!$86:$88,'6.Экстримизм'!$95:$97</formula>
    <oldFormula>'6.Экстримизм'!$9:$23,'6.Экстримизм'!$30:$38,'6.Экстримизм'!$44:$49,'6.Экстримизм'!$65:$67,'6.Экстримизм'!$71:$76,'6.Экстримизм'!$86:$88,'6.Экстримизм'!$95:$97</oldFormula>
  </rdn>
  <rdn rId="0" localSheetId="7" customView="1" name="Z_533DC55B_6AD4_4674_9488_685EF2039F3E_.wvu.FilterData" hidden="1" oldHidden="1">
    <formula>'6.Экстримизм'!$A$1:$AF$11</formula>
    <oldFormula>'6.Экстримизм'!$A$1:$AF$11</oldFormula>
  </rdn>
  <rdn rId="0" localSheetId="14" customView="1" name="Z_533DC55B_6AD4_4674_9488_685EF2039F3E_.wvu.FilterData" hidden="1" oldHidden="1">
    <formula>'11.МП РО'!$A$7:$AP$125</formula>
    <oldFormula>'11.МП РО'!$A$7:$AP$125</oldFormula>
  </rdn>
  <rdn rId="0" localSheetId="17" customView="1" name="Z_533DC55B_6AD4_4674_9488_685EF2039F3E_.wvu.Rows" hidden="1" oldHidden="1">
    <formula>'13.МП РЖС'!$122:$127</formula>
    <oldFormula>'13.МП РЖС'!$122:$127</oldFormula>
  </rdn>
  <rdn rId="0" localSheetId="17" customView="1" name="Z_533DC55B_6AD4_4674_9488_685EF2039F3E_.wvu.Cols" hidden="1" oldHidden="1">
    <formula>'13.МП РЖС'!$AG:$AG</formula>
    <oldFormula>'13.МП РЖС'!$AG:$AG</oldFormula>
  </rdn>
  <rcv guid="{533DC55B-6AD4-4674-9488-685EF2039F3E}"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1255" sId="8" ref="A23:XFD36" action="insertRow">
    <undo index="0" exp="area" ref3D="1" dr="$H$1:$AC$1048576" dn="Z_7C130984_112A_4861_AA43_E2940708E3DC_.wvu.Cols" sId="8"/>
  </rrc>
  <rm rId="31256" sheetId="8" source="A289:XFD302" destination="A23:XFD36" sourceSheetId="8">
    <rfmt sheetId="8" xfDxf="1" sqref="A23:XFD23" start="0" length="0">
      <dxf>
        <font>
          <sz val="14"/>
          <name val="Times New Roman"/>
          <scheme val="none"/>
        </font>
      </dxf>
    </rfmt>
    <rfmt sheetId="8" xfDxf="1" sqref="A24:XFD24" start="0" length="0">
      <dxf>
        <font>
          <sz val="14"/>
          <name val="Times New Roman"/>
          <scheme val="none"/>
        </font>
      </dxf>
    </rfmt>
    <rfmt sheetId="8" xfDxf="1" sqref="A25:XFD25" start="0" length="0">
      <dxf>
        <font>
          <sz val="14"/>
          <name val="Times New Roman"/>
          <scheme val="none"/>
        </font>
      </dxf>
    </rfmt>
    <rfmt sheetId="8" xfDxf="1" sqref="A26:XFD26" start="0" length="0">
      <dxf>
        <font>
          <sz val="14"/>
          <name val="Times New Roman"/>
          <scheme val="none"/>
        </font>
      </dxf>
    </rfmt>
    <rfmt sheetId="8" xfDxf="1" sqref="A27:XFD27" start="0" length="0">
      <dxf>
        <font>
          <sz val="14"/>
          <name val="Times New Roman"/>
          <scheme val="none"/>
        </font>
      </dxf>
    </rfmt>
    <rfmt sheetId="8" xfDxf="1" sqref="A28:XFD28" start="0" length="0">
      <dxf>
        <font>
          <sz val="14"/>
          <name val="Times New Roman"/>
          <scheme val="none"/>
        </font>
      </dxf>
    </rfmt>
    <rfmt sheetId="8" xfDxf="1" sqref="A29:XFD29" start="0" length="0">
      <dxf>
        <font>
          <sz val="14"/>
          <name val="Times New Roman"/>
          <scheme val="none"/>
        </font>
      </dxf>
    </rfmt>
    <rfmt sheetId="8" xfDxf="1" sqref="A30:XFD30" start="0" length="0">
      <dxf>
        <font>
          <sz val="14"/>
          <name val="Times New Roman"/>
          <scheme val="none"/>
        </font>
      </dxf>
    </rfmt>
    <rfmt sheetId="8" xfDxf="1" sqref="A31:XFD31" start="0" length="0">
      <dxf>
        <font>
          <sz val="14"/>
          <name val="Times New Roman"/>
          <scheme val="none"/>
        </font>
      </dxf>
    </rfmt>
    <rfmt sheetId="8" xfDxf="1" sqref="A32:XFD32" start="0" length="0">
      <dxf>
        <font>
          <sz val="14"/>
          <name val="Times New Roman"/>
          <scheme val="none"/>
        </font>
      </dxf>
    </rfmt>
    <rfmt sheetId="8" xfDxf="1" sqref="A33:XFD33" start="0" length="0">
      <dxf>
        <font>
          <sz val="14"/>
          <name val="Times New Roman"/>
          <scheme val="none"/>
        </font>
      </dxf>
    </rfmt>
    <rfmt sheetId="8" xfDxf="1" sqref="A34:XFD34" start="0" length="0">
      <dxf>
        <font>
          <sz val="14"/>
          <name val="Times New Roman"/>
          <scheme val="none"/>
        </font>
      </dxf>
    </rfmt>
    <rfmt sheetId="8" xfDxf="1" sqref="A35:XFD35" start="0" length="0">
      <dxf>
        <font>
          <sz val="14"/>
          <name val="Times New Roman"/>
          <scheme val="none"/>
        </font>
      </dxf>
    </rfmt>
    <rfmt sheetId="8" xfDxf="1" sqref="A36:XFD36" start="0" length="0">
      <dxf>
        <font>
          <sz val="14"/>
          <name val="Times New Roman"/>
          <scheme val="none"/>
        </font>
      </dxf>
    </rfmt>
    <rfmt sheetId="8" sqref="A23" start="0" length="0">
      <dxf>
        <font>
          <sz val="14"/>
          <color auto="1"/>
          <name val="Times New Roman"/>
          <scheme val="none"/>
        </font>
        <numFmt numFmtId="167" formatCode="#,##0.000\ _₽"/>
        <fill>
          <patternFill patternType="solid">
            <bgColor theme="7" tint="0.79998168889431442"/>
          </patternFill>
        </fill>
        <alignment horizontal="left" vertical="top" wrapText="1" readingOrder="0"/>
        <border outline="0">
          <left style="thin">
            <color indexed="64"/>
          </left>
          <top style="thin">
            <color indexed="64"/>
          </top>
          <bottom style="thin">
            <color indexed="64"/>
          </bottom>
        </border>
      </dxf>
    </rfmt>
    <rfmt sheetId="8" sqref="B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C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D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E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F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G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H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I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J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K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L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M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N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O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P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Q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R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S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T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U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V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W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X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Y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Z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A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B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C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D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E2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F23" start="0" length="0">
      <dxf>
        <fill>
          <patternFill patternType="solid">
            <bgColor theme="7" tint="0.79998168889431442"/>
          </patternFill>
        </fill>
        <border outline="0">
          <right style="thin">
            <color indexed="64"/>
          </right>
          <top style="thin">
            <color indexed="64"/>
          </top>
          <bottom style="thin">
            <color indexed="64"/>
          </bottom>
        </border>
      </dxf>
    </rfmt>
    <rfmt sheetId="8" sqref="AG23" start="0" length="0">
      <dxf>
        <numFmt numFmtId="2" formatCode="0.00"/>
      </dxf>
    </rfmt>
    <rfmt sheetId="8" sqref="AH23" start="0" length="0">
      <dxf>
        <numFmt numFmtId="4" formatCode="#,##0.00"/>
        <fill>
          <patternFill patternType="solid">
            <bgColor theme="6" tint="0.59999389629810485"/>
          </patternFill>
        </fill>
      </dxf>
    </rfmt>
    <rfmt sheetId="8" sqref="AI23" start="0" length="0">
      <dxf>
        <numFmt numFmtId="4" formatCode="#,##0.00"/>
        <fill>
          <patternFill patternType="solid">
            <bgColor theme="6" tint="0.59999389629810485"/>
          </patternFill>
        </fill>
      </dxf>
    </rfmt>
    <rfmt sheetId="8" sqref="AJ23" start="0" length="0">
      <dxf>
        <numFmt numFmtId="4" formatCode="#,##0.00"/>
        <fill>
          <patternFill patternType="solid">
            <bgColor theme="6" tint="0.59999389629810485"/>
          </patternFill>
        </fill>
      </dxf>
    </rfmt>
    <rfmt sheetId="8" sqref="AK23" start="0" length="0">
      <dxf>
        <numFmt numFmtId="4" formatCode="#,##0.00"/>
        <fill>
          <patternFill patternType="solid">
            <bgColor theme="6" tint="0.79998168889431442"/>
          </patternFill>
        </fill>
      </dxf>
    </rfmt>
    <rfmt sheetId="8" sqref="A24" start="0" length="0">
      <dxf>
        <font>
          <sz val="14"/>
          <color auto="1"/>
          <name val="Times New Roman"/>
          <scheme val="none"/>
        </font>
        <numFmt numFmtId="167" formatCode="#,##0.000\ _₽"/>
        <fill>
          <patternFill patternType="solid">
            <bgColor theme="7" tint="0.79998168889431442"/>
          </patternFill>
        </fill>
        <alignment horizontal="left" vertical="top" wrapText="1" readingOrder="0"/>
        <border outline="0">
          <left style="thin">
            <color indexed="64"/>
          </left>
          <top style="thin">
            <color indexed="64"/>
          </top>
          <bottom style="thin">
            <color indexed="64"/>
          </bottom>
        </border>
      </dxf>
    </rfmt>
    <rfmt sheetId="8" sqref="B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C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D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E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F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G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H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I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J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K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L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M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N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O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P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Q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R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S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T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U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V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W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X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Y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Z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A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B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C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D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E2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F24" start="0" length="0">
      <dxf>
        <fill>
          <patternFill patternType="solid">
            <bgColor theme="7" tint="0.79998168889431442"/>
          </patternFill>
        </fill>
        <border outline="0">
          <right style="thin">
            <color indexed="64"/>
          </right>
          <top style="thin">
            <color indexed="64"/>
          </top>
          <bottom style="thin">
            <color indexed="64"/>
          </bottom>
        </border>
      </dxf>
    </rfmt>
    <rfmt sheetId="8" sqref="AG24" start="0" length="0">
      <dxf>
        <numFmt numFmtId="2" formatCode="0.00"/>
      </dxf>
    </rfmt>
    <rfmt sheetId="8" sqref="AH24" start="0" length="0">
      <dxf>
        <numFmt numFmtId="4" formatCode="#,##0.00"/>
        <fill>
          <patternFill patternType="solid">
            <bgColor theme="6" tint="0.59999389629810485"/>
          </patternFill>
        </fill>
      </dxf>
    </rfmt>
    <rfmt sheetId="8" sqref="AI24" start="0" length="0">
      <dxf>
        <numFmt numFmtId="4" formatCode="#,##0.00"/>
        <fill>
          <patternFill patternType="solid">
            <bgColor theme="6" tint="0.59999389629810485"/>
          </patternFill>
        </fill>
      </dxf>
    </rfmt>
    <rfmt sheetId="8" sqref="AJ24" start="0" length="0">
      <dxf>
        <numFmt numFmtId="4" formatCode="#,##0.00"/>
        <fill>
          <patternFill patternType="solid">
            <bgColor theme="6" tint="0.59999389629810485"/>
          </patternFill>
        </fill>
      </dxf>
    </rfmt>
    <rfmt sheetId="8" sqref="AK24" start="0" length="0">
      <dxf>
        <numFmt numFmtId="4" formatCode="#,##0.00"/>
        <fill>
          <patternFill patternType="solid">
            <bgColor theme="6" tint="0.79998168889431442"/>
          </patternFill>
        </fill>
      </dxf>
    </rfmt>
    <rfmt sheetId="8" sqref="A25" start="0" length="0">
      <dxf>
        <font>
          <sz val="14"/>
          <color auto="1"/>
          <name val="Times New Roman"/>
          <scheme val="none"/>
        </font>
        <numFmt numFmtId="167" formatCode="#,##0.000\ _₽"/>
        <fill>
          <patternFill patternType="solid">
            <bgColor theme="7" tint="0.79998168889431442"/>
          </patternFill>
        </fill>
        <alignment horizontal="left" vertical="top" wrapText="1" readingOrder="0"/>
        <border outline="0">
          <left style="thin">
            <color indexed="64"/>
          </left>
          <top style="thin">
            <color indexed="64"/>
          </top>
          <bottom style="thin">
            <color indexed="64"/>
          </bottom>
        </border>
      </dxf>
    </rfmt>
    <rfmt sheetId="8" sqref="B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C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D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E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F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G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H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I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J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K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L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M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N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O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P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Q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R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S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T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U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V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W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X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Y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Z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A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B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C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D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E2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F25" start="0" length="0">
      <dxf>
        <fill>
          <patternFill patternType="solid">
            <bgColor theme="7" tint="0.79998168889431442"/>
          </patternFill>
        </fill>
        <border outline="0">
          <right style="thin">
            <color indexed="64"/>
          </right>
          <top style="thin">
            <color indexed="64"/>
          </top>
          <bottom style="thin">
            <color indexed="64"/>
          </bottom>
        </border>
      </dxf>
    </rfmt>
    <rfmt sheetId="8" sqref="AG25" start="0" length="0">
      <dxf>
        <numFmt numFmtId="2" formatCode="0.00"/>
      </dxf>
    </rfmt>
    <rfmt sheetId="8" sqref="AH25" start="0" length="0">
      <dxf>
        <numFmt numFmtId="4" formatCode="#,##0.00"/>
        <fill>
          <patternFill patternType="solid">
            <bgColor theme="6" tint="0.59999389629810485"/>
          </patternFill>
        </fill>
      </dxf>
    </rfmt>
    <rfmt sheetId="8" sqref="AI25" start="0" length="0">
      <dxf>
        <numFmt numFmtId="4" formatCode="#,##0.00"/>
        <fill>
          <patternFill patternType="solid">
            <bgColor theme="6" tint="0.59999389629810485"/>
          </patternFill>
        </fill>
      </dxf>
    </rfmt>
    <rfmt sheetId="8" sqref="AJ25" start="0" length="0">
      <dxf>
        <numFmt numFmtId="4" formatCode="#,##0.00"/>
        <fill>
          <patternFill patternType="solid">
            <bgColor theme="6" tint="0.59999389629810485"/>
          </patternFill>
        </fill>
      </dxf>
    </rfmt>
    <rfmt sheetId="8" sqref="AK25" start="0" length="0">
      <dxf>
        <numFmt numFmtId="4" formatCode="#,##0.00"/>
        <fill>
          <patternFill patternType="solid">
            <bgColor theme="6" tint="0.79998168889431442"/>
          </patternFill>
        </fill>
      </dxf>
    </rfmt>
    <rfmt sheetId="8" sqref="A26" start="0" length="0">
      <dxf>
        <font>
          <sz val="14"/>
          <color auto="1"/>
          <name val="Times New Roman"/>
          <scheme val="none"/>
        </font>
        <numFmt numFmtId="167" formatCode="#,##0.000\ _₽"/>
        <fill>
          <patternFill patternType="solid">
            <bgColor theme="7" tint="0.79998168889431442"/>
          </patternFill>
        </fill>
        <alignment horizontal="left" vertical="top" wrapText="1" readingOrder="0"/>
        <border outline="0">
          <left style="thin">
            <color indexed="64"/>
          </left>
          <top style="thin">
            <color indexed="64"/>
          </top>
          <bottom style="thin">
            <color indexed="64"/>
          </bottom>
        </border>
      </dxf>
    </rfmt>
    <rfmt sheetId="8" sqref="B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C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D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E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F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G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H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I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J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K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L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M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N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O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P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Q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R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S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T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U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V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W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X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Y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Z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A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B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C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D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E2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F26" start="0" length="0">
      <dxf>
        <fill>
          <patternFill patternType="solid">
            <bgColor theme="7" tint="0.79998168889431442"/>
          </patternFill>
        </fill>
        <border outline="0">
          <right style="thin">
            <color indexed="64"/>
          </right>
          <top style="thin">
            <color indexed="64"/>
          </top>
          <bottom style="thin">
            <color indexed="64"/>
          </bottom>
        </border>
      </dxf>
    </rfmt>
    <rfmt sheetId="8" sqref="AG26" start="0" length="0">
      <dxf>
        <numFmt numFmtId="2" formatCode="0.00"/>
      </dxf>
    </rfmt>
    <rfmt sheetId="8" sqref="AH26" start="0" length="0">
      <dxf>
        <numFmt numFmtId="4" formatCode="#,##0.00"/>
        <fill>
          <patternFill patternType="solid">
            <bgColor theme="6" tint="0.59999389629810485"/>
          </patternFill>
        </fill>
      </dxf>
    </rfmt>
    <rfmt sheetId="8" sqref="AI26" start="0" length="0">
      <dxf>
        <numFmt numFmtId="4" formatCode="#,##0.00"/>
        <fill>
          <patternFill patternType="solid">
            <bgColor theme="6" tint="0.59999389629810485"/>
          </patternFill>
        </fill>
      </dxf>
    </rfmt>
    <rfmt sheetId="8" sqref="AJ26" start="0" length="0">
      <dxf>
        <numFmt numFmtId="4" formatCode="#,##0.00"/>
        <fill>
          <patternFill patternType="solid">
            <bgColor theme="6" tint="0.59999389629810485"/>
          </patternFill>
        </fill>
      </dxf>
    </rfmt>
    <rfmt sheetId="8" sqref="AK26" start="0" length="0">
      <dxf>
        <numFmt numFmtId="4" formatCode="#,##0.00"/>
        <fill>
          <patternFill patternType="solid">
            <bgColor theme="6" tint="0.79998168889431442"/>
          </patternFill>
        </fill>
      </dxf>
    </rfmt>
    <rfmt sheetId="8" sqref="A27" start="0" length="0">
      <dxf>
        <font>
          <sz val="14"/>
          <color auto="1"/>
          <name val="Times New Roman"/>
          <scheme val="none"/>
        </font>
        <numFmt numFmtId="167" formatCode="#,##0.000\ _₽"/>
        <fill>
          <patternFill patternType="solid">
            <bgColor theme="7" tint="0.79998168889431442"/>
          </patternFill>
        </fill>
        <alignment horizontal="left" vertical="top" wrapText="1" readingOrder="0"/>
        <border outline="0">
          <left style="thin">
            <color indexed="64"/>
          </left>
          <top style="thin">
            <color indexed="64"/>
          </top>
          <bottom style="thin">
            <color indexed="64"/>
          </bottom>
        </border>
      </dxf>
    </rfmt>
    <rfmt sheetId="8" sqref="B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C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D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E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F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G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H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I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J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K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L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M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N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O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P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Q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R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S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T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U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V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W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X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Y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Z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A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B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C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D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E27"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F27" start="0" length="0">
      <dxf>
        <fill>
          <patternFill patternType="solid">
            <bgColor theme="7" tint="0.79998168889431442"/>
          </patternFill>
        </fill>
        <border outline="0">
          <right style="thin">
            <color indexed="64"/>
          </right>
          <top style="thin">
            <color indexed="64"/>
          </top>
          <bottom style="thin">
            <color indexed="64"/>
          </bottom>
        </border>
      </dxf>
    </rfmt>
    <rfmt sheetId="8" sqref="AG27" start="0" length="0">
      <dxf>
        <numFmt numFmtId="2" formatCode="0.00"/>
      </dxf>
    </rfmt>
    <rfmt sheetId="8" sqref="AH27" start="0" length="0">
      <dxf>
        <numFmt numFmtId="4" formatCode="#,##0.00"/>
        <fill>
          <patternFill patternType="solid">
            <bgColor theme="6" tint="0.59999389629810485"/>
          </patternFill>
        </fill>
      </dxf>
    </rfmt>
    <rfmt sheetId="8" sqref="AI27" start="0" length="0">
      <dxf>
        <numFmt numFmtId="4" formatCode="#,##0.00"/>
        <fill>
          <patternFill patternType="solid">
            <bgColor theme="6" tint="0.59999389629810485"/>
          </patternFill>
        </fill>
      </dxf>
    </rfmt>
    <rfmt sheetId="8" sqref="AJ27" start="0" length="0">
      <dxf>
        <numFmt numFmtId="4" formatCode="#,##0.00"/>
        <fill>
          <patternFill patternType="solid">
            <bgColor theme="6" tint="0.59999389629810485"/>
          </patternFill>
        </fill>
      </dxf>
    </rfmt>
    <rfmt sheetId="8" sqref="AK27" start="0" length="0">
      <dxf>
        <numFmt numFmtId="4" formatCode="#,##0.00"/>
        <fill>
          <patternFill patternType="solid">
            <bgColor theme="6" tint="0.79998168889431442"/>
          </patternFill>
        </fill>
      </dxf>
    </rfmt>
    <rfmt sheetId="8" sqref="A28" start="0" length="0">
      <dxf>
        <font>
          <sz val="14"/>
          <color auto="1"/>
          <name val="Times New Roman"/>
          <scheme val="none"/>
        </font>
        <numFmt numFmtId="167" formatCode="#,##0.000\ _₽"/>
        <fill>
          <patternFill patternType="solid">
            <bgColor theme="7" tint="0.79998168889431442"/>
          </patternFill>
        </fill>
        <alignment horizontal="left" vertical="top" wrapText="1" readingOrder="0"/>
        <border outline="0">
          <left style="thin">
            <color indexed="64"/>
          </left>
          <top style="thin">
            <color indexed="64"/>
          </top>
          <bottom style="thin">
            <color indexed="64"/>
          </bottom>
        </border>
      </dxf>
    </rfmt>
    <rfmt sheetId="8" sqref="B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C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D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E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F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G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H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I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J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K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L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M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N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O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P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Q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R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S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T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U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V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W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X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Y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Z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A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B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C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D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E28"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F28" start="0" length="0">
      <dxf>
        <fill>
          <patternFill patternType="solid">
            <bgColor theme="7" tint="0.79998168889431442"/>
          </patternFill>
        </fill>
        <border outline="0">
          <right style="thin">
            <color indexed="64"/>
          </right>
          <top style="thin">
            <color indexed="64"/>
          </top>
          <bottom style="thin">
            <color indexed="64"/>
          </bottom>
        </border>
      </dxf>
    </rfmt>
    <rfmt sheetId="8" sqref="AG28" start="0" length="0">
      <dxf>
        <numFmt numFmtId="2" formatCode="0.00"/>
      </dxf>
    </rfmt>
    <rfmt sheetId="8" sqref="AH28" start="0" length="0">
      <dxf>
        <numFmt numFmtId="4" formatCode="#,##0.00"/>
        <fill>
          <patternFill patternType="solid">
            <bgColor theme="6" tint="0.59999389629810485"/>
          </patternFill>
        </fill>
      </dxf>
    </rfmt>
    <rfmt sheetId="8" sqref="AI28" start="0" length="0">
      <dxf>
        <numFmt numFmtId="4" formatCode="#,##0.00"/>
        <fill>
          <patternFill patternType="solid">
            <bgColor theme="6" tint="0.59999389629810485"/>
          </patternFill>
        </fill>
      </dxf>
    </rfmt>
    <rfmt sheetId="8" sqref="AJ28" start="0" length="0">
      <dxf>
        <numFmt numFmtId="4" formatCode="#,##0.00"/>
        <fill>
          <patternFill patternType="solid">
            <bgColor theme="6" tint="0.59999389629810485"/>
          </patternFill>
        </fill>
      </dxf>
    </rfmt>
    <rfmt sheetId="8" sqref="AK28" start="0" length="0">
      <dxf>
        <numFmt numFmtId="4" formatCode="#,##0.00"/>
        <fill>
          <patternFill patternType="solid">
            <bgColor theme="6" tint="0.79998168889431442"/>
          </patternFill>
        </fill>
      </dxf>
    </rfmt>
    <rfmt sheetId="8" sqref="A29" start="0" length="0">
      <dxf>
        <font>
          <sz val="14"/>
          <color auto="1"/>
          <name val="Times New Roman"/>
          <scheme val="none"/>
        </font>
        <numFmt numFmtId="167" formatCode="#,##0.000\ _₽"/>
        <fill>
          <patternFill patternType="solid">
            <bgColor theme="7" tint="0.79998168889431442"/>
          </patternFill>
        </fill>
        <alignment horizontal="left" vertical="top" wrapText="1" readingOrder="0"/>
        <border outline="0">
          <left style="thin">
            <color indexed="64"/>
          </left>
          <top style="thin">
            <color indexed="64"/>
          </top>
          <bottom style="thin">
            <color indexed="64"/>
          </bottom>
        </border>
      </dxf>
    </rfmt>
    <rfmt sheetId="8" sqref="B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C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D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E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F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G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H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I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J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K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L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M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N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O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P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Q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R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S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T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U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V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W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X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Y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Z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A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B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C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D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E29"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F29" start="0" length="0">
      <dxf>
        <fill>
          <patternFill patternType="solid">
            <bgColor theme="7" tint="0.79998168889431442"/>
          </patternFill>
        </fill>
        <border outline="0">
          <right style="thin">
            <color indexed="64"/>
          </right>
          <top style="thin">
            <color indexed="64"/>
          </top>
          <bottom style="thin">
            <color indexed="64"/>
          </bottom>
        </border>
      </dxf>
    </rfmt>
    <rfmt sheetId="8" sqref="AG29" start="0" length="0">
      <dxf>
        <numFmt numFmtId="2" formatCode="0.00"/>
      </dxf>
    </rfmt>
    <rfmt sheetId="8" sqref="AH29" start="0" length="0">
      <dxf>
        <numFmt numFmtId="4" formatCode="#,##0.00"/>
        <fill>
          <patternFill patternType="solid">
            <bgColor theme="6" tint="0.59999389629810485"/>
          </patternFill>
        </fill>
      </dxf>
    </rfmt>
    <rfmt sheetId="8" sqref="AI29" start="0" length="0">
      <dxf>
        <numFmt numFmtId="4" formatCode="#,##0.00"/>
        <fill>
          <patternFill patternType="solid">
            <bgColor theme="6" tint="0.59999389629810485"/>
          </patternFill>
        </fill>
      </dxf>
    </rfmt>
    <rfmt sheetId="8" sqref="AJ29" start="0" length="0">
      <dxf>
        <numFmt numFmtId="4" formatCode="#,##0.00"/>
        <fill>
          <patternFill patternType="solid">
            <bgColor theme="6" tint="0.59999389629810485"/>
          </patternFill>
        </fill>
      </dxf>
    </rfmt>
    <rfmt sheetId="8" sqref="AK29" start="0" length="0">
      <dxf>
        <numFmt numFmtId="4" formatCode="#,##0.00"/>
        <fill>
          <patternFill patternType="solid">
            <bgColor theme="6" tint="0.79998168889431442"/>
          </patternFill>
        </fill>
      </dxf>
    </rfmt>
    <rfmt sheetId="8" sqref="A30" start="0" length="0">
      <dxf>
        <font>
          <sz val="14"/>
          <color auto="1"/>
          <name val="Times New Roman"/>
          <scheme val="none"/>
        </font>
        <numFmt numFmtId="167" formatCode="#,##0.000\ _₽"/>
        <fill>
          <patternFill patternType="solid">
            <bgColor theme="7" tint="0.79998168889431442"/>
          </patternFill>
        </fill>
        <alignment horizontal="left" vertical="top" wrapText="1" readingOrder="0"/>
        <border outline="0">
          <left style="thin">
            <color indexed="64"/>
          </left>
          <top style="thin">
            <color indexed="64"/>
          </top>
          <bottom style="thin">
            <color indexed="64"/>
          </bottom>
        </border>
      </dxf>
    </rfmt>
    <rfmt sheetId="8" sqref="B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C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D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E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F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G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H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I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J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K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L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M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N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O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P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Q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R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S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T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U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V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W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X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Y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Z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A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B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C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D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E30"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F30" start="0" length="0">
      <dxf>
        <fill>
          <patternFill patternType="solid">
            <bgColor theme="7" tint="0.79998168889431442"/>
          </patternFill>
        </fill>
        <border outline="0">
          <right style="thin">
            <color indexed="64"/>
          </right>
          <top style="thin">
            <color indexed="64"/>
          </top>
          <bottom style="thin">
            <color indexed="64"/>
          </bottom>
        </border>
      </dxf>
    </rfmt>
    <rfmt sheetId="8" sqref="AG30" start="0" length="0">
      <dxf>
        <numFmt numFmtId="2" formatCode="0.00"/>
      </dxf>
    </rfmt>
    <rfmt sheetId="8" sqref="AH30" start="0" length="0">
      <dxf>
        <numFmt numFmtId="4" formatCode="#,##0.00"/>
        <fill>
          <patternFill patternType="solid">
            <bgColor theme="6" tint="0.59999389629810485"/>
          </patternFill>
        </fill>
      </dxf>
    </rfmt>
    <rfmt sheetId="8" sqref="AI30" start="0" length="0">
      <dxf>
        <numFmt numFmtId="4" formatCode="#,##0.00"/>
        <fill>
          <patternFill patternType="solid">
            <bgColor theme="6" tint="0.59999389629810485"/>
          </patternFill>
        </fill>
      </dxf>
    </rfmt>
    <rfmt sheetId="8" sqref="AJ30" start="0" length="0">
      <dxf>
        <numFmt numFmtId="4" formatCode="#,##0.00"/>
        <fill>
          <patternFill patternType="solid">
            <bgColor theme="6" tint="0.59999389629810485"/>
          </patternFill>
        </fill>
      </dxf>
    </rfmt>
    <rfmt sheetId="8" sqref="AK30" start="0" length="0">
      <dxf>
        <numFmt numFmtId="4" formatCode="#,##0.00"/>
        <fill>
          <patternFill patternType="solid">
            <bgColor theme="6" tint="0.79998168889431442"/>
          </patternFill>
        </fill>
      </dxf>
    </rfmt>
    <rfmt sheetId="8" sqref="A31" start="0" length="0">
      <dxf>
        <font>
          <sz val="14"/>
          <color auto="1"/>
          <name val="Times New Roman"/>
          <scheme val="none"/>
        </font>
        <numFmt numFmtId="167" formatCode="#,##0.000\ _₽"/>
        <fill>
          <patternFill patternType="solid">
            <bgColor theme="7" tint="0.79998168889431442"/>
          </patternFill>
        </fill>
        <alignment horizontal="left" vertical="top" wrapText="1" readingOrder="0"/>
        <border outline="0">
          <left style="thin">
            <color indexed="64"/>
          </left>
          <top style="thin">
            <color indexed="64"/>
          </top>
          <bottom style="thin">
            <color indexed="64"/>
          </bottom>
        </border>
      </dxf>
    </rfmt>
    <rfmt sheetId="8" sqref="B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C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D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E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F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G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H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I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J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K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L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M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N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O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P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Q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R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S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T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U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V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W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X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Y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Z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A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B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C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D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E31"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F31" start="0" length="0">
      <dxf>
        <fill>
          <patternFill patternType="solid">
            <bgColor theme="7" tint="0.79998168889431442"/>
          </patternFill>
        </fill>
        <border outline="0">
          <right style="thin">
            <color indexed="64"/>
          </right>
          <top style="thin">
            <color indexed="64"/>
          </top>
          <bottom style="thin">
            <color indexed="64"/>
          </bottom>
        </border>
      </dxf>
    </rfmt>
    <rfmt sheetId="8" sqref="AG31" start="0" length="0">
      <dxf>
        <numFmt numFmtId="2" formatCode="0.00"/>
      </dxf>
    </rfmt>
    <rfmt sheetId="8" sqref="AH31" start="0" length="0">
      <dxf>
        <numFmt numFmtId="4" formatCode="#,##0.00"/>
        <fill>
          <patternFill patternType="solid">
            <bgColor theme="6" tint="0.59999389629810485"/>
          </patternFill>
        </fill>
      </dxf>
    </rfmt>
    <rfmt sheetId="8" sqref="AI31" start="0" length="0">
      <dxf>
        <numFmt numFmtId="4" formatCode="#,##0.00"/>
        <fill>
          <patternFill patternType="solid">
            <bgColor theme="6" tint="0.59999389629810485"/>
          </patternFill>
        </fill>
      </dxf>
    </rfmt>
    <rfmt sheetId="8" sqref="AJ31" start="0" length="0">
      <dxf>
        <numFmt numFmtId="4" formatCode="#,##0.00"/>
        <fill>
          <patternFill patternType="solid">
            <bgColor theme="6" tint="0.59999389629810485"/>
          </patternFill>
        </fill>
      </dxf>
    </rfmt>
    <rfmt sheetId="8" sqref="AK31" start="0" length="0">
      <dxf>
        <numFmt numFmtId="4" formatCode="#,##0.00"/>
        <fill>
          <patternFill patternType="solid">
            <bgColor theme="6" tint="0.79998168889431442"/>
          </patternFill>
        </fill>
      </dxf>
    </rfmt>
    <rfmt sheetId="8" sqref="A32" start="0" length="0">
      <dxf>
        <font>
          <sz val="14"/>
          <color auto="1"/>
          <name val="Times New Roman"/>
          <scheme val="none"/>
        </font>
        <numFmt numFmtId="167" formatCode="#,##0.000\ _₽"/>
        <fill>
          <patternFill patternType="solid">
            <bgColor theme="7" tint="0.79998168889431442"/>
          </patternFill>
        </fill>
        <alignment horizontal="left" vertical="top" wrapText="1" readingOrder="0"/>
        <border outline="0">
          <left style="thin">
            <color indexed="64"/>
          </left>
          <top style="thin">
            <color indexed="64"/>
          </top>
          <bottom style="thin">
            <color indexed="64"/>
          </bottom>
        </border>
      </dxf>
    </rfmt>
    <rfmt sheetId="8" sqref="B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C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D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E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F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G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H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I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J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K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L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M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N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O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P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Q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R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S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T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U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V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W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X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Y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Z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A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B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C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D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E32"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F32" start="0" length="0">
      <dxf>
        <fill>
          <patternFill patternType="solid">
            <bgColor theme="7" tint="0.79998168889431442"/>
          </patternFill>
        </fill>
        <border outline="0">
          <right style="thin">
            <color indexed="64"/>
          </right>
          <top style="thin">
            <color indexed="64"/>
          </top>
          <bottom style="thin">
            <color indexed="64"/>
          </bottom>
        </border>
      </dxf>
    </rfmt>
    <rfmt sheetId="8" sqref="AG32" start="0" length="0">
      <dxf>
        <numFmt numFmtId="2" formatCode="0.00"/>
      </dxf>
    </rfmt>
    <rfmt sheetId="8" sqref="AH32" start="0" length="0">
      <dxf>
        <numFmt numFmtId="4" formatCode="#,##0.00"/>
        <fill>
          <patternFill patternType="solid">
            <bgColor theme="6" tint="0.59999389629810485"/>
          </patternFill>
        </fill>
      </dxf>
    </rfmt>
    <rfmt sheetId="8" sqref="AI32" start="0" length="0">
      <dxf>
        <numFmt numFmtId="4" formatCode="#,##0.00"/>
        <fill>
          <patternFill patternType="solid">
            <bgColor theme="6" tint="0.59999389629810485"/>
          </patternFill>
        </fill>
      </dxf>
    </rfmt>
    <rfmt sheetId="8" sqref="AJ32" start="0" length="0">
      <dxf>
        <numFmt numFmtId="4" formatCode="#,##0.00"/>
        <fill>
          <patternFill patternType="solid">
            <bgColor theme="6" tint="0.59999389629810485"/>
          </patternFill>
        </fill>
      </dxf>
    </rfmt>
    <rfmt sheetId="8" sqref="AK32" start="0" length="0">
      <dxf>
        <numFmt numFmtId="4" formatCode="#,##0.00"/>
        <fill>
          <patternFill patternType="solid">
            <bgColor theme="6" tint="0.79998168889431442"/>
          </patternFill>
        </fill>
      </dxf>
    </rfmt>
    <rfmt sheetId="8" sqref="A33" start="0" length="0">
      <dxf>
        <font>
          <sz val="14"/>
          <color auto="1"/>
          <name val="Times New Roman"/>
          <scheme val="none"/>
        </font>
        <numFmt numFmtId="167" formatCode="#,##0.000\ _₽"/>
        <fill>
          <patternFill patternType="solid">
            <bgColor theme="7" tint="0.79998168889431442"/>
          </patternFill>
        </fill>
        <alignment horizontal="left" vertical="top" wrapText="1" readingOrder="0"/>
        <border outline="0">
          <left style="thin">
            <color indexed="64"/>
          </left>
          <top style="thin">
            <color indexed="64"/>
          </top>
          <bottom style="thin">
            <color indexed="64"/>
          </bottom>
        </border>
      </dxf>
    </rfmt>
    <rfmt sheetId="8" sqref="B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C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D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E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F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G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H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I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J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K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L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M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N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O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P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Q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R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S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T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U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V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W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X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Y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Z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A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B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C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D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E33"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F33" start="0" length="0">
      <dxf>
        <fill>
          <patternFill patternType="solid">
            <bgColor theme="7" tint="0.79998168889431442"/>
          </patternFill>
        </fill>
        <border outline="0">
          <right style="thin">
            <color indexed="64"/>
          </right>
          <top style="thin">
            <color indexed="64"/>
          </top>
          <bottom style="thin">
            <color indexed="64"/>
          </bottom>
        </border>
      </dxf>
    </rfmt>
    <rfmt sheetId="8" sqref="AG33" start="0" length="0">
      <dxf>
        <numFmt numFmtId="2" formatCode="0.00"/>
      </dxf>
    </rfmt>
    <rfmt sheetId="8" sqref="AH33" start="0" length="0">
      <dxf>
        <numFmt numFmtId="4" formatCode="#,##0.00"/>
        <fill>
          <patternFill patternType="solid">
            <bgColor theme="6" tint="0.59999389629810485"/>
          </patternFill>
        </fill>
      </dxf>
    </rfmt>
    <rfmt sheetId="8" sqref="AI33" start="0" length="0">
      <dxf>
        <numFmt numFmtId="4" formatCode="#,##0.00"/>
        <fill>
          <patternFill patternType="solid">
            <bgColor theme="6" tint="0.59999389629810485"/>
          </patternFill>
        </fill>
      </dxf>
    </rfmt>
    <rfmt sheetId="8" sqref="AJ33" start="0" length="0">
      <dxf>
        <numFmt numFmtId="4" formatCode="#,##0.00"/>
        <fill>
          <patternFill patternType="solid">
            <bgColor theme="6" tint="0.59999389629810485"/>
          </patternFill>
        </fill>
      </dxf>
    </rfmt>
    <rfmt sheetId="8" sqref="AK33" start="0" length="0">
      <dxf>
        <numFmt numFmtId="4" formatCode="#,##0.00"/>
        <fill>
          <patternFill patternType="solid">
            <bgColor theme="6" tint="0.79998168889431442"/>
          </patternFill>
        </fill>
      </dxf>
    </rfmt>
    <rfmt sheetId="8" sqref="A34" start="0" length="0">
      <dxf>
        <font>
          <sz val="14"/>
          <color auto="1"/>
          <name val="Times New Roman"/>
          <scheme val="none"/>
        </font>
        <numFmt numFmtId="167" formatCode="#,##0.000\ _₽"/>
        <fill>
          <patternFill patternType="solid">
            <bgColor theme="7" tint="0.79998168889431442"/>
          </patternFill>
        </fill>
        <alignment horizontal="left" vertical="top" wrapText="1" readingOrder="0"/>
        <border outline="0">
          <left style="thin">
            <color indexed="64"/>
          </left>
          <top style="thin">
            <color indexed="64"/>
          </top>
          <bottom style="thin">
            <color indexed="64"/>
          </bottom>
        </border>
      </dxf>
    </rfmt>
    <rfmt sheetId="8" sqref="B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C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D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E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F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G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H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I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J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K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L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M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N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O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P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Q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R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S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T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U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V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W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X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Y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Z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A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B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C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D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E34"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F34" start="0" length="0">
      <dxf>
        <fill>
          <patternFill patternType="solid">
            <bgColor theme="7" tint="0.79998168889431442"/>
          </patternFill>
        </fill>
        <border outline="0">
          <right style="thin">
            <color indexed="64"/>
          </right>
          <top style="thin">
            <color indexed="64"/>
          </top>
          <bottom style="thin">
            <color indexed="64"/>
          </bottom>
        </border>
      </dxf>
    </rfmt>
    <rfmt sheetId="8" sqref="AG34" start="0" length="0">
      <dxf>
        <numFmt numFmtId="2" formatCode="0.00"/>
      </dxf>
    </rfmt>
    <rfmt sheetId="8" sqref="AH34" start="0" length="0">
      <dxf>
        <numFmt numFmtId="4" formatCode="#,##0.00"/>
        <fill>
          <patternFill patternType="solid">
            <bgColor theme="6" tint="0.59999389629810485"/>
          </patternFill>
        </fill>
      </dxf>
    </rfmt>
    <rfmt sheetId="8" sqref="AI34" start="0" length="0">
      <dxf>
        <numFmt numFmtId="4" formatCode="#,##0.00"/>
        <fill>
          <patternFill patternType="solid">
            <bgColor theme="6" tint="0.59999389629810485"/>
          </patternFill>
        </fill>
      </dxf>
    </rfmt>
    <rfmt sheetId="8" sqref="AJ34" start="0" length="0">
      <dxf>
        <numFmt numFmtId="4" formatCode="#,##0.00"/>
        <fill>
          <patternFill patternType="solid">
            <bgColor theme="6" tint="0.59999389629810485"/>
          </patternFill>
        </fill>
      </dxf>
    </rfmt>
    <rfmt sheetId="8" sqref="AK34" start="0" length="0">
      <dxf>
        <numFmt numFmtId="4" formatCode="#,##0.00"/>
        <fill>
          <patternFill patternType="solid">
            <bgColor theme="6" tint="0.79998168889431442"/>
          </patternFill>
        </fill>
      </dxf>
    </rfmt>
    <rfmt sheetId="8" sqref="A35" start="0" length="0">
      <dxf>
        <font>
          <sz val="14"/>
          <color auto="1"/>
          <name val="Times New Roman"/>
          <scheme val="none"/>
        </font>
        <numFmt numFmtId="167" formatCode="#,##0.000\ _₽"/>
        <fill>
          <patternFill patternType="solid">
            <bgColor theme="7" tint="0.79998168889431442"/>
          </patternFill>
        </fill>
        <alignment horizontal="left" vertical="top" wrapText="1" readingOrder="0"/>
        <border outline="0">
          <left style="thin">
            <color indexed="64"/>
          </left>
          <top style="thin">
            <color indexed="64"/>
          </top>
          <bottom style="thin">
            <color indexed="64"/>
          </bottom>
        </border>
      </dxf>
    </rfmt>
    <rfmt sheetId="8" sqref="B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C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D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E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F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G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H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I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J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K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L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M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N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O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P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Q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R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S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T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U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V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W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X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Y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Z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A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B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C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D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E35"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F35" start="0" length="0">
      <dxf>
        <fill>
          <patternFill patternType="solid">
            <bgColor theme="7" tint="0.79998168889431442"/>
          </patternFill>
        </fill>
        <border outline="0">
          <right style="thin">
            <color indexed="64"/>
          </right>
          <top style="thin">
            <color indexed="64"/>
          </top>
          <bottom style="thin">
            <color indexed="64"/>
          </bottom>
        </border>
      </dxf>
    </rfmt>
    <rfmt sheetId="8" sqref="AG35" start="0" length="0">
      <dxf>
        <numFmt numFmtId="2" formatCode="0.00"/>
      </dxf>
    </rfmt>
    <rfmt sheetId="8" sqref="AH35" start="0" length="0">
      <dxf>
        <numFmt numFmtId="4" formatCode="#,##0.00"/>
        <fill>
          <patternFill patternType="solid">
            <bgColor theme="6" tint="0.59999389629810485"/>
          </patternFill>
        </fill>
      </dxf>
    </rfmt>
    <rfmt sheetId="8" sqref="AI35" start="0" length="0">
      <dxf>
        <numFmt numFmtId="4" formatCode="#,##0.00"/>
        <fill>
          <patternFill patternType="solid">
            <bgColor theme="6" tint="0.59999389629810485"/>
          </patternFill>
        </fill>
      </dxf>
    </rfmt>
    <rfmt sheetId="8" sqref="AJ35" start="0" length="0">
      <dxf>
        <numFmt numFmtId="4" formatCode="#,##0.00"/>
        <fill>
          <patternFill patternType="solid">
            <bgColor theme="6" tint="0.59999389629810485"/>
          </patternFill>
        </fill>
      </dxf>
    </rfmt>
    <rfmt sheetId="8" sqref="AK35" start="0" length="0">
      <dxf>
        <numFmt numFmtId="4" formatCode="#,##0.00"/>
        <fill>
          <patternFill patternType="solid">
            <bgColor theme="6" tint="0.79998168889431442"/>
          </patternFill>
        </fill>
      </dxf>
    </rfmt>
    <rfmt sheetId="8" sqref="A36" start="0" length="0">
      <dxf>
        <font>
          <sz val="14"/>
          <color auto="1"/>
          <name val="Times New Roman"/>
          <scheme val="none"/>
        </font>
        <numFmt numFmtId="167" formatCode="#,##0.000\ _₽"/>
        <fill>
          <patternFill patternType="solid">
            <bgColor theme="7" tint="0.79998168889431442"/>
          </patternFill>
        </fill>
        <alignment horizontal="left" vertical="top" wrapText="1" readingOrder="0"/>
        <border outline="0">
          <left style="thin">
            <color indexed="64"/>
          </left>
          <top style="thin">
            <color indexed="64"/>
          </top>
          <bottom style="thin">
            <color indexed="64"/>
          </bottom>
        </border>
      </dxf>
    </rfmt>
    <rfmt sheetId="8" sqref="B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C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D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E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F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G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H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I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J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K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L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M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N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O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P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Q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R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S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T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U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V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W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X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Y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Z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A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B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C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D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E36" start="0" length="0">
      <dxf>
        <font>
          <sz val="14"/>
          <color auto="1"/>
          <name val="Times New Roman"/>
          <scheme val="none"/>
        </font>
        <numFmt numFmtId="168" formatCode="#,##0.00\ _₽"/>
        <fill>
          <patternFill patternType="solid">
            <bgColor theme="7" tint="0.79998168889431442"/>
          </patternFill>
        </fill>
        <alignment horizontal="right" vertical="top" wrapText="1" readingOrder="0"/>
        <border outline="0">
          <top style="thin">
            <color indexed="64"/>
          </top>
          <bottom style="thin">
            <color indexed="64"/>
          </bottom>
        </border>
      </dxf>
    </rfmt>
    <rfmt sheetId="8" sqref="AF36" start="0" length="0">
      <dxf>
        <fill>
          <patternFill patternType="solid">
            <bgColor theme="7" tint="0.79998168889431442"/>
          </patternFill>
        </fill>
        <border outline="0">
          <right style="thin">
            <color indexed="64"/>
          </right>
          <top style="thin">
            <color indexed="64"/>
          </top>
          <bottom style="thin">
            <color indexed="64"/>
          </bottom>
        </border>
      </dxf>
    </rfmt>
    <rfmt sheetId="8" sqref="AG36" start="0" length="0">
      <dxf>
        <numFmt numFmtId="2" formatCode="0.00"/>
      </dxf>
    </rfmt>
    <rfmt sheetId="8" sqref="AH36" start="0" length="0">
      <dxf>
        <numFmt numFmtId="4" formatCode="#,##0.00"/>
        <fill>
          <patternFill patternType="solid">
            <bgColor theme="6" tint="0.59999389629810485"/>
          </patternFill>
        </fill>
      </dxf>
    </rfmt>
    <rfmt sheetId="8" sqref="AI36" start="0" length="0">
      <dxf>
        <numFmt numFmtId="4" formatCode="#,##0.00"/>
        <fill>
          <patternFill patternType="solid">
            <bgColor theme="6" tint="0.59999389629810485"/>
          </patternFill>
        </fill>
      </dxf>
    </rfmt>
    <rfmt sheetId="8" sqref="AJ36" start="0" length="0">
      <dxf>
        <numFmt numFmtId="4" formatCode="#,##0.00"/>
        <fill>
          <patternFill patternType="solid">
            <bgColor theme="6" tint="0.59999389629810485"/>
          </patternFill>
        </fill>
      </dxf>
    </rfmt>
    <rfmt sheetId="8" sqref="AK36" start="0" length="0">
      <dxf>
        <numFmt numFmtId="4" formatCode="#,##0.00"/>
        <fill>
          <patternFill patternType="solid">
            <bgColor theme="6" tint="0.79998168889431442"/>
          </patternFill>
        </fill>
      </dxf>
    </rfmt>
  </rm>
  <rrc rId="31257" sId="8" ref="A289:XFD289" action="deleteRow">
    <undo index="0" exp="area" ref3D="1" dr="$H$1:$AC$1048576" dn="Z_7C130984_112A_4861_AA43_E2940708E3DC_.wvu.Cols" sId="8"/>
    <rfmt sheetId="8" xfDxf="1" sqref="A289:XFD289" start="0" length="0">
      <dxf>
        <font>
          <sz val="14"/>
          <name val="Times New Roman"/>
          <scheme val="none"/>
        </font>
      </dxf>
    </rfmt>
    <rfmt sheetId="8" sqref="AH289" start="0" length="0">
      <dxf>
        <fill>
          <patternFill patternType="solid">
            <bgColor theme="6" tint="0.59999389629810485"/>
          </patternFill>
        </fill>
      </dxf>
    </rfmt>
    <rfmt sheetId="8" sqref="AI289" start="0" length="0">
      <dxf>
        <fill>
          <patternFill patternType="solid">
            <bgColor theme="6" tint="0.59999389629810485"/>
          </patternFill>
        </fill>
      </dxf>
    </rfmt>
    <rfmt sheetId="8" sqref="AJ289" start="0" length="0">
      <dxf>
        <fill>
          <patternFill patternType="solid">
            <bgColor theme="6" tint="0.59999389629810485"/>
          </patternFill>
        </fill>
      </dxf>
    </rfmt>
    <rfmt sheetId="8" sqref="AK289" start="0" length="0">
      <dxf>
        <fill>
          <patternFill patternType="solid">
            <bgColor theme="6" tint="0.79998168889431442"/>
          </patternFill>
        </fill>
      </dxf>
    </rfmt>
  </rrc>
  <rrc rId="31258" sId="8" ref="A289:XFD289" action="deleteRow">
    <undo index="0" exp="area" ref3D="1" dr="$H$1:$AC$1048576" dn="Z_7C130984_112A_4861_AA43_E2940708E3DC_.wvu.Cols" sId="8"/>
    <rfmt sheetId="8" xfDxf="1" sqref="A289:XFD289" start="0" length="0">
      <dxf>
        <font>
          <sz val="14"/>
          <name val="Times New Roman"/>
          <scheme val="none"/>
        </font>
      </dxf>
    </rfmt>
    <rfmt sheetId="8" sqref="AH289" start="0" length="0">
      <dxf>
        <fill>
          <patternFill patternType="solid">
            <bgColor theme="6" tint="0.59999389629810485"/>
          </patternFill>
        </fill>
      </dxf>
    </rfmt>
    <rfmt sheetId="8" sqref="AI289" start="0" length="0">
      <dxf>
        <fill>
          <patternFill patternType="solid">
            <bgColor theme="6" tint="0.59999389629810485"/>
          </patternFill>
        </fill>
      </dxf>
    </rfmt>
    <rfmt sheetId="8" sqref="AJ289" start="0" length="0">
      <dxf>
        <fill>
          <patternFill patternType="solid">
            <bgColor theme="6" tint="0.59999389629810485"/>
          </patternFill>
        </fill>
      </dxf>
    </rfmt>
    <rfmt sheetId="8" sqref="AK289" start="0" length="0">
      <dxf>
        <fill>
          <patternFill patternType="solid">
            <bgColor theme="6" tint="0.79998168889431442"/>
          </patternFill>
        </fill>
      </dxf>
    </rfmt>
  </rrc>
  <rrc rId="31259" sId="8" ref="A289:XFD289" action="deleteRow">
    <undo index="0" exp="area" ref3D="1" dr="$H$1:$AC$1048576" dn="Z_7C130984_112A_4861_AA43_E2940708E3DC_.wvu.Cols" sId="8"/>
    <rfmt sheetId="8" xfDxf="1" sqref="A289:XFD289" start="0" length="0">
      <dxf>
        <font>
          <sz val="14"/>
          <name val="Times New Roman"/>
          <scheme val="none"/>
        </font>
      </dxf>
    </rfmt>
    <rfmt sheetId="8" sqref="AH289" start="0" length="0">
      <dxf>
        <fill>
          <patternFill patternType="solid">
            <bgColor theme="6" tint="0.59999389629810485"/>
          </patternFill>
        </fill>
      </dxf>
    </rfmt>
    <rfmt sheetId="8" sqref="AI289" start="0" length="0">
      <dxf>
        <fill>
          <patternFill patternType="solid">
            <bgColor theme="6" tint="0.59999389629810485"/>
          </patternFill>
        </fill>
      </dxf>
    </rfmt>
    <rfmt sheetId="8" sqref="AJ289" start="0" length="0">
      <dxf>
        <fill>
          <patternFill patternType="solid">
            <bgColor theme="6" tint="0.59999389629810485"/>
          </patternFill>
        </fill>
      </dxf>
    </rfmt>
    <rfmt sheetId="8" sqref="AK289" start="0" length="0">
      <dxf>
        <fill>
          <patternFill patternType="solid">
            <bgColor theme="6" tint="0.79998168889431442"/>
          </patternFill>
        </fill>
      </dxf>
    </rfmt>
  </rrc>
  <rrc rId="31260" sId="8" ref="A289:XFD289" action="deleteRow">
    <undo index="0" exp="area" ref3D="1" dr="$H$1:$AC$1048576" dn="Z_7C130984_112A_4861_AA43_E2940708E3DC_.wvu.Cols" sId="8"/>
    <rfmt sheetId="8" xfDxf="1" sqref="A289:XFD289" start="0" length="0">
      <dxf>
        <font>
          <sz val="14"/>
          <name val="Times New Roman"/>
          <scheme val="none"/>
        </font>
      </dxf>
    </rfmt>
    <rfmt sheetId="8" sqref="AH289" start="0" length="0">
      <dxf>
        <fill>
          <patternFill patternType="solid">
            <bgColor theme="6" tint="0.59999389629810485"/>
          </patternFill>
        </fill>
      </dxf>
    </rfmt>
    <rfmt sheetId="8" sqref="AI289" start="0" length="0">
      <dxf>
        <fill>
          <patternFill patternType="solid">
            <bgColor theme="6" tint="0.59999389629810485"/>
          </patternFill>
        </fill>
      </dxf>
    </rfmt>
    <rfmt sheetId="8" sqref="AJ289" start="0" length="0">
      <dxf>
        <fill>
          <patternFill patternType="solid">
            <bgColor theme="6" tint="0.59999389629810485"/>
          </patternFill>
        </fill>
      </dxf>
    </rfmt>
    <rfmt sheetId="8" sqref="AK289" start="0" length="0">
      <dxf>
        <fill>
          <patternFill patternType="solid">
            <bgColor theme="6" tint="0.79998168889431442"/>
          </patternFill>
        </fill>
      </dxf>
    </rfmt>
  </rrc>
  <rrc rId="31261" sId="8" ref="A289:XFD289" action="deleteRow">
    <undo index="0" exp="area" ref3D="1" dr="$H$1:$AC$1048576" dn="Z_7C130984_112A_4861_AA43_E2940708E3DC_.wvu.Cols" sId="8"/>
    <rfmt sheetId="8" xfDxf="1" sqref="A289:XFD289" start="0" length="0">
      <dxf>
        <font>
          <sz val="14"/>
          <name val="Times New Roman"/>
          <scheme val="none"/>
        </font>
      </dxf>
    </rfmt>
    <rfmt sheetId="8" sqref="AH289" start="0" length="0">
      <dxf>
        <fill>
          <patternFill patternType="solid">
            <bgColor theme="6" tint="0.59999389629810485"/>
          </patternFill>
        </fill>
      </dxf>
    </rfmt>
    <rfmt sheetId="8" sqref="AI289" start="0" length="0">
      <dxf>
        <fill>
          <patternFill patternType="solid">
            <bgColor theme="6" tint="0.59999389629810485"/>
          </patternFill>
        </fill>
      </dxf>
    </rfmt>
    <rfmt sheetId="8" sqref="AJ289" start="0" length="0">
      <dxf>
        <fill>
          <patternFill patternType="solid">
            <bgColor theme="6" tint="0.59999389629810485"/>
          </patternFill>
        </fill>
      </dxf>
    </rfmt>
    <rfmt sheetId="8" sqref="AK289" start="0" length="0">
      <dxf>
        <fill>
          <patternFill patternType="solid">
            <bgColor theme="6" tint="0.79998168889431442"/>
          </patternFill>
        </fill>
      </dxf>
    </rfmt>
  </rrc>
  <rrc rId="31262" sId="8" ref="A289:XFD289" action="deleteRow">
    <undo index="0" exp="area" ref3D="1" dr="$H$1:$AC$1048576" dn="Z_7C130984_112A_4861_AA43_E2940708E3DC_.wvu.Cols" sId="8"/>
    <rfmt sheetId="8" xfDxf="1" sqref="A289:XFD289" start="0" length="0">
      <dxf>
        <font>
          <sz val="14"/>
          <name val="Times New Roman"/>
          <scheme val="none"/>
        </font>
      </dxf>
    </rfmt>
    <rfmt sheetId="8" sqref="AH289" start="0" length="0">
      <dxf>
        <fill>
          <patternFill patternType="solid">
            <bgColor theme="6" tint="0.59999389629810485"/>
          </patternFill>
        </fill>
      </dxf>
    </rfmt>
    <rfmt sheetId="8" sqref="AI289" start="0" length="0">
      <dxf>
        <fill>
          <patternFill patternType="solid">
            <bgColor theme="6" tint="0.59999389629810485"/>
          </patternFill>
        </fill>
      </dxf>
    </rfmt>
    <rfmt sheetId="8" sqref="AJ289" start="0" length="0">
      <dxf>
        <fill>
          <patternFill patternType="solid">
            <bgColor theme="6" tint="0.59999389629810485"/>
          </patternFill>
        </fill>
      </dxf>
    </rfmt>
    <rfmt sheetId="8" sqref="AK289" start="0" length="0">
      <dxf>
        <fill>
          <patternFill patternType="solid">
            <bgColor theme="6" tint="0.79998168889431442"/>
          </patternFill>
        </fill>
      </dxf>
    </rfmt>
  </rrc>
  <rrc rId="31263" sId="8" ref="A289:XFD289" action="deleteRow">
    <undo index="0" exp="area" ref3D="1" dr="$H$1:$AC$1048576" dn="Z_7C130984_112A_4861_AA43_E2940708E3DC_.wvu.Cols" sId="8"/>
    <rfmt sheetId="8" xfDxf="1" sqref="A289:XFD289" start="0" length="0">
      <dxf>
        <font>
          <sz val="14"/>
          <name val="Times New Roman"/>
          <scheme val="none"/>
        </font>
      </dxf>
    </rfmt>
    <rfmt sheetId="8" sqref="AH289" start="0" length="0">
      <dxf>
        <fill>
          <patternFill patternType="solid">
            <bgColor theme="6" tint="0.59999389629810485"/>
          </patternFill>
        </fill>
      </dxf>
    </rfmt>
    <rfmt sheetId="8" sqref="AI289" start="0" length="0">
      <dxf>
        <fill>
          <patternFill patternType="solid">
            <bgColor theme="6" tint="0.59999389629810485"/>
          </patternFill>
        </fill>
      </dxf>
    </rfmt>
    <rfmt sheetId="8" sqref="AJ289" start="0" length="0">
      <dxf>
        <fill>
          <patternFill patternType="solid">
            <bgColor theme="6" tint="0.59999389629810485"/>
          </patternFill>
        </fill>
      </dxf>
    </rfmt>
    <rfmt sheetId="8" sqref="AK289" start="0" length="0">
      <dxf>
        <fill>
          <patternFill patternType="solid">
            <bgColor theme="6" tint="0.79998168889431442"/>
          </patternFill>
        </fill>
      </dxf>
    </rfmt>
  </rrc>
  <rrc rId="31264" sId="8" ref="A289:XFD289" action="deleteRow">
    <undo index="0" exp="area" ref3D="1" dr="$H$1:$AC$1048576" dn="Z_7C130984_112A_4861_AA43_E2940708E3DC_.wvu.Cols" sId="8"/>
    <rfmt sheetId="8" xfDxf="1" sqref="A289:XFD289" start="0" length="0">
      <dxf>
        <font>
          <sz val="14"/>
          <name val="Times New Roman"/>
          <scheme val="none"/>
        </font>
      </dxf>
    </rfmt>
    <rfmt sheetId="8" sqref="AH289" start="0" length="0">
      <dxf>
        <fill>
          <patternFill patternType="solid">
            <bgColor theme="6" tint="0.59999389629810485"/>
          </patternFill>
        </fill>
      </dxf>
    </rfmt>
    <rfmt sheetId="8" sqref="AI289" start="0" length="0">
      <dxf>
        <fill>
          <patternFill patternType="solid">
            <bgColor theme="6" tint="0.59999389629810485"/>
          </patternFill>
        </fill>
      </dxf>
    </rfmt>
    <rfmt sheetId="8" sqref="AJ289" start="0" length="0">
      <dxf>
        <fill>
          <patternFill patternType="solid">
            <bgColor theme="6" tint="0.59999389629810485"/>
          </patternFill>
        </fill>
      </dxf>
    </rfmt>
    <rfmt sheetId="8" sqref="AK289" start="0" length="0">
      <dxf>
        <fill>
          <patternFill patternType="solid">
            <bgColor theme="6" tint="0.79998168889431442"/>
          </patternFill>
        </fill>
      </dxf>
    </rfmt>
  </rrc>
  <rrc rId="31265" sId="8" ref="A289:XFD289" action="deleteRow">
    <undo index="0" exp="area" ref3D="1" dr="$H$1:$AC$1048576" dn="Z_7C130984_112A_4861_AA43_E2940708E3DC_.wvu.Cols" sId="8"/>
    <rfmt sheetId="8" xfDxf="1" sqref="A289:XFD289" start="0" length="0">
      <dxf>
        <font>
          <sz val="14"/>
          <name val="Times New Roman"/>
          <scheme val="none"/>
        </font>
      </dxf>
    </rfmt>
    <rfmt sheetId="8" sqref="AH289" start="0" length="0">
      <dxf>
        <fill>
          <patternFill patternType="solid">
            <bgColor theme="6" tint="0.59999389629810485"/>
          </patternFill>
        </fill>
      </dxf>
    </rfmt>
    <rfmt sheetId="8" sqref="AI289" start="0" length="0">
      <dxf>
        <fill>
          <patternFill patternType="solid">
            <bgColor theme="6" tint="0.59999389629810485"/>
          </patternFill>
        </fill>
      </dxf>
    </rfmt>
    <rfmt sheetId="8" sqref="AJ289" start="0" length="0">
      <dxf>
        <fill>
          <patternFill patternType="solid">
            <bgColor theme="6" tint="0.59999389629810485"/>
          </patternFill>
        </fill>
      </dxf>
    </rfmt>
    <rfmt sheetId="8" sqref="AK289" start="0" length="0">
      <dxf>
        <fill>
          <patternFill patternType="solid">
            <bgColor theme="6" tint="0.79998168889431442"/>
          </patternFill>
        </fill>
      </dxf>
    </rfmt>
  </rrc>
  <rrc rId="31266" sId="8" ref="A289:XFD289" action="deleteRow">
    <undo index="0" exp="area" ref3D="1" dr="$H$1:$AC$1048576" dn="Z_7C130984_112A_4861_AA43_E2940708E3DC_.wvu.Cols" sId="8"/>
    <rfmt sheetId="8" xfDxf="1" sqref="A289:XFD289" start="0" length="0">
      <dxf>
        <font>
          <sz val="14"/>
          <name val="Times New Roman"/>
          <scheme val="none"/>
        </font>
      </dxf>
    </rfmt>
    <rfmt sheetId="8" sqref="AH289" start="0" length="0">
      <dxf>
        <fill>
          <patternFill patternType="solid">
            <bgColor theme="6" tint="0.59999389629810485"/>
          </patternFill>
        </fill>
      </dxf>
    </rfmt>
    <rfmt sheetId="8" sqref="AI289" start="0" length="0">
      <dxf>
        <fill>
          <patternFill patternType="solid">
            <bgColor theme="6" tint="0.59999389629810485"/>
          </patternFill>
        </fill>
      </dxf>
    </rfmt>
    <rfmt sheetId="8" sqref="AJ289" start="0" length="0">
      <dxf>
        <fill>
          <patternFill patternType="solid">
            <bgColor theme="6" tint="0.59999389629810485"/>
          </patternFill>
        </fill>
      </dxf>
    </rfmt>
    <rfmt sheetId="8" sqref="AK289" start="0" length="0">
      <dxf>
        <fill>
          <patternFill patternType="solid">
            <bgColor theme="6" tint="0.79998168889431442"/>
          </patternFill>
        </fill>
      </dxf>
    </rfmt>
  </rrc>
  <rrc rId="31267" sId="8" ref="A289:XFD289" action="deleteRow">
    <undo index="0" exp="area" ref3D="1" dr="$H$1:$AC$1048576" dn="Z_7C130984_112A_4861_AA43_E2940708E3DC_.wvu.Cols" sId="8"/>
    <rfmt sheetId="8" xfDxf="1" sqref="A289:XFD289" start="0" length="0">
      <dxf>
        <font>
          <sz val="14"/>
          <name val="Times New Roman"/>
          <scheme val="none"/>
        </font>
      </dxf>
    </rfmt>
    <rfmt sheetId="8" sqref="AH289" start="0" length="0">
      <dxf>
        <fill>
          <patternFill patternType="solid">
            <bgColor theme="6" tint="0.59999389629810485"/>
          </patternFill>
        </fill>
      </dxf>
    </rfmt>
    <rfmt sheetId="8" sqref="AI289" start="0" length="0">
      <dxf>
        <fill>
          <patternFill patternType="solid">
            <bgColor theme="6" tint="0.59999389629810485"/>
          </patternFill>
        </fill>
      </dxf>
    </rfmt>
    <rfmt sheetId="8" sqref="AJ289" start="0" length="0">
      <dxf>
        <fill>
          <patternFill patternType="solid">
            <bgColor theme="6" tint="0.59999389629810485"/>
          </patternFill>
        </fill>
      </dxf>
    </rfmt>
    <rfmt sheetId="8" sqref="AK289" start="0" length="0">
      <dxf>
        <fill>
          <patternFill patternType="solid">
            <bgColor theme="6" tint="0.79998168889431442"/>
          </patternFill>
        </fill>
      </dxf>
    </rfmt>
  </rrc>
  <rrc rId="31268" sId="8" ref="A289:XFD289" action="deleteRow">
    <undo index="0" exp="area" ref3D="1" dr="$H$1:$AC$1048576" dn="Z_7C130984_112A_4861_AA43_E2940708E3DC_.wvu.Cols" sId="8"/>
    <rfmt sheetId="8" xfDxf="1" sqref="A289:XFD289" start="0" length="0">
      <dxf>
        <font>
          <sz val="14"/>
          <name val="Times New Roman"/>
          <scheme val="none"/>
        </font>
      </dxf>
    </rfmt>
    <rfmt sheetId="8" sqref="AH289" start="0" length="0">
      <dxf>
        <fill>
          <patternFill patternType="solid">
            <bgColor theme="6" tint="0.59999389629810485"/>
          </patternFill>
        </fill>
      </dxf>
    </rfmt>
    <rfmt sheetId="8" sqref="AI289" start="0" length="0">
      <dxf>
        <fill>
          <patternFill patternType="solid">
            <bgColor theme="6" tint="0.59999389629810485"/>
          </patternFill>
        </fill>
      </dxf>
    </rfmt>
    <rfmt sheetId="8" sqref="AJ289" start="0" length="0">
      <dxf>
        <fill>
          <patternFill patternType="solid">
            <bgColor theme="6" tint="0.59999389629810485"/>
          </patternFill>
        </fill>
      </dxf>
    </rfmt>
    <rfmt sheetId="8" sqref="AK289" start="0" length="0">
      <dxf>
        <fill>
          <patternFill patternType="solid">
            <bgColor theme="6" tint="0.79998168889431442"/>
          </patternFill>
        </fill>
      </dxf>
    </rfmt>
  </rrc>
  <rrc rId="31269" sId="8" ref="A289:XFD289" action="deleteRow">
    <undo index="0" exp="area" ref3D="1" dr="$H$1:$AC$1048576" dn="Z_7C130984_112A_4861_AA43_E2940708E3DC_.wvu.Cols" sId="8"/>
    <rfmt sheetId="8" xfDxf="1" sqref="A289:XFD289" start="0" length="0">
      <dxf>
        <font>
          <sz val="14"/>
          <name val="Times New Roman"/>
          <scheme val="none"/>
        </font>
      </dxf>
    </rfmt>
    <rfmt sheetId="8" sqref="AH289" start="0" length="0">
      <dxf>
        <fill>
          <patternFill patternType="solid">
            <bgColor theme="6" tint="0.59999389629810485"/>
          </patternFill>
        </fill>
      </dxf>
    </rfmt>
    <rfmt sheetId="8" sqref="AI289" start="0" length="0">
      <dxf>
        <fill>
          <patternFill patternType="solid">
            <bgColor theme="6" tint="0.59999389629810485"/>
          </patternFill>
        </fill>
      </dxf>
    </rfmt>
    <rfmt sheetId="8" sqref="AJ289" start="0" length="0">
      <dxf>
        <fill>
          <patternFill patternType="solid">
            <bgColor theme="6" tint="0.59999389629810485"/>
          </patternFill>
        </fill>
      </dxf>
    </rfmt>
    <rfmt sheetId="8" sqref="AK289" start="0" length="0">
      <dxf>
        <fill>
          <patternFill patternType="solid">
            <bgColor theme="6" tint="0.79998168889431442"/>
          </patternFill>
        </fill>
      </dxf>
    </rfmt>
  </rrc>
  <rrc rId="31270" sId="8" ref="A289:XFD289" action="deleteRow">
    <undo index="0" exp="area" ref3D="1" dr="$H$1:$AC$1048576" dn="Z_7C130984_112A_4861_AA43_E2940708E3DC_.wvu.Cols" sId="8"/>
    <rfmt sheetId="8" xfDxf="1" sqref="A289:XFD289" start="0" length="0">
      <dxf>
        <font>
          <sz val="14"/>
          <name val="Times New Roman"/>
          <scheme val="none"/>
        </font>
      </dxf>
    </rfmt>
    <rfmt sheetId="8" sqref="AH289" start="0" length="0">
      <dxf>
        <fill>
          <patternFill patternType="solid">
            <bgColor theme="6" tint="0.59999389629810485"/>
          </patternFill>
        </fill>
      </dxf>
    </rfmt>
    <rfmt sheetId="8" sqref="AI289" start="0" length="0">
      <dxf>
        <fill>
          <patternFill patternType="solid">
            <bgColor theme="6" tint="0.59999389629810485"/>
          </patternFill>
        </fill>
      </dxf>
    </rfmt>
    <rfmt sheetId="8" sqref="AJ289" start="0" length="0">
      <dxf>
        <fill>
          <patternFill patternType="solid">
            <bgColor theme="6" tint="0.59999389629810485"/>
          </patternFill>
        </fill>
      </dxf>
    </rfmt>
    <rfmt sheetId="8" sqref="AK289" start="0" length="0">
      <dxf>
        <fill>
          <patternFill patternType="solid">
            <bgColor theme="6" tint="0.79998168889431442"/>
          </patternFill>
        </fill>
      </dxf>
    </rfmt>
  </rrc>
  <rcc rId="31271" sId="8">
    <nc r="B300">
      <f>B29+B36</f>
    </nc>
  </rcc>
  <rfmt sheetId="8" sqref="B300">
    <dxf>
      <fill>
        <patternFill>
          <bgColor rgb="FFFFFF00"/>
        </patternFill>
      </fill>
    </dxf>
  </rfmt>
  <rcc rId="31272" sId="8" odxf="1" dxf="1">
    <nc r="C300">
      <f>C29+C36</f>
    </nc>
    <odxf>
      <fill>
        <patternFill>
          <bgColor theme="4" tint="0.59999389629810485"/>
        </patternFill>
      </fill>
    </odxf>
    <ndxf>
      <fill>
        <patternFill>
          <bgColor rgb="FFFFFF00"/>
        </patternFill>
      </fill>
    </ndxf>
  </rcc>
  <rcc rId="31273" sId="8" odxf="1" dxf="1">
    <nc r="D300">
      <f>D29+D36</f>
    </nc>
    <odxf>
      <fill>
        <patternFill>
          <bgColor theme="4" tint="0.59999389629810485"/>
        </patternFill>
      </fill>
    </odxf>
    <ndxf>
      <fill>
        <patternFill>
          <bgColor rgb="FFFFFF00"/>
        </patternFill>
      </fill>
    </ndxf>
  </rcc>
  <rcc rId="31274" sId="8" odxf="1" dxf="1">
    <nc r="E300">
      <f>E29+E36</f>
    </nc>
    <odxf>
      <fill>
        <patternFill>
          <bgColor theme="4" tint="0.59999389629810485"/>
        </patternFill>
      </fill>
    </odxf>
    <ndxf>
      <fill>
        <patternFill>
          <bgColor rgb="FFFFFF00"/>
        </patternFill>
      </fill>
    </ndxf>
  </rcc>
  <rcc rId="31275" sId="8">
    <nc r="F300">
      <f>IFERROR(E300/B300*100,0)</f>
    </nc>
  </rcc>
  <rcc rId="31276" sId="8">
    <nc r="G300">
      <f>IFERROR(E300/C300*100,0)</f>
    </nc>
  </rcc>
  <rfmt sheetId="8" sqref="F300:G300">
    <dxf>
      <fill>
        <patternFill>
          <bgColor rgb="FFFFFF00"/>
        </patternFill>
      </fill>
    </dxf>
  </rfmt>
  <rcc rId="31277" sId="8" odxf="1" dxf="1">
    <nc r="H300">
      <f>H29+H36</f>
    </nc>
    <odxf>
      <fill>
        <patternFill>
          <bgColor theme="4" tint="0.59999389629810485"/>
        </patternFill>
      </fill>
    </odxf>
    <ndxf>
      <fill>
        <patternFill>
          <bgColor rgb="FFFFFF00"/>
        </patternFill>
      </fill>
    </ndxf>
  </rcc>
  <rcc rId="31278" sId="8" odxf="1" dxf="1">
    <nc r="I300">
      <f>I29+I36</f>
    </nc>
    <odxf>
      <fill>
        <patternFill>
          <bgColor theme="4" tint="0.59999389629810485"/>
        </patternFill>
      </fill>
    </odxf>
    <ndxf>
      <fill>
        <patternFill>
          <bgColor rgb="FFFFFF00"/>
        </patternFill>
      </fill>
    </ndxf>
  </rcc>
  <rcc rId="31279" sId="8" odxf="1" dxf="1">
    <nc r="J300">
      <f>J29+J36</f>
    </nc>
    <odxf>
      <fill>
        <patternFill>
          <bgColor theme="4" tint="0.59999389629810485"/>
        </patternFill>
      </fill>
    </odxf>
    <ndxf>
      <fill>
        <patternFill>
          <bgColor rgb="FFFFFF00"/>
        </patternFill>
      </fill>
    </ndxf>
  </rcc>
  <rcc rId="31280" sId="8" odxf="1" dxf="1">
    <nc r="K300">
      <f>K29+K36</f>
    </nc>
    <odxf>
      <fill>
        <patternFill>
          <bgColor theme="4" tint="0.59999389629810485"/>
        </patternFill>
      </fill>
    </odxf>
    <ndxf>
      <fill>
        <patternFill>
          <bgColor rgb="FFFFFF00"/>
        </patternFill>
      </fill>
    </ndxf>
  </rcc>
  <rcc rId="31281" sId="8" odxf="1" dxf="1">
    <nc r="L300">
      <f>L29+L36</f>
    </nc>
    <odxf>
      <fill>
        <patternFill>
          <bgColor theme="4" tint="0.59999389629810485"/>
        </patternFill>
      </fill>
    </odxf>
    <ndxf>
      <fill>
        <patternFill>
          <bgColor rgb="FFFFFF00"/>
        </patternFill>
      </fill>
    </ndxf>
  </rcc>
  <rcc rId="31282" sId="8" odxf="1" dxf="1">
    <nc r="M300">
      <f>M29+M36</f>
    </nc>
    <odxf>
      <fill>
        <patternFill>
          <bgColor theme="4" tint="0.59999389629810485"/>
        </patternFill>
      </fill>
    </odxf>
    <ndxf>
      <fill>
        <patternFill>
          <bgColor rgb="FFFFFF00"/>
        </patternFill>
      </fill>
    </ndxf>
  </rcc>
  <rcc rId="31283" sId="8" odxf="1" dxf="1">
    <nc r="N300">
      <f>N29+N36</f>
    </nc>
    <odxf>
      <fill>
        <patternFill>
          <bgColor theme="4" tint="0.59999389629810485"/>
        </patternFill>
      </fill>
    </odxf>
    <ndxf>
      <fill>
        <patternFill>
          <bgColor rgb="FFFFFF00"/>
        </patternFill>
      </fill>
    </ndxf>
  </rcc>
  <rcc rId="31284" sId="8" odxf="1" dxf="1">
    <nc r="O300">
      <f>O29+O36</f>
    </nc>
    <odxf>
      <fill>
        <patternFill>
          <bgColor theme="4" tint="0.59999389629810485"/>
        </patternFill>
      </fill>
    </odxf>
    <ndxf>
      <fill>
        <patternFill>
          <bgColor rgb="FFFFFF00"/>
        </patternFill>
      </fill>
    </ndxf>
  </rcc>
  <rcc rId="31285" sId="8" odxf="1" dxf="1">
    <nc r="P300">
      <f>P29+P36</f>
    </nc>
    <odxf>
      <fill>
        <patternFill>
          <bgColor theme="4" tint="0.59999389629810485"/>
        </patternFill>
      </fill>
    </odxf>
    <ndxf>
      <fill>
        <patternFill>
          <bgColor rgb="FFFFFF00"/>
        </patternFill>
      </fill>
    </ndxf>
  </rcc>
  <rcc rId="31286" sId="8" odxf="1" dxf="1">
    <nc r="Q300">
      <f>Q29+Q36</f>
    </nc>
    <odxf>
      <fill>
        <patternFill>
          <bgColor theme="4" tint="0.59999389629810485"/>
        </patternFill>
      </fill>
    </odxf>
    <ndxf>
      <fill>
        <patternFill>
          <bgColor rgb="FFFFFF00"/>
        </patternFill>
      </fill>
    </ndxf>
  </rcc>
  <rcc rId="31287" sId="8" odxf="1" dxf="1">
    <nc r="R300">
      <f>R29+R36</f>
    </nc>
    <odxf>
      <fill>
        <patternFill>
          <bgColor theme="4" tint="0.59999389629810485"/>
        </patternFill>
      </fill>
    </odxf>
    <ndxf>
      <fill>
        <patternFill>
          <bgColor rgb="FFFFFF00"/>
        </patternFill>
      </fill>
    </ndxf>
  </rcc>
  <rcc rId="31288" sId="8" odxf="1" dxf="1">
    <nc r="S300">
      <f>S29+S36</f>
    </nc>
    <odxf>
      <fill>
        <patternFill>
          <bgColor theme="4" tint="0.59999389629810485"/>
        </patternFill>
      </fill>
    </odxf>
    <ndxf>
      <fill>
        <patternFill>
          <bgColor rgb="FFFFFF00"/>
        </patternFill>
      </fill>
    </ndxf>
  </rcc>
  <rcc rId="31289" sId="8" odxf="1" dxf="1">
    <nc r="T300">
      <f>T29+T36</f>
    </nc>
    <odxf>
      <fill>
        <patternFill>
          <bgColor theme="4" tint="0.59999389629810485"/>
        </patternFill>
      </fill>
    </odxf>
    <ndxf>
      <fill>
        <patternFill>
          <bgColor rgb="FFFFFF00"/>
        </patternFill>
      </fill>
    </ndxf>
  </rcc>
  <rcc rId="31290" sId="8" odxf="1" dxf="1">
    <nc r="U300">
      <f>U29+U36</f>
    </nc>
    <odxf>
      <fill>
        <patternFill>
          <bgColor theme="4" tint="0.59999389629810485"/>
        </patternFill>
      </fill>
    </odxf>
    <ndxf>
      <fill>
        <patternFill>
          <bgColor rgb="FFFFFF00"/>
        </patternFill>
      </fill>
    </ndxf>
  </rcc>
  <rcc rId="31291" sId="8" odxf="1" dxf="1">
    <nc r="V300">
      <f>V29+V36</f>
    </nc>
    <odxf>
      <fill>
        <patternFill>
          <bgColor theme="4" tint="0.59999389629810485"/>
        </patternFill>
      </fill>
    </odxf>
    <ndxf>
      <fill>
        <patternFill>
          <bgColor rgb="FFFFFF00"/>
        </patternFill>
      </fill>
    </ndxf>
  </rcc>
  <rcc rId="31292" sId="8" odxf="1" dxf="1">
    <nc r="W300">
      <f>W29+W36</f>
    </nc>
    <odxf>
      <fill>
        <patternFill>
          <bgColor theme="4" tint="0.59999389629810485"/>
        </patternFill>
      </fill>
    </odxf>
    <ndxf>
      <fill>
        <patternFill>
          <bgColor rgb="FFFFFF00"/>
        </patternFill>
      </fill>
    </ndxf>
  </rcc>
  <rcc rId="31293" sId="8" odxf="1" dxf="1">
    <nc r="X300">
      <f>X29+X36</f>
    </nc>
    <odxf>
      <fill>
        <patternFill>
          <bgColor theme="4" tint="0.59999389629810485"/>
        </patternFill>
      </fill>
    </odxf>
    <ndxf>
      <fill>
        <patternFill>
          <bgColor rgb="FFFFFF00"/>
        </patternFill>
      </fill>
    </ndxf>
  </rcc>
  <rcc rId="31294" sId="8" odxf="1" dxf="1">
    <nc r="Y300">
      <f>Y29+Y36</f>
    </nc>
    <odxf>
      <fill>
        <patternFill>
          <bgColor theme="4" tint="0.59999389629810485"/>
        </patternFill>
      </fill>
    </odxf>
    <ndxf>
      <fill>
        <patternFill>
          <bgColor rgb="FFFFFF00"/>
        </patternFill>
      </fill>
    </ndxf>
  </rcc>
  <rcc rId="31295" sId="8" odxf="1" dxf="1">
    <nc r="Z300">
      <f>Z29+Z36</f>
    </nc>
    <odxf>
      <fill>
        <patternFill>
          <bgColor theme="4" tint="0.59999389629810485"/>
        </patternFill>
      </fill>
    </odxf>
    <ndxf>
      <fill>
        <patternFill>
          <bgColor rgb="FFFFFF00"/>
        </patternFill>
      </fill>
    </ndxf>
  </rcc>
  <rcc rId="31296" sId="8" odxf="1" dxf="1">
    <nc r="AA300">
      <f>AA29+AA36</f>
    </nc>
    <odxf>
      <fill>
        <patternFill>
          <bgColor theme="4" tint="0.59999389629810485"/>
        </patternFill>
      </fill>
    </odxf>
    <ndxf>
      <fill>
        <patternFill>
          <bgColor rgb="FFFFFF00"/>
        </patternFill>
      </fill>
    </ndxf>
  </rcc>
  <rcc rId="31297" sId="8" odxf="1" dxf="1">
    <nc r="AB300">
      <f>AB29+AB36</f>
    </nc>
    <odxf>
      <fill>
        <patternFill>
          <bgColor theme="4" tint="0.59999389629810485"/>
        </patternFill>
      </fill>
    </odxf>
    <ndxf>
      <fill>
        <patternFill>
          <bgColor rgb="FFFFFF00"/>
        </patternFill>
      </fill>
    </ndxf>
  </rcc>
  <rcc rId="31298" sId="8" odxf="1" dxf="1">
    <nc r="AC300">
      <f>AC29+AC36</f>
    </nc>
    <odxf>
      <fill>
        <patternFill>
          <bgColor theme="4" tint="0.59999389629810485"/>
        </patternFill>
      </fill>
    </odxf>
    <ndxf>
      <fill>
        <patternFill>
          <bgColor rgb="FFFFFF00"/>
        </patternFill>
      </fill>
    </ndxf>
  </rcc>
  <rcc rId="31299" sId="8" odxf="1" dxf="1">
    <nc r="AD300">
      <f>AD29+AD36</f>
    </nc>
    <odxf>
      <fill>
        <patternFill>
          <bgColor theme="4" tint="0.59999389629810485"/>
        </patternFill>
      </fill>
    </odxf>
    <ndxf>
      <fill>
        <patternFill>
          <bgColor rgb="FFFFFF00"/>
        </patternFill>
      </fill>
    </ndxf>
  </rcc>
  <rcc rId="31300" sId="8" odxf="1" dxf="1">
    <nc r="AE300">
      <f>AE29+AE36</f>
    </nc>
    <odxf>
      <fill>
        <patternFill>
          <bgColor theme="4" tint="0.59999389629810485"/>
        </patternFill>
      </fill>
    </odxf>
    <ndxf>
      <fill>
        <patternFill>
          <bgColor rgb="FFFFFF00"/>
        </patternFill>
      </fill>
    </ndxf>
  </rcc>
  <rcc rId="31301" sId="8">
    <oc r="B306">
      <f>H306+J306+L306+N306+P306+R306+T306+V306+X306+Z306+AB306+AD306</f>
    </oc>
    <nc r="B306">
      <f>B49+B68+B76</f>
    </nc>
  </rcc>
  <rcc rId="31302" sId="8">
    <oc r="C306">
      <f>I306+K306+M306+O306+Q306+S306+U306+W306+Y306+AA306+AC306+AE306</f>
    </oc>
    <nc r="C306">
      <f>C49+C68+C76</f>
    </nc>
  </rcc>
  <rcc rId="31303" sId="8">
    <oc r="D306">
      <f>J306+L306+N306+P306+R306+T306+V306+X306+Z306+AB306+AD306+AF306</f>
    </oc>
    <nc r="D306">
      <f>D49+D68+D76</f>
    </nc>
  </rcc>
  <rcc rId="31304" sId="8">
    <oc r="E306">
      <f>K306+M306+O306+Q306+S306+U306+W306+Y306+AA306+AC306+AE306+AG306</f>
    </oc>
    <nc r="E306">
      <f>E49+E68+E76</f>
    </nc>
  </rcc>
  <rcc rId="31305" sId="8">
    <oc r="H306">
      <f>N306+P306+R306+T306+V306+X306+Z306+AB306+AD306+AF306+AH306+AJ306</f>
    </oc>
    <nc r="H306">
      <f>H49+H68+H76</f>
    </nc>
  </rcc>
  <rcc rId="31306" sId="8">
    <oc r="I306">
      <f>O306+Q306+S306+U306+W306+Y306+AA306+AC306+AE306+AG306+AI306+AK306</f>
    </oc>
    <nc r="I306">
      <f>I49+I68+I76</f>
    </nc>
  </rcc>
  <rcc rId="31307" sId="8">
    <oc r="J306">
      <f>P306+R306+T306+V306+X306+Z306+AB306+AD306+AF306+AH306+AJ306+AL306</f>
    </oc>
    <nc r="J306">
      <f>J49+J68+J76</f>
    </nc>
  </rcc>
  <rcc rId="31308" sId="8">
    <oc r="K306">
      <f>Q306+S306+U306+W306+Y306+AA306+AC306+AE306+AG306+AI306+AK306+AM306</f>
    </oc>
    <nc r="K306">
      <f>K49+K68+K76</f>
    </nc>
  </rcc>
  <rcc rId="31309" sId="8">
    <oc r="L306">
      <f>R306+T306+V306+X306+Z306+AB306+AD306+AF306+AH306+AJ306+AL306+AN306</f>
    </oc>
    <nc r="L306">
      <f>L49+L68+L76</f>
    </nc>
  </rcc>
  <rcc rId="31310" sId="8">
    <oc r="M306">
      <f>S306+U306+W306+Y306+AA306+AC306+AE306+AG306+AI306+AK306+AM306+AO306</f>
    </oc>
    <nc r="M306">
      <f>M49+M68+M76</f>
    </nc>
  </rcc>
  <rcc rId="31311" sId="8">
    <oc r="N306">
      <f>T306+V306+X306+Z306+AB306+AD306+AF306+AH306+AJ306+AL306+AN306+AP306</f>
    </oc>
    <nc r="N306">
      <f>N49+N68+N76</f>
    </nc>
  </rcc>
  <rcc rId="31312" sId="8">
    <oc r="O306">
      <f>U306+W306+Y306+AA306+AC306+AE306+AG306+AI306+AK306+AM306+AO306+AQ306</f>
    </oc>
    <nc r="O306">
      <f>O49+O68+O76</f>
    </nc>
  </rcc>
  <rcc rId="31313" sId="8">
    <oc r="P306">
      <f>V306+X306+Z306+AB306+AD306+AF306+AH306+AJ306+AL306+AN306+AP306+AR306</f>
    </oc>
    <nc r="P306">
      <f>P49+P68+P76</f>
    </nc>
  </rcc>
  <rcc rId="31314" sId="8">
    <oc r="Q306">
      <f>W306+Y306+AA306+AC306+AE306+AG306+AI306+AK306+AM306+AO306+AQ306+AS306</f>
    </oc>
    <nc r="Q306">
      <f>Q49+Q68+Q76</f>
    </nc>
  </rcc>
  <rcc rId="31315" sId="8">
    <oc r="R306">
      <f>X306+Z306+AB306+AD306+AF306+AH306+AJ306+AL306+AN306+AP306+AR306+AT306</f>
    </oc>
    <nc r="R306">
      <f>R49+R68+R76</f>
    </nc>
  </rcc>
  <rcc rId="31316" sId="8">
    <oc r="S306">
      <f>Y306+AA306+AC306+AE306+AG306+AI306+AK306+AM306+AO306+AQ306+AS306+AU306</f>
    </oc>
    <nc r="S306">
      <f>S49+S68+S76</f>
    </nc>
  </rcc>
  <rcc rId="31317" sId="8">
    <oc r="T306">
      <f>Z306+AB306+AD306+AF306+AH306+AJ306+AL306+AN306+AP306+AR306+AT306+AV306</f>
    </oc>
    <nc r="T306">
      <f>T49+T68+T76</f>
    </nc>
  </rcc>
  <rcc rId="31318" sId="8">
    <oc r="U306">
      <f>AA306+AC306+AE306+AG306+AI306+AK306+AM306+AO306+AQ306+AS306+AU306+AW306</f>
    </oc>
    <nc r="U306">
      <f>U49+U68+U76</f>
    </nc>
  </rcc>
  <rcc rId="31319" sId="8">
    <oc r="V306">
      <f>AB306+AD306+AF306+AH306+AJ306+AL306+AN306+AP306+AR306+AT306+AV306+AX306</f>
    </oc>
    <nc r="V306">
      <f>V49+V68+V76</f>
    </nc>
  </rcc>
  <rcc rId="31320" sId="8">
    <oc r="W306">
      <f>AC306+AE306+AG306+AI306+AK306+AM306+AO306+AQ306+AS306+AU306+AW306+AY306</f>
    </oc>
    <nc r="W306">
      <f>W49+W68+W76</f>
    </nc>
  </rcc>
  <rcc rId="31321" sId="8">
    <oc r="X306">
      <f>AD306+AF306+AH306+AJ306+AL306+AN306+AP306+AR306+AT306+AV306+AX306+AZ306</f>
    </oc>
    <nc r="X306">
      <f>X49+X68+X76</f>
    </nc>
  </rcc>
  <rcc rId="31322" sId="8">
    <oc r="Y306">
      <f>AE306+AG306+AI306+AK306+AM306+AO306+AQ306+AS306+AU306+AW306+AY306+BA306</f>
    </oc>
    <nc r="Y306">
      <f>Y49+Y68+Y76</f>
    </nc>
  </rcc>
  <rcc rId="31323" sId="8">
    <oc r="Z306">
      <f>AF306+AH306+AJ306+AL306+AN306+AP306+AR306+AT306+AV306+AX306+AZ306+BB306</f>
    </oc>
    <nc r="Z306">
      <f>Z49+Z68+Z76</f>
    </nc>
  </rcc>
  <rcc rId="31324" sId="8">
    <oc r="AA306">
      <f>AG306+AI306+AK306+AM306+AO306+AQ306+AS306+AU306+AW306+AY306+BA306+BC306</f>
    </oc>
    <nc r="AA306">
      <f>AA49+AA68+AA76</f>
    </nc>
  </rcc>
  <rcc rId="31325" sId="8">
    <oc r="AB306">
      <f>AH306+AJ306+AL306+AN306+AP306+AR306+AT306+AV306+AX306+AZ306+BB306+BD306</f>
    </oc>
    <nc r="AB306">
      <f>AB49+AB68+AB76</f>
    </nc>
  </rcc>
  <rcc rId="31326" sId="8">
    <oc r="AC306">
      <f>AI306+AK306+AM306+AO306+AQ306+AS306+AU306+AW306+AY306+BA306+BC306+BE306</f>
    </oc>
    <nc r="AC306">
      <f>AC49+AC68+AC76</f>
    </nc>
  </rcc>
  <rcc rId="31327" sId="8">
    <oc r="AD306">
      <f>AJ306+AL306+AN306+AP306+AR306+AT306+AV306+AX306+AZ306+BB306+BD306+BF306</f>
    </oc>
    <nc r="AD306">
      <f>AD49+AD68+AD76</f>
    </nc>
  </rcc>
  <rcc rId="31328" sId="8">
    <oc r="AE306">
      <f>AK306+AM306+AO306+AQ306+AS306+AU306+AW306+AY306+BA306+BC306+BE306+BG306</f>
    </oc>
    <nc r="AE306">
      <f>AE49+AE68+AE76</f>
    </nc>
  </rcc>
  <rfmt sheetId="8" sqref="H306:AE306">
    <dxf>
      <fill>
        <patternFill>
          <bgColor rgb="FFFFFF00"/>
        </patternFill>
      </fill>
    </dxf>
  </rfmt>
  <rfmt sheetId="8" sqref="B306:G306">
    <dxf>
      <fill>
        <patternFill>
          <bgColor rgb="FFFFFF00"/>
        </patternFill>
      </fill>
    </dxf>
  </rfmt>
  <rcv guid="{533DC55B-6AD4-4674-9488-685EF2039F3E}" action="delete"/>
  <rdn rId="0" localSheetId="2" customView="1" name="Z_533DC55B_6AD4_4674_9488_685EF2039F3E_.wvu.Rows" hidden="1" oldHidden="1">
    <formula>'1.СЗН'!$70:$74</formula>
    <oldFormula>'1.СЗН'!$70:$74</oldFormula>
  </rdn>
  <rdn rId="0" localSheetId="2" customView="1" name="Z_533DC55B_6AD4_4674_9488_685EF2039F3E_.wvu.FilterData" hidden="1" oldHidden="1">
    <formula>'1.СЗН'!$A$1:$AF$64</formula>
    <oldFormula>'1.СЗН'!$A$1:$AF$64</oldFormula>
  </rdn>
  <rdn rId="0" localSheetId="3" customView="1" name="Z_533DC55B_6AD4_4674_9488_685EF2039F3E_.wvu.FilterData" hidden="1" oldHidden="1">
    <formula>'2.АПК'!$A$1:$AF$36</formula>
    <oldFormula>'2.АПК'!$A$1:$AF$36</oldFormula>
  </rdn>
  <rdn rId="0" localSheetId="4" customView="1" name="Z_533DC55B_6AD4_4674_9488_685EF2039F3E_.wvu.FilterData" hidden="1" oldHidden="1">
    <formula>'3.БЖД'!$A$1:$AF$17</formula>
    <oldFormula>'3.БЖД'!$A$1:$AF$17</oldFormula>
  </rdn>
  <rdn rId="0" localSheetId="5" customView="1" name="Z_533DC55B_6AD4_4674_9488_685EF2039F3E_.wvu.FilterData" hidden="1" oldHidden="1">
    <formula>'4.УМИ'!$A$1:$AF$11</formula>
    <oldFormula>'4.УМИ'!$A$1:$AF$11</oldFormula>
  </rdn>
  <rdn rId="0" localSheetId="6" customView="1" name="Z_533DC55B_6AD4_4674_9488_685EF2039F3E_.wvu.FilterData" hidden="1" oldHidden="1">
    <formula>'5.Проф. прав.'!$A$1:$AF$12</formula>
    <oldFormula>'5.Проф. прав.'!$A$1:$AF$12</oldFormula>
  </rdn>
  <rdn rId="0" localSheetId="7" customView="1" name="Z_533DC55B_6AD4_4674_9488_685EF2039F3E_.wvu.Rows" hidden="1" oldHidden="1">
    <formula>'6.Экстримизм'!$9:$23,'6.Экстримизм'!$30:$38,'6.Экстримизм'!$44:$49,'6.Экстримизм'!$65:$67,'6.Экстримизм'!$71:$76,'6.Экстримизм'!$86:$88,'6.Экстримизм'!$95:$97</formula>
    <oldFormula>'6.Экстримизм'!$9:$23,'6.Экстримизм'!$30:$38,'6.Экстримизм'!$44:$49,'6.Экстримизм'!$65:$67,'6.Экстримизм'!$71:$76,'6.Экстримизм'!$86:$88,'6.Экстримизм'!$95:$97</oldFormula>
  </rdn>
  <rdn rId="0" localSheetId="7" customView="1" name="Z_533DC55B_6AD4_4674_9488_685EF2039F3E_.wvu.FilterData" hidden="1" oldHidden="1">
    <formula>'6.Экстримизм'!$A$1:$AF$11</formula>
    <oldFormula>'6.Экстримизм'!$A$1:$AF$11</oldFormula>
  </rdn>
  <rdn rId="0" localSheetId="14" customView="1" name="Z_533DC55B_6AD4_4674_9488_685EF2039F3E_.wvu.FilterData" hidden="1" oldHidden="1">
    <formula>'11.МП РО'!$A$7:$AP$125</formula>
    <oldFormula>'11.МП РО'!$A$7:$AP$125</oldFormula>
  </rdn>
  <rdn rId="0" localSheetId="17" customView="1" name="Z_533DC55B_6AD4_4674_9488_685EF2039F3E_.wvu.Rows" hidden="1" oldHidden="1">
    <formula>'13.МП РЖС'!$122:$127</formula>
    <oldFormula>'13.МП РЖС'!$122:$127</oldFormula>
  </rdn>
  <rdn rId="0" localSheetId="17" customView="1" name="Z_533DC55B_6AD4_4674_9488_685EF2039F3E_.wvu.Cols" hidden="1" oldHidden="1">
    <formula>'13.МП РЖС'!$AG:$AG</formula>
    <oldFormula>'13.МП РЖС'!$AG:$AG</oldFormula>
  </rdn>
  <rcv guid="{533DC55B-6AD4-4674-9488-685EF2039F3E}"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B284:C284">
    <dxf>
      <fill>
        <patternFill patternType="none">
          <bgColor auto="1"/>
        </patternFill>
      </fill>
    </dxf>
  </rfmt>
  <rcmt sheetId="8" cell="I147" guid="{00000000-0000-0000-0000-000000000000}" action="delete" alwaysShow="1" author="Шишкина Юлия Андреева"/>
  <rcmt sheetId="8" cell="I205" guid="{00000000-0000-0000-0000-000000000000}" action="delete" alwaysShow="1" author="Шишкина Юлия Андреева"/>
  <rcmt sheetId="8" cell="I217" guid="{00000000-0000-0000-0000-000000000000}" action="delete" alwaysShow="1" author="Шишкина Юлия Андреева"/>
  <rcc rId="31340" sId="8" numFmtId="4">
    <nc r="H49">
      <v>0</v>
    </nc>
  </rcc>
  <rcc rId="31341" sId="8" numFmtId="4">
    <nc r="I49">
      <v>0</v>
    </nc>
  </rcc>
  <rcc rId="31342" sId="8" numFmtId="4">
    <nc r="J49">
      <v>0</v>
    </nc>
  </rcc>
  <rcc rId="31343" sId="8" numFmtId="4">
    <nc r="K49">
      <v>0</v>
    </nc>
  </rcc>
  <rcc rId="31344" sId="8" numFmtId="4">
    <nc r="L49">
      <v>0</v>
    </nc>
  </rcc>
  <rcc rId="31345" sId="8" numFmtId="4">
    <nc r="M49">
      <v>0</v>
    </nc>
  </rcc>
  <rcc rId="31346" sId="8" numFmtId="4">
    <nc r="N49">
      <v>0</v>
    </nc>
  </rcc>
  <rcc rId="31347" sId="8" numFmtId="4">
    <nc r="O49">
      <v>0</v>
    </nc>
  </rcc>
  <rcc rId="31348" sId="8" numFmtId="4">
    <nc r="P49">
      <v>0</v>
    </nc>
  </rcc>
  <rcc rId="31349" sId="8" numFmtId="4">
    <nc r="H36">
      <v>0</v>
    </nc>
  </rcc>
  <rcc rId="31350" sId="8" numFmtId="4">
    <nc r="I36">
      <v>0</v>
    </nc>
  </rcc>
  <rcc rId="31351" sId="8" numFmtId="4">
    <nc r="J36">
      <v>0</v>
    </nc>
  </rcc>
  <rcc rId="31352" sId="8" numFmtId="4">
    <nc r="K36">
      <v>0</v>
    </nc>
  </rcc>
  <rcc rId="31353" sId="8" numFmtId="4">
    <nc r="M36">
      <v>0</v>
    </nc>
  </rcc>
  <rcc rId="31354" sId="8" numFmtId="4">
    <nc r="N36">
      <v>0</v>
    </nc>
  </rcc>
  <rcc rId="31355" sId="8" numFmtId="4">
    <nc r="L36">
      <v>0</v>
    </nc>
  </rcc>
  <rcc rId="31356" sId="8" numFmtId="4">
    <nc r="O36">
      <v>0</v>
    </nc>
  </rcc>
  <rcc rId="31357" sId="8" numFmtId="4">
    <nc r="P36">
      <v>0</v>
    </nc>
  </rcc>
  <rcc rId="31358" sId="8" numFmtId="4">
    <nc r="Q36">
      <v>0</v>
    </nc>
  </rcc>
  <rcc rId="31359" sId="8" numFmtId="4">
    <nc r="R36">
      <v>0</v>
    </nc>
  </rcc>
  <rcc rId="31360" sId="8" numFmtId="4">
    <nc r="S36">
      <v>0</v>
    </nc>
  </rcc>
  <rcc rId="31361" sId="8" numFmtId="4">
    <nc r="T36">
      <v>0</v>
    </nc>
  </rcc>
  <rcc rId="31362" sId="8" numFmtId="4">
    <nc r="X36">
      <v>0</v>
    </nc>
  </rcc>
  <rcc rId="31363" sId="8" numFmtId="4">
    <nc r="Y36">
      <v>0</v>
    </nc>
  </rcc>
  <rcc rId="31364" sId="8" numFmtId="4">
    <nc r="Z36">
      <v>0</v>
    </nc>
  </rcc>
  <rcc rId="31365" sId="8" numFmtId="4">
    <nc r="AA36">
      <v>0</v>
    </nc>
  </rcc>
  <rcc rId="31366" sId="8" numFmtId="4">
    <nc r="AB36">
      <v>0</v>
    </nc>
  </rcc>
  <rcc rId="31367" sId="8" numFmtId="4">
    <nc r="AD36">
      <v>0</v>
    </nc>
  </rcc>
  <rcc rId="31368" sId="8" numFmtId="4">
    <nc r="AE36">
      <v>0</v>
    </nc>
  </rcc>
  <rcc rId="31369" sId="8" numFmtId="4">
    <nc r="AC36">
      <v>0</v>
    </nc>
  </rcc>
  <rcc rId="31370" sId="8" numFmtId="4">
    <nc r="H29">
      <v>0</v>
    </nc>
  </rcc>
  <rcc rId="31371" sId="8" numFmtId="4">
    <nc r="I29">
      <v>0</v>
    </nc>
  </rcc>
  <rcc rId="31372" sId="8" numFmtId="4">
    <nc r="J29">
      <v>0</v>
    </nc>
  </rcc>
  <rcc rId="31373" sId="8" numFmtId="4">
    <nc r="K29">
      <v>0</v>
    </nc>
  </rcc>
  <rcc rId="31374" sId="8" numFmtId="4">
    <nc r="L29">
      <v>0</v>
    </nc>
  </rcc>
  <rcc rId="31375" sId="8" numFmtId="4">
    <nc r="M29">
      <v>0</v>
    </nc>
  </rcc>
  <rcc rId="31376" sId="8" numFmtId="4">
    <nc r="O29">
      <v>0</v>
    </nc>
  </rcc>
  <rcc rId="31377" sId="8" numFmtId="4">
    <nc r="N29">
      <v>0</v>
    </nc>
  </rcc>
  <rcc rId="31378" sId="8" numFmtId="4">
    <nc r="P29">
      <v>0</v>
    </nc>
  </rcc>
  <rcc rId="31379" sId="8" numFmtId="4">
    <nc r="Q29">
      <v>0</v>
    </nc>
  </rcc>
  <rcc rId="31380" sId="8" numFmtId="4">
    <nc r="R29">
      <v>0</v>
    </nc>
  </rcc>
  <rcc rId="31381" sId="8" numFmtId="4">
    <nc r="S29">
      <v>0</v>
    </nc>
  </rcc>
  <rcc rId="31382" sId="8" numFmtId="4">
    <nc r="T29">
      <v>0</v>
    </nc>
  </rcc>
  <rcc rId="31383" sId="8" numFmtId="4">
    <nc r="U29">
      <v>0</v>
    </nc>
  </rcc>
  <rcc rId="31384" sId="8" numFmtId="4">
    <nc r="V29">
      <v>0</v>
    </nc>
  </rcc>
  <rcc rId="31385" sId="8" numFmtId="4">
    <nc r="W29">
      <v>0</v>
    </nc>
  </rcc>
  <rcc rId="31386" sId="8" numFmtId="4">
    <nc r="Z29">
      <v>0</v>
    </nc>
  </rcc>
  <rcc rId="31387" sId="8" numFmtId="4">
    <nc r="AA29">
      <v>0</v>
    </nc>
  </rcc>
  <rcc rId="31388" sId="8" numFmtId="4">
    <nc r="AB29">
      <v>0</v>
    </nc>
  </rcc>
  <rcc rId="31389" sId="8" numFmtId="4">
    <nc r="AC29">
      <v>0</v>
    </nc>
  </rcc>
  <rcc rId="31390" sId="8" numFmtId="4">
    <nc r="AD29">
      <v>0</v>
    </nc>
  </rcc>
  <rcc rId="31391" sId="8" numFmtId="4">
    <nc r="AE29">
      <v>0</v>
    </nc>
  </rcc>
  <rcc rId="31392" sId="8" numFmtId="4">
    <nc r="AD33">
      <v>0</v>
    </nc>
  </rcc>
  <rcc rId="31393" sId="8" numFmtId="4">
    <nc r="AE33">
      <v>0</v>
    </nc>
  </rcc>
  <rcc rId="31394" sId="8" numFmtId="4">
    <nc r="AD34">
      <v>0</v>
    </nc>
  </rcc>
  <rcc rId="31395" sId="8" numFmtId="4">
    <nc r="AE34">
      <v>0</v>
    </nc>
  </rcc>
  <rcc rId="31396" sId="8" numFmtId="4">
    <nc r="U33">
      <v>0</v>
    </nc>
  </rcc>
  <rcc rId="31397" sId="8" numFmtId="4">
    <nc r="T33">
      <v>0</v>
    </nc>
  </rcc>
  <rcc rId="31398" sId="8" numFmtId="4">
    <nc r="S33">
      <v>0</v>
    </nc>
  </rcc>
  <rcc rId="31399" sId="8" numFmtId="4">
    <nc r="R33">
      <v>0</v>
    </nc>
  </rcc>
  <rcc rId="31400" sId="8" numFmtId="4">
    <nc r="Q33">
      <v>0</v>
    </nc>
  </rcc>
  <rcc rId="31401" sId="8" numFmtId="4">
    <nc r="P33">
      <v>0</v>
    </nc>
  </rcc>
  <rcc rId="31402" sId="8" numFmtId="4">
    <nc r="O33">
      <v>0</v>
    </nc>
  </rcc>
  <rcc rId="31403" sId="8" numFmtId="4">
    <nc r="N33">
      <v>0</v>
    </nc>
  </rcc>
  <rcc rId="31404" sId="8" numFmtId="4">
    <nc r="M33">
      <v>0</v>
    </nc>
  </rcc>
  <rcc rId="31405" sId="8" numFmtId="4">
    <nc r="L33">
      <v>0</v>
    </nc>
  </rcc>
  <rcc rId="31406" sId="8" numFmtId="4">
    <nc r="K33">
      <v>0</v>
    </nc>
  </rcc>
  <rcc rId="31407" sId="8" numFmtId="4">
    <nc r="K34">
      <v>0</v>
    </nc>
  </rcc>
  <rcc rId="31408" sId="8" numFmtId="4">
    <nc r="J33">
      <v>0</v>
    </nc>
  </rcc>
  <rcc rId="31409" sId="8" numFmtId="4">
    <nc r="J34">
      <v>0</v>
    </nc>
  </rcc>
  <rcc rId="31410" sId="8" numFmtId="4">
    <nc r="I33">
      <v>0</v>
    </nc>
  </rcc>
  <rcc rId="31411" sId="8" numFmtId="4">
    <nc r="I34">
      <v>0</v>
    </nc>
  </rcc>
  <rcc rId="31412" sId="8" numFmtId="4">
    <nc r="H33">
      <v>0</v>
    </nc>
  </rcc>
  <rcc rId="31413" sId="8" numFmtId="4">
    <nc r="H34">
      <v>0</v>
    </nc>
  </rcc>
  <rcc rId="31414" sId="8" numFmtId="4">
    <nc r="H35">
      <v>0</v>
    </nc>
  </rcc>
  <rcc rId="31415" sId="8" numFmtId="4">
    <nc r="I35">
      <v>0</v>
    </nc>
  </rcc>
  <rcc rId="31416" sId="8" numFmtId="4">
    <nc r="J35">
      <v>0</v>
    </nc>
  </rcc>
  <rcc rId="31417" sId="8" numFmtId="4">
    <nc r="K35">
      <v>0</v>
    </nc>
  </rcc>
  <rcc rId="31418" sId="8" numFmtId="4">
    <nc r="L35">
      <v>0</v>
    </nc>
  </rcc>
  <rcc rId="31419" sId="8" numFmtId="4">
    <nc r="M35">
      <v>0</v>
    </nc>
  </rcc>
  <rcc rId="31420" sId="8" numFmtId="4">
    <nc r="N35">
      <v>0</v>
    </nc>
  </rcc>
  <rcc rId="31421" sId="8" numFmtId="4">
    <nc r="O35">
      <v>0</v>
    </nc>
  </rcc>
  <rcc rId="31422" sId="8" numFmtId="4">
    <nc r="P35">
      <v>0</v>
    </nc>
  </rcc>
  <rcc rId="31423" sId="8" numFmtId="4">
    <nc r="Q35">
      <v>0</v>
    </nc>
  </rcc>
  <rcc rId="31424" sId="8" numFmtId="4">
    <nc r="R35">
      <v>0</v>
    </nc>
  </rcc>
  <rcc rId="31425" sId="8" numFmtId="4">
    <nc r="S35">
      <v>0</v>
    </nc>
  </rcc>
  <rcc rId="31426" sId="8" numFmtId="4">
    <nc r="T35">
      <v>0</v>
    </nc>
  </rcc>
  <rcc rId="31427" sId="8" numFmtId="4">
    <nc r="U35">
      <v>0</v>
    </nc>
  </rcc>
  <rcc rId="31428" sId="8" numFmtId="4">
    <nc r="V35">
      <v>0</v>
    </nc>
  </rcc>
  <rcc rId="31429" sId="8" numFmtId="4">
    <nc r="W35">
      <v>0</v>
    </nc>
  </rcc>
  <rcc rId="31430" sId="8" numFmtId="4">
    <nc r="X35">
      <v>0</v>
    </nc>
  </rcc>
  <rcc rId="31431" sId="8" numFmtId="4">
    <nc r="Y35">
      <v>0</v>
    </nc>
  </rcc>
  <rcc rId="31432" sId="8" numFmtId="4">
    <nc r="Z35">
      <v>0</v>
    </nc>
  </rcc>
  <rcc rId="31433" sId="8" numFmtId="4">
    <nc r="AA35">
      <v>0</v>
    </nc>
  </rcc>
  <rcc rId="31434" sId="8" numFmtId="4">
    <nc r="AB35">
      <v>0</v>
    </nc>
  </rcc>
  <rcc rId="31435" sId="8" numFmtId="4">
    <nc r="AC35">
      <v>0</v>
    </nc>
  </rcc>
  <rcc rId="31436" sId="8" numFmtId="4">
    <nc r="AD35">
      <v>0</v>
    </nc>
  </rcc>
  <rcc rId="31437" sId="8" numFmtId="4">
    <nc r="AE35">
      <v>0</v>
    </nc>
  </rcc>
  <rcc rId="31438" sId="8" numFmtId="4">
    <nc r="AD26">
      <v>0</v>
    </nc>
  </rcc>
  <rcc rId="31439" sId="8" numFmtId="4">
    <nc r="AE26">
      <v>0</v>
    </nc>
  </rcc>
  <rcc rId="31440" sId="8" numFmtId="4">
    <nc r="AD27">
      <v>0</v>
    </nc>
  </rcc>
  <rcc rId="31441" sId="8" numFmtId="4">
    <nc r="AE27">
      <v>0</v>
    </nc>
  </rcc>
  <rcc rId="31442" sId="8" numFmtId="4">
    <nc r="AD28">
      <v>0</v>
    </nc>
  </rcc>
  <rcc rId="31443" sId="8" numFmtId="4">
    <nc r="AE28">
      <v>0</v>
    </nc>
  </rcc>
  <rcc rId="31444" sId="8" numFmtId="4">
    <nc r="H28">
      <v>0</v>
    </nc>
  </rcc>
  <rcc rId="31445" sId="8" numFmtId="4">
    <nc r="I28">
      <v>0</v>
    </nc>
  </rcc>
  <rcc rId="31446" sId="8" numFmtId="4">
    <nc r="J28">
      <v>0</v>
    </nc>
  </rcc>
  <rcc rId="31447" sId="8" numFmtId="4">
    <nc r="K28">
      <v>0</v>
    </nc>
  </rcc>
  <rcc rId="31448" sId="8" numFmtId="4">
    <nc r="L28">
      <v>0</v>
    </nc>
  </rcc>
  <rcc rId="31449" sId="8" numFmtId="4">
    <nc r="M28">
      <v>0</v>
    </nc>
  </rcc>
  <rcc rId="31450" sId="8" numFmtId="4">
    <nc r="N28">
      <v>0</v>
    </nc>
  </rcc>
  <rcc rId="31451" sId="8" numFmtId="4">
    <nc r="O28">
      <v>0</v>
    </nc>
  </rcc>
  <rcc rId="31452" sId="8" numFmtId="4">
    <nc r="P28">
      <v>0</v>
    </nc>
  </rcc>
  <rcc rId="31453" sId="8" numFmtId="4">
    <nc r="Q28">
      <v>0</v>
    </nc>
  </rcc>
  <rcc rId="31454" sId="8" numFmtId="4">
    <nc r="R28">
      <v>0</v>
    </nc>
  </rcc>
  <rcc rId="31455" sId="8" numFmtId="4">
    <nc r="S28">
      <v>0</v>
    </nc>
  </rcc>
  <rcc rId="31456" sId="8" numFmtId="4">
    <nc r="T28">
      <v>0</v>
    </nc>
  </rcc>
  <rcc rId="31457" sId="8" numFmtId="4">
    <nc r="U28">
      <v>0</v>
    </nc>
  </rcc>
  <rcc rId="31458" sId="8" numFmtId="4">
    <nc r="V28">
      <v>0</v>
    </nc>
  </rcc>
  <rcc rId="31459" sId="8" numFmtId="4">
    <nc r="W28">
      <v>0</v>
    </nc>
  </rcc>
  <rcc rId="31460" sId="8" numFmtId="4">
    <nc r="X28">
      <v>0</v>
    </nc>
  </rcc>
  <rcc rId="31461" sId="8" numFmtId="4">
    <nc r="Y28">
      <v>0</v>
    </nc>
  </rcc>
  <rcc rId="31462" sId="8" numFmtId="4">
    <nc r="Z28">
      <v>0</v>
    </nc>
  </rcc>
  <rcc rId="31463" sId="8" numFmtId="4">
    <nc r="AA28">
      <v>0</v>
    </nc>
  </rcc>
  <rcc rId="31464" sId="8" numFmtId="4">
    <nc r="AB28">
      <v>0</v>
    </nc>
  </rcc>
  <rcc rId="31465" sId="8" numFmtId="4">
    <nc r="K21">
      <v>0</v>
    </nc>
  </rcc>
  <rcc rId="31466" sId="8" numFmtId="4">
    <nc r="J21">
      <v>0</v>
    </nc>
  </rcc>
  <rcc rId="31467" sId="8" numFmtId="4">
    <nc r="I21">
      <v>0</v>
    </nc>
  </rcc>
  <rcc rId="31468" sId="8" numFmtId="4">
    <nc r="H21">
      <v>0</v>
    </nc>
  </rcc>
  <rcc rId="31469" sId="8" numFmtId="4">
    <nc r="H13">
      <v>0</v>
    </nc>
  </rcc>
  <rcc rId="31470" sId="8" numFmtId="4">
    <nc r="H14">
      <v>0</v>
    </nc>
  </rcc>
  <rcc rId="31471" sId="8" numFmtId="4">
    <nc r="H15">
      <v>0</v>
    </nc>
  </rcc>
  <rcc rId="31472" sId="8" numFmtId="4">
    <nc r="H16">
      <v>0</v>
    </nc>
  </rcc>
  <rcc rId="31473" sId="8" numFmtId="4">
    <nc r="I13">
      <v>0</v>
    </nc>
  </rcc>
  <rcc rId="31474" sId="8" numFmtId="4">
    <nc r="J13">
      <v>0</v>
    </nc>
  </rcc>
  <rcc rId="31475" sId="8" numFmtId="4">
    <nc r="K13">
      <v>0</v>
    </nc>
  </rcc>
  <rcc rId="31476" sId="8" numFmtId="4">
    <nc r="L13">
      <v>0</v>
    </nc>
  </rcc>
  <rcc rId="31477" sId="8" numFmtId="4">
    <nc r="M13">
      <v>0</v>
    </nc>
  </rcc>
  <rcc rId="31478" sId="8" numFmtId="4">
    <nc r="N13">
      <v>0</v>
    </nc>
  </rcc>
  <rcc rId="31479" sId="8" numFmtId="4">
    <nc r="O13">
      <v>0</v>
    </nc>
  </rcc>
  <rcc rId="31480" sId="8" numFmtId="4">
    <nc r="P13">
      <v>0</v>
    </nc>
  </rcc>
  <rcc rId="31481" sId="8" numFmtId="4">
    <nc r="Q13">
      <v>0</v>
    </nc>
  </rcc>
  <rcc rId="31482" sId="8" numFmtId="4">
    <nc r="R13">
      <v>0</v>
    </nc>
  </rcc>
  <rcc rId="31483" sId="8" numFmtId="4">
    <nc r="S13">
      <v>0</v>
    </nc>
  </rcc>
  <rcc rId="31484" sId="8" numFmtId="4">
    <nc r="T13">
      <v>0</v>
    </nc>
  </rcc>
  <rcc rId="31485" sId="8" numFmtId="4">
    <nc r="U13">
      <v>0</v>
    </nc>
  </rcc>
  <rcc rId="31486" sId="8" numFmtId="4">
    <nc r="V13">
      <v>0</v>
    </nc>
  </rcc>
  <rcc rId="31487" sId="8" numFmtId="4">
    <nc r="W13">
      <v>0</v>
    </nc>
  </rcc>
  <rcc rId="31488" sId="8" numFmtId="4">
    <nc r="X13">
      <v>0</v>
    </nc>
  </rcc>
  <rcc rId="31489" sId="8" numFmtId="4">
    <nc r="Y13">
      <v>0</v>
    </nc>
  </rcc>
  <rcc rId="31490" sId="8" numFmtId="4">
    <nc r="I14">
      <v>0</v>
    </nc>
  </rcc>
  <rcc rId="31491" sId="8" numFmtId="4">
    <nc r="J14">
      <v>0</v>
    </nc>
  </rcc>
  <rcc rId="31492" sId="8" numFmtId="4">
    <nc r="K14">
      <v>0</v>
    </nc>
  </rcc>
  <rcc rId="31493" sId="8" numFmtId="4">
    <nc r="L14">
      <v>0</v>
    </nc>
  </rcc>
  <rcc rId="31494" sId="8" numFmtId="4">
    <nc r="M14">
      <v>0</v>
    </nc>
  </rcc>
  <rcc rId="31495" sId="8" numFmtId="4">
    <nc r="N14">
      <v>0</v>
    </nc>
  </rcc>
  <rcc rId="31496" sId="8" numFmtId="4">
    <nc r="O14">
      <v>0</v>
    </nc>
  </rcc>
  <rcc rId="31497" sId="8" numFmtId="4">
    <nc r="P14">
      <v>0</v>
    </nc>
  </rcc>
  <rcc rId="31498" sId="8" numFmtId="4">
    <nc r="Q14">
      <v>0</v>
    </nc>
  </rcc>
  <rcc rId="31499" sId="8" numFmtId="4">
    <nc r="R14">
      <v>0</v>
    </nc>
  </rcc>
  <rcc rId="31500" sId="8" numFmtId="4">
    <nc r="S14">
      <v>0</v>
    </nc>
  </rcc>
  <rcc rId="31501" sId="8" numFmtId="4">
    <nc r="T14">
      <v>0</v>
    </nc>
  </rcc>
  <rcc rId="31502" sId="8" numFmtId="4">
    <nc r="U14">
      <v>0</v>
    </nc>
  </rcc>
  <rcc rId="31503" sId="8" numFmtId="4">
    <nc r="V14">
      <v>0</v>
    </nc>
  </rcc>
  <rcc rId="31504" sId="8" numFmtId="4">
    <nc r="W14">
      <v>0</v>
    </nc>
  </rcc>
  <rcc rId="31505" sId="8" numFmtId="4">
    <nc r="X14">
      <v>0</v>
    </nc>
  </rcc>
  <rcc rId="31506" sId="8" numFmtId="4">
    <nc r="Y14">
      <v>0</v>
    </nc>
  </rcc>
  <rcc rId="31507" sId="8" numFmtId="4">
    <nc r="I15">
      <v>0</v>
    </nc>
  </rcc>
  <rcc rId="31508" sId="8" numFmtId="4">
    <nc r="J15">
      <v>0</v>
    </nc>
  </rcc>
  <rcc rId="31509" sId="8" numFmtId="4">
    <nc r="K15">
      <v>0</v>
    </nc>
  </rcc>
  <rcc rId="31510" sId="8" numFmtId="4">
    <nc r="L15">
      <v>0</v>
    </nc>
  </rcc>
  <rcc rId="31511" sId="8" numFmtId="4">
    <nc r="M15">
      <v>0</v>
    </nc>
  </rcc>
  <rcc rId="31512" sId="8" numFmtId="4">
    <nc r="N15">
      <v>0</v>
    </nc>
  </rcc>
  <rcc rId="31513" sId="8" numFmtId="4">
    <nc r="O15">
      <v>0</v>
    </nc>
  </rcc>
  <rcc rId="31514" sId="8" numFmtId="4">
    <nc r="P15">
      <v>0</v>
    </nc>
  </rcc>
  <rcc rId="31515" sId="8" numFmtId="4">
    <nc r="Q15">
      <v>0</v>
    </nc>
  </rcc>
  <rcc rId="31516" sId="8" numFmtId="4">
    <nc r="R15">
      <v>0</v>
    </nc>
  </rcc>
  <rcc rId="31517" sId="8" numFmtId="4">
    <nc r="S15">
      <v>0</v>
    </nc>
  </rcc>
  <rcc rId="31518" sId="8" numFmtId="4">
    <nc r="T15">
      <v>0</v>
    </nc>
  </rcc>
  <rcc rId="31519" sId="8" numFmtId="4">
    <nc r="U15">
      <v>0</v>
    </nc>
  </rcc>
  <rcc rId="31520" sId="8" numFmtId="4">
    <nc r="V15">
      <v>0</v>
    </nc>
  </rcc>
  <rcc rId="31521" sId="8" numFmtId="4">
    <nc r="W15">
      <v>0</v>
    </nc>
  </rcc>
  <rcc rId="31522" sId="8" numFmtId="4">
    <nc r="X15">
      <v>0</v>
    </nc>
  </rcc>
  <rcc rId="31523" sId="8" numFmtId="4">
    <nc r="Y15">
      <v>0</v>
    </nc>
  </rcc>
  <rcc rId="31524" sId="8" numFmtId="4">
    <nc r="I16">
      <v>0</v>
    </nc>
  </rcc>
  <rcc rId="31525" sId="8" numFmtId="4">
    <nc r="J16">
      <v>0</v>
    </nc>
  </rcc>
  <rcc rId="31526" sId="8" numFmtId="4">
    <nc r="K16">
      <v>0</v>
    </nc>
  </rcc>
  <rcc rId="31527" sId="8" numFmtId="4">
    <nc r="L16">
      <v>0</v>
    </nc>
  </rcc>
  <rcc rId="31528" sId="8" numFmtId="4">
    <nc r="M16">
      <v>0</v>
    </nc>
  </rcc>
  <rcc rId="31529" sId="8" numFmtId="4">
    <nc r="N16">
      <v>0</v>
    </nc>
  </rcc>
  <rcc rId="31530" sId="8" numFmtId="4">
    <nc r="O16">
      <v>0</v>
    </nc>
  </rcc>
  <rcc rId="31531" sId="8" numFmtId="4">
    <nc r="P16">
      <v>0</v>
    </nc>
  </rcc>
  <rcc rId="31532" sId="8" numFmtId="4">
    <nc r="Q16">
      <v>0</v>
    </nc>
  </rcc>
  <rcc rId="31533" sId="8" numFmtId="4">
    <nc r="R16">
      <v>0</v>
    </nc>
  </rcc>
  <rcc rId="31534" sId="8" numFmtId="4">
    <nc r="S16">
      <v>0</v>
    </nc>
  </rcc>
  <rcc rId="31535" sId="8" numFmtId="4">
    <nc r="T16">
      <v>0</v>
    </nc>
  </rcc>
  <rcc rId="31536" sId="8" numFmtId="4">
    <nc r="U16">
      <v>0</v>
    </nc>
  </rcc>
  <rcc rId="31537" sId="8" numFmtId="4">
    <nc r="V16">
      <v>0</v>
    </nc>
  </rcc>
  <rcc rId="31538" sId="8" numFmtId="4">
    <nc r="W16">
      <v>0</v>
    </nc>
  </rcc>
  <rcc rId="31539" sId="8" numFmtId="4">
    <nc r="X16">
      <v>0</v>
    </nc>
  </rcc>
  <rcc rId="31540" sId="8" numFmtId="4">
    <nc r="Y16">
      <v>0</v>
    </nc>
  </rcc>
  <rcc rId="31541" sId="8" numFmtId="4">
    <nc r="Z13">
      <v>0</v>
    </nc>
  </rcc>
  <rcc rId="31542" sId="8" numFmtId="4">
    <nc r="AA13">
      <v>0</v>
    </nc>
  </rcc>
  <rcc rId="31543" sId="8" numFmtId="4">
    <nc r="AB13">
      <v>0</v>
    </nc>
  </rcc>
  <rcc rId="31544" sId="8" numFmtId="4">
    <nc r="AC13">
      <v>0</v>
    </nc>
  </rcc>
  <rcc rId="31545" sId="8" numFmtId="4">
    <nc r="AD13">
      <v>0</v>
    </nc>
  </rcc>
  <rcc rId="31546" sId="8" numFmtId="4">
    <nc r="AE13">
      <v>0</v>
    </nc>
  </rcc>
  <rcc rId="31547" sId="8" numFmtId="4">
    <nc r="Z14">
      <v>0</v>
    </nc>
  </rcc>
  <rcc rId="31548" sId="8" numFmtId="4">
    <nc r="AA14">
      <v>0</v>
    </nc>
  </rcc>
  <rcc rId="31549" sId="8" numFmtId="4">
    <nc r="AB14">
      <v>0</v>
    </nc>
  </rcc>
  <rcc rId="31550" sId="8" numFmtId="4">
    <nc r="AC14">
      <v>0</v>
    </nc>
  </rcc>
  <rcc rId="31551" sId="8" numFmtId="4">
    <nc r="AD14">
      <v>0</v>
    </nc>
  </rcc>
  <rcc rId="31552" sId="8" numFmtId="4">
    <nc r="AE14">
      <v>0</v>
    </nc>
  </rcc>
  <rcc rId="31553" sId="8" numFmtId="4">
    <nc r="Z16">
      <v>0</v>
    </nc>
  </rcc>
  <rcc rId="31554" sId="8" numFmtId="4">
    <nc r="AA16">
      <v>0</v>
    </nc>
  </rcc>
  <rcc rId="31555" sId="8" numFmtId="4">
    <nc r="AB16">
      <v>0</v>
    </nc>
  </rcc>
  <rcc rId="31556" sId="8" numFmtId="4">
    <nc r="AC16">
      <v>0</v>
    </nc>
  </rcc>
  <rcc rId="31557" sId="8" numFmtId="4">
    <nc r="AD16">
      <v>0</v>
    </nc>
  </rcc>
  <rcc rId="31558" sId="8" numFmtId="4">
    <nc r="AE16">
      <v>0</v>
    </nc>
  </rcc>
  <rfmt sheetId="8" sqref="B242:E243">
    <dxf>
      <fill>
        <patternFill patternType="solid">
          <bgColor rgb="FFFF0000"/>
        </patternFill>
      </fill>
    </dxf>
  </rfmt>
  <rfmt sheetId="8" sqref="A242:A243">
    <dxf>
      <fill>
        <patternFill>
          <bgColor rgb="FFFF0000"/>
        </patternFill>
      </fill>
    </dxf>
  </rfmt>
  <rfmt sheetId="8" sqref="A242:E243">
    <dxf>
      <fill>
        <patternFill>
          <bgColor rgb="FFFFC000"/>
        </patternFill>
      </fill>
    </dxf>
  </rfmt>
  <rcmt sheetId="8" cell="B242" guid="{C130E9FC-4884-4A44-B3BB-FB37A6757594}" author="Степаненко Наталья Алексеевна" newLength="38"/>
  <rcmt sheetId="8" cell="B243" guid="{5378A61D-D176-4E78-A7DA-62F718247FC5}" author="Степаненко Наталья Алексеевна" newLength="41"/>
  <rcmt sheetId="8" cell="B291" guid="{040A61B9-13A6-4041-BE85-C6862775B3AA}" author="Степаненко Наталья Алексеевна" oldLength="40" newLength="31"/>
  <rcmt sheetId="8" cell="C291" guid="{2D96CEFA-C611-40C3-9773-30F42F4393E8}" author="Степаненко Наталья Алексеевна" oldLength="40" newLength="31"/>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P242">
    <dxf>
      <fill>
        <patternFill patternType="solid">
          <bgColor rgb="FFFFFF00"/>
        </patternFill>
      </fill>
    </dxf>
  </rfmt>
  <rfmt sheetId="8" sqref="Q242">
    <dxf>
      <fill>
        <patternFill patternType="solid">
          <bgColor rgb="FFFFC000"/>
        </patternFill>
      </fill>
    </dxf>
  </rfmt>
  <rcc rId="31559" sId="8">
    <nc r="B242">
      <f>H242+J242+L242+N242+P242+R242+T242+V242+X242+Z242+AB242+AD242</f>
    </nc>
  </rcc>
  <rcc rId="31560" sId="8" numFmtId="4">
    <nc r="P242">
      <v>227.99</v>
    </nc>
  </rcc>
  <rcc rId="31561" sId="8">
    <nc r="C242">
      <f>H242+J242+L242+N242+P242+R242+T242+V242+X242+Z242+AB242+AD242</f>
    </nc>
  </rcc>
  <rcc rId="31562" sId="8">
    <nc r="D242">
      <f>E242</f>
    </nc>
  </rcc>
  <rcc rId="31563" sId="8">
    <nc r="E242">
      <f>I242+K242+M242+O242+Q242+S242+U242+W242+Y242+AA242+AC242+AE242</f>
    </nc>
  </rcc>
  <rfmt sheetId="8" sqref="B242">
    <dxf>
      <fill>
        <patternFill>
          <bgColor rgb="FFFFFF00"/>
        </patternFill>
      </fill>
    </dxf>
  </rfmt>
  <rcc rId="31564" sId="8">
    <oc r="H291">
      <f>H41+H80+H116+H161+H198+H236+H254+H266+H274+H154+H140+H20+H14+H26+H33</f>
    </oc>
    <nc r="H291">
      <f>H14+H20+H26+H33+H41+H80+H116+H140+H154+H161+H198+H236+H254+H265+H274</f>
    </nc>
  </rcc>
  <rcc rId="31565" sId="8">
    <oc r="I291">
      <f>I41+I80+I116+I161+I198+I236+I254+I266+I274+I154+I140+I20+I14+I26+I33</f>
    </oc>
    <nc r="I291">
      <f>I14+I20+I26+I33+I41+I80+I116+I140+I154+I161+I198+I236+I254+I265+I274</f>
    </nc>
  </rcc>
  <rcc rId="31566" sId="8">
    <oc r="J291">
      <f>J41+J80+J116+J161+J198+J236+J254+J266+J274+J154+J140+J20+J14+J26+J33</f>
    </oc>
    <nc r="J291">
      <f>J14+J20+J26+J33+J41+J80+J116+J140+J154+J161+J198+J236+J254+J265+J274</f>
    </nc>
  </rcc>
  <rcc rId="31567" sId="8">
    <oc r="K291">
      <f>K41+K80+K116+K161+K198+K236+K254+K266+K274+K154+K140+K20+K14+K26+K33</f>
    </oc>
    <nc r="K291">
      <f>K14+K20+K26+K33+K41+K80+K116+K140+K154+K161+K198+K236+K254+K265+K274</f>
    </nc>
  </rcc>
  <rcc rId="31568" sId="8">
    <oc r="L291">
      <f>L41+L80+L116+L161+L198+L236+L254+L266+L274+L154+L140+L20+L14+L26+L33</f>
    </oc>
    <nc r="L291">
      <f>L14+L20+L26+L33+L41+L80+L116+L140+L154+L161+L198+L236+L254+L265+L274</f>
    </nc>
  </rcc>
  <rcc rId="31569" sId="8">
    <oc r="M291">
      <f>M41+M80+M116+M161+M198+M236+M254+M266+M274+M154+M140+M20+M14+M26+M33</f>
    </oc>
    <nc r="M291">
      <f>M14+M20+M26+M33+M41+M80+M116+M140+M154+M161+M198+M236+M254+M265+M274</f>
    </nc>
  </rcc>
  <rcc rId="31570" sId="8">
    <oc r="N291">
      <f>N41+N80+N116+N161+N198+N236+N254+N266+N274+N154+N140+N20+N14+N26+N33</f>
    </oc>
    <nc r="N291">
      <f>N14+N20+N26+N33+N41+N80+N116+N140+N154+N161+N198+N236+N254+N265+N274</f>
    </nc>
  </rcc>
  <rcc rId="31571" sId="8">
    <oc r="O291">
      <f>O41+O80+O116+O161+O198+O236+O254+O266+O274+O154+O140+O20+O14+O26+O33</f>
    </oc>
    <nc r="O291">
      <f>O14+O20+O26+O33+O41+O80+O116+O140+O154+O161+O198+O236+O254+O265+O274</f>
    </nc>
  </rcc>
  <rcc rId="31572" sId="8">
    <oc r="P291">
      <f>P41+P80+P116+P161+P198+P236+P254+P266+P274+P154+P140+P20+P14+P26+P33</f>
    </oc>
    <nc r="P291">
      <f>P14+P20+P26+P33+P41+P80+P116+P140+P154+P161+P198+P236+P254+P265+P274</f>
    </nc>
  </rcc>
  <rcc rId="31573" sId="8">
    <oc r="Q291">
      <f>Q41+Q80+Q116+Q161+Q198+Q236+Q254+Q266+Q274+Q154+Q140+Q20+Q14+Q26+Q33</f>
    </oc>
    <nc r="Q291">
      <f>Q14+Q20+Q26+Q33+Q41+Q80+Q116+Q140+Q154+Q161+Q198+Q236+Q254+Q265+Q274</f>
    </nc>
  </rcc>
  <rcc rId="31574" sId="8">
    <oc r="R291">
      <f>R41+R80+R116+R161+R198+R236+R254+R266+R274+R154+R140+R20+R14+R26+R33</f>
    </oc>
    <nc r="R291">
      <f>R14+R20+R26+R33+R41+R80+R116+R140+R154+R161+R198+R236+R254+R265+R274</f>
    </nc>
  </rcc>
  <rcc rId="31575" sId="8">
    <oc r="S291">
      <f>S41+S80+S116+S161+S198+S236+S254+S266+S274+S154+S140+S20+S14+S26+S33</f>
    </oc>
    <nc r="S291">
      <f>S14+S20+S26+S33+S41+S80+S116+S140+S154+S161+S198+S236+S254+S265+S274</f>
    </nc>
  </rcc>
  <rcc rId="31576" sId="8">
    <oc r="T291">
      <f>T41+T80+T116+T161+T198+T236+T254+T266+T274+T154+T140+T20+T14+T26+T33</f>
    </oc>
    <nc r="T291">
      <f>T14+T20+T26+T33+T41+T80+T116+T140+T154+T161+T198+T236+T254+T265+T274</f>
    </nc>
  </rcc>
  <rcc rId="31577" sId="8">
    <oc r="U291">
      <f>U41+U80+U116+U161+U198+U236+U254+U266+U274+U154+U140+U20+U14+U26+U33</f>
    </oc>
    <nc r="U291">
      <f>U14+U20+U26+U33+U41+U80+U116+U140+U154+U161+U198+U236+U254+U265+U274</f>
    </nc>
  </rcc>
  <rcc rId="31578" sId="8">
    <oc r="V291">
      <f>V41+V80+V116+V161+V198+V236+V254+V266+V274+V154+V140+V20+V14+V26+V33</f>
    </oc>
    <nc r="V291">
      <f>V14+V20+V26+V33+V41+V80+V116+V140+V154+V161+V198+V236+V254+V265+V274</f>
    </nc>
  </rcc>
  <rcc rId="31579" sId="8">
    <oc r="W291">
      <f>W41+W80+W116+W161+W198+W236+W254+W266+W274+W154+W140+W20+W14+W26+W33</f>
    </oc>
    <nc r="W291">
      <f>W14+W20+W26+W33+W41+W80+W116+W140+W154+W161+W198+W236+W254+W265+W274</f>
    </nc>
  </rcc>
  <rcc rId="31580" sId="8">
    <oc r="X291">
      <f>X41+X80+X116+X161+X198+X236+X254+X266+X274+X154+X140+X20+X14+X26+X33</f>
    </oc>
    <nc r="X291">
      <f>X14+X20+X26+X33+X41+X80+X116+X140+X154+X161+X198+X236+X254+X265+X274</f>
    </nc>
  </rcc>
  <rcc rId="31581" sId="8">
    <oc r="Y291">
      <f>Y41+Y80+Y116+Y161+Y198+Y236+Y254+Y266+Y274+Y154+Y140+Y20+Y14+Y26+Y33</f>
    </oc>
    <nc r="Y291">
      <f>Y14+Y20+Y26+Y33+Y41+Y80+Y116+Y140+Y154+Y161+Y198+Y236+Y254+Y265+Y274</f>
    </nc>
  </rcc>
  <rcc rId="31582" sId="8">
    <oc r="Z291">
      <f>Z41+Z80+Z116+Z161+Z198+Z236+Z254+Z266+Z274+Z154+Z140+Z20+Z14+Z26+Z33</f>
    </oc>
    <nc r="Z291">
      <f>Z14+Z20+Z26+Z33+Z41+Z80+Z116+Z140+Z154+Z161+Z198+Z236+Z254+Z265+Z274</f>
    </nc>
  </rcc>
  <rcc rId="31583" sId="8">
    <oc r="AA291">
      <f>AA41+AA80+AA116+AA161+AA198+AA236+AA254+AA266+AA274+AA154+AA140+AA20+AA14+AA26+AA33</f>
    </oc>
    <nc r="AA291">
      <f>AA14+AA20+AA26+AA33+AA41+AA80+AA116+AA140+AA154+AA161+AA198+AA236+AA254+AA265+AA274</f>
    </nc>
  </rcc>
  <rcc rId="31584" sId="8">
    <oc r="AB291">
      <f>AB41+AB80+AB116+AB161+AB198+AB236+AB254+AB266+AB274+AB154+AB140+AB20+AB14+AB26+AB33</f>
    </oc>
    <nc r="AB291">
      <f>AB14+AB20+AB26+AB33+AB41+AB80+AB116+AB140+AB154+AB161+AB198+AB236+AB254+AB265+AB274</f>
    </nc>
  </rcc>
  <rcc rId="31585" sId="8">
    <oc r="AC291">
      <f>AC41+AC80+AC116+AC161+AC198+AC236+AC254+AC266+AC274+AC154+AC140+AC20+AC14+AC26+AC33</f>
    </oc>
    <nc r="AC291">
      <f>AC14+AC20+AC26+AC33+AC41+AC80+AC116+AC140+AC154+AC161+AC198+AC236+AC254+AC265+AC274</f>
    </nc>
  </rcc>
  <rcc rId="31586" sId="8">
    <oc r="AD291">
      <f>AD41+AD80+AD116+AD161+AD198+AD236+AD254+AD266+AD274+AD154+AD140+AD20+AD14+AD26+AD33</f>
    </oc>
    <nc r="AD291">
      <f>AD14+AD20+AD26+AD33+AD41+AD80+AD116+AD140+AD154+AD161+AD198+AD236+AD254+AD265+AD274</f>
    </nc>
  </rcc>
  <rcc rId="31587" sId="8">
    <oc r="AE291">
      <f>AE41+AE80+AE116+AE161+AE198+AE236+AE254+AE266+AE274+AE154+AE140+AE20+AE14+AE26+AE33</f>
    </oc>
    <nc r="AE291">
      <f>AE14+AE20+AE26+AE33+AE41+AE80+AE116+AE140+AE154+AE161+AE198+AE236+AE254+AE265+AE274</f>
    </nc>
  </rcc>
  <rcc rId="31588" sId="8">
    <oc r="H41">
      <f>H47+H54+H60+H66+H73</f>
    </oc>
    <nc r="H41">
      <f>H47+H54+H60+H66+H73</f>
    </nc>
  </rcc>
  <rcc rId="31589" sId="8">
    <oc r="L41">
      <f>L47+L54+L60+L66+L73</f>
    </oc>
    <nc r="L41">
      <f>L47+L54+L60+L66+L73</f>
    </nc>
  </rcc>
  <rcc rId="31590" sId="8">
    <oc r="R41">
      <f>R47+R54+R60+R66+R73</f>
    </oc>
    <nc r="R41">
      <f>R47+R54+R60+R66+R73</f>
    </nc>
  </rcc>
  <rcc rId="31591" sId="8">
    <oc r="M41">
      <f>M47+M54+M60+M66+M73</f>
    </oc>
    <nc r="M41">
      <f>M47+M54+M60+M66+M73</f>
    </nc>
  </rcc>
  <rcc rId="31592" sId="8">
    <oc r="N41">
      <f>N47+N54+N60+N66+N73</f>
    </oc>
    <nc r="N41">
      <f>N47+N54+N60+N66+N73</f>
    </nc>
  </rcc>
  <rcc rId="31593" sId="8">
    <oc r="H116">
      <f>H122+H128+H134</f>
    </oc>
    <nc r="H116">
      <f>H122+H128+H134</f>
    </nc>
  </rcc>
  <rcc rId="31594" sId="8">
    <oc r="J116">
      <f>J122+J128+J134</f>
    </oc>
    <nc r="J116">
      <f>J122+J128+J134</f>
    </nc>
  </rcc>
  <rcc rId="31595" sId="8">
    <oc r="X116">
      <f>X122+X128+X134</f>
    </oc>
    <nc r="X116">
      <f>X122+X128+X134</f>
    </nc>
  </rcc>
  <rcc rId="31596" sId="8">
    <nc r="B236">
      <f>B242+B248</f>
    </nc>
  </rcc>
  <rcc rId="31597" sId="8">
    <nc r="C236">
      <f>C242+C248</f>
    </nc>
  </rcc>
  <rcc rId="31598" sId="8">
    <nc r="D236">
      <f>D242+D248</f>
    </nc>
  </rcc>
  <rfmt sheetId="8" sqref="B236:E236">
    <dxf>
      <fill>
        <patternFill>
          <bgColor rgb="FFFFFF00"/>
        </patternFill>
      </fill>
    </dxf>
  </rfmt>
  <rcc rId="31599" sId="8">
    <nc r="F236">
      <f>IFERROR(E236/B236*100,0)</f>
    </nc>
  </rcc>
  <rcc rId="31600" sId="8">
    <nc r="G236">
      <f>IFERROR(E236/C236*100,0)</f>
    </nc>
  </rcc>
  <rcc rId="31601" sId="8">
    <nc r="E236">
      <f>E242+E248</f>
    </nc>
  </rcc>
  <rcc rId="31602" sId="8" odxf="1" dxf="1">
    <nc r="H236">
      <f>H242+H248</f>
    </nc>
    <odxf>
      <fill>
        <patternFill>
          <bgColor theme="7" tint="0.79998168889431442"/>
        </patternFill>
      </fill>
    </odxf>
    <ndxf>
      <fill>
        <patternFill>
          <bgColor rgb="FFFFFF00"/>
        </patternFill>
      </fill>
    </ndxf>
  </rcc>
  <rcc rId="31603" sId="8" odxf="1" dxf="1">
    <nc r="I236">
      <f>I242+I248</f>
    </nc>
    <odxf>
      <fill>
        <patternFill>
          <bgColor theme="7" tint="0.79998168889431442"/>
        </patternFill>
      </fill>
    </odxf>
    <ndxf>
      <fill>
        <patternFill>
          <bgColor rgb="FFFFFF00"/>
        </patternFill>
      </fill>
    </ndxf>
  </rcc>
  <rcc rId="31604" sId="8" odxf="1" dxf="1">
    <nc r="J236">
      <f>J242+J248</f>
    </nc>
    <odxf>
      <fill>
        <patternFill>
          <bgColor theme="7" tint="0.79998168889431442"/>
        </patternFill>
      </fill>
    </odxf>
    <ndxf>
      <fill>
        <patternFill>
          <bgColor rgb="FFFFFF00"/>
        </patternFill>
      </fill>
    </ndxf>
  </rcc>
  <rcc rId="31605" sId="8" odxf="1" dxf="1">
    <nc r="K236">
      <f>K242+K248</f>
    </nc>
    <odxf>
      <fill>
        <patternFill>
          <bgColor theme="7" tint="0.79998168889431442"/>
        </patternFill>
      </fill>
    </odxf>
    <ndxf>
      <fill>
        <patternFill>
          <bgColor rgb="FFFFFF00"/>
        </patternFill>
      </fill>
    </ndxf>
  </rcc>
  <rcc rId="31606" sId="8" odxf="1" dxf="1">
    <nc r="L236">
      <f>L242+L248</f>
    </nc>
    <odxf>
      <fill>
        <patternFill>
          <bgColor theme="7" tint="0.79998168889431442"/>
        </patternFill>
      </fill>
    </odxf>
    <ndxf>
      <fill>
        <patternFill>
          <bgColor rgb="FFFFFF00"/>
        </patternFill>
      </fill>
    </ndxf>
  </rcc>
  <rcc rId="31607" sId="8" odxf="1" dxf="1">
    <nc r="M236">
      <f>M242+M248</f>
    </nc>
    <odxf>
      <fill>
        <patternFill>
          <bgColor theme="7" tint="0.79998168889431442"/>
        </patternFill>
      </fill>
    </odxf>
    <ndxf>
      <fill>
        <patternFill>
          <bgColor rgb="FFFFFF00"/>
        </patternFill>
      </fill>
    </ndxf>
  </rcc>
  <rcc rId="31608" sId="8" odxf="1" dxf="1">
    <nc r="N236">
      <f>N242+N248</f>
    </nc>
    <odxf>
      <fill>
        <patternFill>
          <bgColor theme="7" tint="0.79998168889431442"/>
        </patternFill>
      </fill>
    </odxf>
    <ndxf>
      <fill>
        <patternFill>
          <bgColor rgb="FFFFFF00"/>
        </patternFill>
      </fill>
    </ndxf>
  </rcc>
  <rcc rId="31609" sId="8" odxf="1" dxf="1">
    <nc r="O236">
      <f>O242+O248</f>
    </nc>
    <odxf>
      <fill>
        <patternFill>
          <bgColor theme="7" tint="0.79998168889431442"/>
        </patternFill>
      </fill>
    </odxf>
    <ndxf>
      <fill>
        <patternFill>
          <bgColor rgb="FFFFFF00"/>
        </patternFill>
      </fill>
    </ndxf>
  </rcc>
  <rcc rId="31610" sId="8" odxf="1" dxf="1">
    <nc r="P236">
      <f>P242+P248</f>
    </nc>
    <odxf>
      <fill>
        <patternFill>
          <bgColor theme="7" tint="0.79998168889431442"/>
        </patternFill>
      </fill>
    </odxf>
    <ndxf>
      <fill>
        <patternFill>
          <bgColor rgb="FFFFFF00"/>
        </patternFill>
      </fill>
    </ndxf>
  </rcc>
  <rcc rId="31611" sId="8" odxf="1" dxf="1">
    <nc r="Q236">
      <f>Q242+Q248</f>
    </nc>
    <odxf>
      <fill>
        <patternFill>
          <bgColor theme="7" tint="0.79998168889431442"/>
        </patternFill>
      </fill>
    </odxf>
    <ndxf>
      <fill>
        <patternFill>
          <bgColor rgb="FFFFFF00"/>
        </patternFill>
      </fill>
    </ndxf>
  </rcc>
  <rcc rId="31612" sId="8" odxf="1" dxf="1">
    <nc r="R236">
      <f>R242+R248</f>
    </nc>
    <odxf>
      <fill>
        <patternFill>
          <bgColor theme="7" tint="0.79998168889431442"/>
        </patternFill>
      </fill>
    </odxf>
    <ndxf>
      <fill>
        <patternFill>
          <bgColor rgb="FFFFFF00"/>
        </patternFill>
      </fill>
    </ndxf>
  </rcc>
  <rcc rId="31613" sId="8" odxf="1" dxf="1">
    <nc r="S236">
      <f>S242+S248</f>
    </nc>
    <odxf>
      <fill>
        <patternFill>
          <bgColor theme="7" tint="0.79998168889431442"/>
        </patternFill>
      </fill>
    </odxf>
    <ndxf>
      <fill>
        <patternFill>
          <bgColor rgb="FFFFFF00"/>
        </patternFill>
      </fill>
    </ndxf>
  </rcc>
  <rcc rId="31614" sId="8" odxf="1" dxf="1">
    <nc r="T236">
      <f>T242+T248</f>
    </nc>
    <odxf>
      <fill>
        <patternFill>
          <bgColor theme="7" tint="0.79998168889431442"/>
        </patternFill>
      </fill>
    </odxf>
    <ndxf>
      <fill>
        <patternFill>
          <bgColor rgb="FFFFFF00"/>
        </patternFill>
      </fill>
    </ndxf>
  </rcc>
  <rcc rId="31615" sId="8" odxf="1" dxf="1">
    <nc r="U236">
      <f>U242+U248</f>
    </nc>
    <odxf>
      <fill>
        <patternFill>
          <bgColor theme="7" tint="0.79998168889431442"/>
        </patternFill>
      </fill>
    </odxf>
    <ndxf>
      <fill>
        <patternFill>
          <bgColor rgb="FFFFFF00"/>
        </patternFill>
      </fill>
    </ndxf>
  </rcc>
  <rcc rId="31616" sId="8" odxf="1" dxf="1">
    <nc r="V236">
      <f>V242+V248</f>
    </nc>
    <odxf>
      <fill>
        <patternFill>
          <bgColor theme="7" tint="0.79998168889431442"/>
        </patternFill>
      </fill>
    </odxf>
    <ndxf>
      <fill>
        <patternFill>
          <bgColor rgb="FFFFFF00"/>
        </patternFill>
      </fill>
    </ndxf>
  </rcc>
  <rcc rId="31617" sId="8" odxf="1" dxf="1">
    <nc r="W236">
      <f>W242+W248</f>
    </nc>
    <odxf>
      <fill>
        <patternFill>
          <bgColor theme="7" tint="0.79998168889431442"/>
        </patternFill>
      </fill>
    </odxf>
    <ndxf>
      <fill>
        <patternFill>
          <bgColor rgb="FFFFFF00"/>
        </patternFill>
      </fill>
    </ndxf>
  </rcc>
  <rcc rId="31618" sId="8" odxf="1" dxf="1">
    <nc r="X236">
      <f>X242+X248</f>
    </nc>
    <odxf>
      <fill>
        <patternFill>
          <bgColor theme="7" tint="0.79998168889431442"/>
        </patternFill>
      </fill>
    </odxf>
    <ndxf>
      <fill>
        <patternFill>
          <bgColor rgb="FFFFFF00"/>
        </patternFill>
      </fill>
    </ndxf>
  </rcc>
  <rcc rId="31619" sId="8" odxf="1" dxf="1">
    <nc r="Y236">
      <f>Y242+Y248</f>
    </nc>
    <odxf>
      <fill>
        <patternFill>
          <bgColor theme="7" tint="0.79998168889431442"/>
        </patternFill>
      </fill>
    </odxf>
    <ndxf>
      <fill>
        <patternFill>
          <bgColor rgb="FFFFFF00"/>
        </patternFill>
      </fill>
    </ndxf>
  </rcc>
  <rcc rId="31620" sId="8" odxf="1" dxf="1">
    <nc r="Z236">
      <f>Z242+Z248</f>
    </nc>
    <odxf>
      <fill>
        <patternFill>
          <bgColor theme="7" tint="0.79998168889431442"/>
        </patternFill>
      </fill>
    </odxf>
    <ndxf>
      <fill>
        <patternFill>
          <bgColor rgb="FFFFFF00"/>
        </patternFill>
      </fill>
    </ndxf>
  </rcc>
  <rcc rId="31621" sId="8" odxf="1" dxf="1">
    <nc r="AA236">
      <f>AA242+AA248</f>
    </nc>
    <odxf>
      <fill>
        <patternFill>
          <bgColor theme="7" tint="0.79998168889431442"/>
        </patternFill>
      </fill>
    </odxf>
    <ndxf>
      <fill>
        <patternFill>
          <bgColor rgb="FFFFFF00"/>
        </patternFill>
      </fill>
    </ndxf>
  </rcc>
  <rcc rId="31622" sId="8" odxf="1" dxf="1">
    <nc r="AB236">
      <f>AB242+AB248</f>
    </nc>
    <odxf>
      <fill>
        <patternFill>
          <bgColor theme="7" tint="0.79998168889431442"/>
        </patternFill>
      </fill>
    </odxf>
    <ndxf>
      <fill>
        <patternFill>
          <bgColor rgb="FFFFFF00"/>
        </patternFill>
      </fill>
    </ndxf>
  </rcc>
  <rcc rId="31623" sId="8" odxf="1" dxf="1">
    <nc r="AC236">
      <f>AC242+AC248</f>
    </nc>
    <odxf>
      <fill>
        <patternFill>
          <bgColor theme="7" tint="0.79998168889431442"/>
        </patternFill>
      </fill>
    </odxf>
    <ndxf>
      <fill>
        <patternFill>
          <bgColor rgb="FFFFFF00"/>
        </patternFill>
      </fill>
    </ndxf>
  </rcc>
  <rcc rId="31624" sId="8" odxf="1" dxf="1">
    <nc r="AD236">
      <f>AD242+AD248</f>
    </nc>
    <odxf>
      <fill>
        <patternFill>
          <bgColor theme="7" tint="0.79998168889431442"/>
        </patternFill>
      </fill>
    </odxf>
    <ndxf>
      <fill>
        <patternFill>
          <bgColor rgb="FFFFFF00"/>
        </patternFill>
      </fill>
    </ndxf>
  </rcc>
  <rcc rId="31625" sId="8" odxf="1" dxf="1">
    <nc r="AE236">
      <f>AE242+AE248</f>
    </nc>
    <odxf>
      <fill>
        <patternFill>
          <bgColor theme="7" tint="0.79998168889431442"/>
        </patternFill>
      </fill>
    </odxf>
    <ndxf>
      <fill>
        <patternFill>
          <bgColor rgb="FFFFFF00"/>
        </patternFill>
      </fill>
    </ndxf>
  </rcc>
  <rfmt sheetId="8" sqref="F236:G236">
    <dxf>
      <fill>
        <patternFill>
          <bgColor rgb="FFFFFF00"/>
        </patternFill>
      </fill>
    </dxf>
  </rfmt>
  <rfmt sheetId="8" sqref="A243:XFD243" start="0" length="2147483647">
    <dxf>
      <font>
        <color rgb="FFFF0000"/>
      </font>
    </dxf>
  </rfmt>
  <rcc rId="31626" sId="8" numFmtId="4">
    <oc r="B243">
      <f>J243+L243+N243+P243+R243+T243+V243+X243+Z243+AB243+AD243+H243</f>
    </oc>
    <nc r="B243">
      <v>13516.79</v>
    </nc>
  </rcc>
  <rfmt sheetId="8" sqref="B243" start="0" length="2147483647">
    <dxf>
      <font>
        <color auto="1"/>
      </font>
    </dxf>
  </rfmt>
  <rfmt sheetId="8" sqref="B243">
    <dxf>
      <fill>
        <patternFill>
          <bgColor rgb="FFFF0000"/>
        </patternFill>
      </fill>
    </dxf>
  </rfmt>
  <rcc rId="31627" sId="8" odxf="1" dxf="1">
    <nc r="F242">
      <f>IFERROR(E242/B242*100,0)</f>
    </nc>
    <odxf>
      <font>
        <sz val="14"/>
        <color auto="1"/>
        <name val="Times New Roman"/>
        <scheme val="none"/>
      </font>
    </odxf>
    <ndxf>
      <font>
        <sz val="14"/>
        <color rgb="FFFF0000"/>
        <name val="Times New Roman"/>
        <scheme val="none"/>
      </font>
    </ndxf>
  </rcc>
  <rcc rId="31628" sId="8" odxf="1" dxf="1">
    <nc r="G242">
      <f>IFERROR(E242/C242*100,0)</f>
    </nc>
    <odxf>
      <font>
        <sz val="14"/>
        <color auto="1"/>
        <name val="Times New Roman"/>
        <scheme val="none"/>
      </font>
    </odxf>
    <ndxf>
      <font>
        <sz val="14"/>
        <color rgb="FFFF0000"/>
        <name val="Times New Roman"/>
        <scheme val="none"/>
      </font>
    </ndxf>
  </rcc>
  <rfmt sheetId="8" sqref="Q242">
    <dxf>
      <fill>
        <patternFill>
          <bgColor rgb="FFFF0000"/>
        </patternFill>
      </fill>
    </dxf>
  </rfmt>
  <rfmt sheetId="8" sqref="Q242">
    <dxf>
      <fill>
        <patternFill>
          <bgColor rgb="FFFFC000"/>
        </patternFill>
      </fill>
    </dxf>
  </rfmt>
  <rcmt sheetId="8" cell="B243" guid="{807C13FD-2582-4352-97A4-F78E4E0FAD06}" author="Степаненко Наталья Алексеевна" oldLength="41" newLength="54"/>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311.bin"/><Relationship Id="rId13" Type="http://schemas.openxmlformats.org/officeDocument/2006/relationships/printerSettings" Target="../printerSettings/printerSettings316.bin"/><Relationship Id="rId18" Type="http://schemas.openxmlformats.org/officeDocument/2006/relationships/printerSettings" Target="../printerSettings/printerSettings321.bin"/><Relationship Id="rId26" Type="http://schemas.openxmlformats.org/officeDocument/2006/relationships/printerSettings" Target="../printerSettings/printerSettings329.bin"/><Relationship Id="rId39" Type="http://schemas.openxmlformats.org/officeDocument/2006/relationships/printerSettings" Target="../printerSettings/printerSettings342.bin"/><Relationship Id="rId3" Type="http://schemas.openxmlformats.org/officeDocument/2006/relationships/printerSettings" Target="../printerSettings/printerSettings306.bin"/><Relationship Id="rId21" Type="http://schemas.openxmlformats.org/officeDocument/2006/relationships/printerSettings" Target="../printerSettings/printerSettings324.bin"/><Relationship Id="rId34" Type="http://schemas.openxmlformats.org/officeDocument/2006/relationships/printerSettings" Target="../printerSettings/printerSettings337.bin"/><Relationship Id="rId7" Type="http://schemas.openxmlformats.org/officeDocument/2006/relationships/printerSettings" Target="../printerSettings/printerSettings310.bin"/><Relationship Id="rId12" Type="http://schemas.openxmlformats.org/officeDocument/2006/relationships/printerSettings" Target="../printerSettings/printerSettings315.bin"/><Relationship Id="rId17" Type="http://schemas.openxmlformats.org/officeDocument/2006/relationships/printerSettings" Target="../printerSettings/printerSettings320.bin"/><Relationship Id="rId25" Type="http://schemas.openxmlformats.org/officeDocument/2006/relationships/printerSettings" Target="../printerSettings/printerSettings328.bin"/><Relationship Id="rId33" Type="http://schemas.openxmlformats.org/officeDocument/2006/relationships/printerSettings" Target="../printerSettings/printerSettings336.bin"/><Relationship Id="rId38" Type="http://schemas.openxmlformats.org/officeDocument/2006/relationships/printerSettings" Target="../printerSettings/printerSettings341.bin"/><Relationship Id="rId2" Type="http://schemas.openxmlformats.org/officeDocument/2006/relationships/printerSettings" Target="../printerSettings/printerSettings305.bin"/><Relationship Id="rId16" Type="http://schemas.openxmlformats.org/officeDocument/2006/relationships/printerSettings" Target="../printerSettings/printerSettings319.bin"/><Relationship Id="rId20" Type="http://schemas.openxmlformats.org/officeDocument/2006/relationships/printerSettings" Target="../printerSettings/printerSettings323.bin"/><Relationship Id="rId29" Type="http://schemas.openxmlformats.org/officeDocument/2006/relationships/printerSettings" Target="../printerSettings/printerSettings332.bin"/><Relationship Id="rId1" Type="http://schemas.openxmlformats.org/officeDocument/2006/relationships/printerSettings" Target="../printerSettings/printerSettings304.bin"/><Relationship Id="rId6" Type="http://schemas.openxmlformats.org/officeDocument/2006/relationships/printerSettings" Target="../printerSettings/printerSettings309.bin"/><Relationship Id="rId11" Type="http://schemas.openxmlformats.org/officeDocument/2006/relationships/printerSettings" Target="../printerSettings/printerSettings314.bin"/><Relationship Id="rId24" Type="http://schemas.openxmlformats.org/officeDocument/2006/relationships/printerSettings" Target="../printerSettings/printerSettings327.bin"/><Relationship Id="rId32" Type="http://schemas.openxmlformats.org/officeDocument/2006/relationships/printerSettings" Target="../printerSettings/printerSettings335.bin"/><Relationship Id="rId37" Type="http://schemas.openxmlformats.org/officeDocument/2006/relationships/printerSettings" Target="../printerSettings/printerSettings340.bin"/><Relationship Id="rId5" Type="http://schemas.openxmlformats.org/officeDocument/2006/relationships/printerSettings" Target="../printerSettings/printerSettings308.bin"/><Relationship Id="rId15" Type="http://schemas.openxmlformats.org/officeDocument/2006/relationships/printerSettings" Target="../printerSettings/printerSettings318.bin"/><Relationship Id="rId23" Type="http://schemas.openxmlformats.org/officeDocument/2006/relationships/printerSettings" Target="../printerSettings/printerSettings326.bin"/><Relationship Id="rId28" Type="http://schemas.openxmlformats.org/officeDocument/2006/relationships/printerSettings" Target="../printerSettings/printerSettings331.bin"/><Relationship Id="rId36" Type="http://schemas.openxmlformats.org/officeDocument/2006/relationships/printerSettings" Target="../printerSettings/printerSettings339.bin"/><Relationship Id="rId10" Type="http://schemas.openxmlformats.org/officeDocument/2006/relationships/printerSettings" Target="../printerSettings/printerSettings313.bin"/><Relationship Id="rId19" Type="http://schemas.openxmlformats.org/officeDocument/2006/relationships/printerSettings" Target="../printerSettings/printerSettings322.bin"/><Relationship Id="rId31" Type="http://schemas.openxmlformats.org/officeDocument/2006/relationships/printerSettings" Target="../printerSettings/printerSettings334.bin"/><Relationship Id="rId4" Type="http://schemas.openxmlformats.org/officeDocument/2006/relationships/printerSettings" Target="../printerSettings/printerSettings307.bin"/><Relationship Id="rId9" Type="http://schemas.openxmlformats.org/officeDocument/2006/relationships/printerSettings" Target="../printerSettings/printerSettings312.bin"/><Relationship Id="rId14" Type="http://schemas.openxmlformats.org/officeDocument/2006/relationships/printerSettings" Target="../printerSettings/printerSettings317.bin"/><Relationship Id="rId22" Type="http://schemas.openxmlformats.org/officeDocument/2006/relationships/printerSettings" Target="../printerSettings/printerSettings325.bin"/><Relationship Id="rId27" Type="http://schemas.openxmlformats.org/officeDocument/2006/relationships/printerSettings" Target="../printerSettings/printerSettings330.bin"/><Relationship Id="rId30" Type="http://schemas.openxmlformats.org/officeDocument/2006/relationships/printerSettings" Target="../printerSettings/printerSettings333.bin"/><Relationship Id="rId35" Type="http://schemas.openxmlformats.org/officeDocument/2006/relationships/printerSettings" Target="../printerSettings/printerSettings338.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350.bin"/><Relationship Id="rId13" Type="http://schemas.openxmlformats.org/officeDocument/2006/relationships/printerSettings" Target="../printerSettings/printerSettings355.bin"/><Relationship Id="rId18" Type="http://schemas.openxmlformats.org/officeDocument/2006/relationships/printerSettings" Target="../printerSettings/printerSettings360.bin"/><Relationship Id="rId26" Type="http://schemas.openxmlformats.org/officeDocument/2006/relationships/printerSettings" Target="../printerSettings/printerSettings368.bin"/><Relationship Id="rId3" Type="http://schemas.openxmlformats.org/officeDocument/2006/relationships/printerSettings" Target="../printerSettings/printerSettings345.bin"/><Relationship Id="rId21" Type="http://schemas.openxmlformats.org/officeDocument/2006/relationships/printerSettings" Target="../printerSettings/printerSettings363.bin"/><Relationship Id="rId34" Type="http://schemas.openxmlformats.org/officeDocument/2006/relationships/printerSettings" Target="../printerSettings/printerSettings376.bin"/><Relationship Id="rId7" Type="http://schemas.openxmlformats.org/officeDocument/2006/relationships/printerSettings" Target="../printerSettings/printerSettings349.bin"/><Relationship Id="rId12" Type="http://schemas.openxmlformats.org/officeDocument/2006/relationships/printerSettings" Target="../printerSettings/printerSettings354.bin"/><Relationship Id="rId17" Type="http://schemas.openxmlformats.org/officeDocument/2006/relationships/printerSettings" Target="../printerSettings/printerSettings359.bin"/><Relationship Id="rId25" Type="http://schemas.openxmlformats.org/officeDocument/2006/relationships/printerSettings" Target="../printerSettings/printerSettings367.bin"/><Relationship Id="rId33" Type="http://schemas.openxmlformats.org/officeDocument/2006/relationships/printerSettings" Target="../printerSettings/printerSettings375.bin"/><Relationship Id="rId38" Type="http://schemas.openxmlformats.org/officeDocument/2006/relationships/printerSettings" Target="../printerSettings/printerSettings380.bin"/><Relationship Id="rId2" Type="http://schemas.openxmlformats.org/officeDocument/2006/relationships/printerSettings" Target="../printerSettings/printerSettings344.bin"/><Relationship Id="rId16" Type="http://schemas.openxmlformats.org/officeDocument/2006/relationships/printerSettings" Target="../printerSettings/printerSettings358.bin"/><Relationship Id="rId20" Type="http://schemas.openxmlformats.org/officeDocument/2006/relationships/printerSettings" Target="../printerSettings/printerSettings362.bin"/><Relationship Id="rId29" Type="http://schemas.openxmlformats.org/officeDocument/2006/relationships/printerSettings" Target="../printerSettings/printerSettings371.bin"/><Relationship Id="rId1" Type="http://schemas.openxmlformats.org/officeDocument/2006/relationships/printerSettings" Target="../printerSettings/printerSettings343.bin"/><Relationship Id="rId6" Type="http://schemas.openxmlformats.org/officeDocument/2006/relationships/printerSettings" Target="../printerSettings/printerSettings348.bin"/><Relationship Id="rId11" Type="http://schemas.openxmlformats.org/officeDocument/2006/relationships/printerSettings" Target="../printerSettings/printerSettings353.bin"/><Relationship Id="rId24" Type="http://schemas.openxmlformats.org/officeDocument/2006/relationships/printerSettings" Target="../printerSettings/printerSettings366.bin"/><Relationship Id="rId32" Type="http://schemas.openxmlformats.org/officeDocument/2006/relationships/printerSettings" Target="../printerSettings/printerSettings374.bin"/><Relationship Id="rId37" Type="http://schemas.openxmlformats.org/officeDocument/2006/relationships/printerSettings" Target="../printerSettings/printerSettings379.bin"/><Relationship Id="rId5" Type="http://schemas.openxmlformats.org/officeDocument/2006/relationships/printerSettings" Target="../printerSettings/printerSettings347.bin"/><Relationship Id="rId15" Type="http://schemas.openxmlformats.org/officeDocument/2006/relationships/printerSettings" Target="../printerSettings/printerSettings357.bin"/><Relationship Id="rId23" Type="http://schemas.openxmlformats.org/officeDocument/2006/relationships/printerSettings" Target="../printerSettings/printerSettings365.bin"/><Relationship Id="rId28" Type="http://schemas.openxmlformats.org/officeDocument/2006/relationships/printerSettings" Target="../printerSettings/printerSettings370.bin"/><Relationship Id="rId36" Type="http://schemas.openxmlformats.org/officeDocument/2006/relationships/printerSettings" Target="../printerSettings/printerSettings378.bin"/><Relationship Id="rId10" Type="http://schemas.openxmlformats.org/officeDocument/2006/relationships/printerSettings" Target="../printerSettings/printerSettings352.bin"/><Relationship Id="rId19" Type="http://schemas.openxmlformats.org/officeDocument/2006/relationships/printerSettings" Target="../printerSettings/printerSettings361.bin"/><Relationship Id="rId31" Type="http://schemas.openxmlformats.org/officeDocument/2006/relationships/printerSettings" Target="../printerSettings/printerSettings373.bin"/><Relationship Id="rId4" Type="http://schemas.openxmlformats.org/officeDocument/2006/relationships/printerSettings" Target="../printerSettings/printerSettings346.bin"/><Relationship Id="rId9" Type="http://schemas.openxmlformats.org/officeDocument/2006/relationships/printerSettings" Target="../printerSettings/printerSettings351.bin"/><Relationship Id="rId14" Type="http://schemas.openxmlformats.org/officeDocument/2006/relationships/printerSettings" Target="../printerSettings/printerSettings356.bin"/><Relationship Id="rId22" Type="http://schemas.openxmlformats.org/officeDocument/2006/relationships/printerSettings" Target="../printerSettings/printerSettings364.bin"/><Relationship Id="rId27" Type="http://schemas.openxmlformats.org/officeDocument/2006/relationships/printerSettings" Target="../printerSettings/printerSettings369.bin"/><Relationship Id="rId30" Type="http://schemas.openxmlformats.org/officeDocument/2006/relationships/printerSettings" Target="../printerSettings/printerSettings372.bin"/><Relationship Id="rId35" Type="http://schemas.openxmlformats.org/officeDocument/2006/relationships/printerSettings" Target="../printerSettings/printerSettings377.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388.bin"/><Relationship Id="rId13" Type="http://schemas.openxmlformats.org/officeDocument/2006/relationships/printerSettings" Target="../printerSettings/printerSettings393.bin"/><Relationship Id="rId18" Type="http://schemas.openxmlformats.org/officeDocument/2006/relationships/printerSettings" Target="../printerSettings/printerSettings398.bin"/><Relationship Id="rId26" Type="http://schemas.openxmlformats.org/officeDocument/2006/relationships/printerSettings" Target="../printerSettings/printerSettings406.bin"/><Relationship Id="rId39" Type="http://schemas.openxmlformats.org/officeDocument/2006/relationships/comments" Target="../comments3.xml"/><Relationship Id="rId3" Type="http://schemas.openxmlformats.org/officeDocument/2006/relationships/printerSettings" Target="../printerSettings/printerSettings383.bin"/><Relationship Id="rId21" Type="http://schemas.openxmlformats.org/officeDocument/2006/relationships/printerSettings" Target="../printerSettings/printerSettings401.bin"/><Relationship Id="rId34" Type="http://schemas.openxmlformats.org/officeDocument/2006/relationships/printerSettings" Target="../printerSettings/printerSettings414.bin"/><Relationship Id="rId7" Type="http://schemas.openxmlformats.org/officeDocument/2006/relationships/printerSettings" Target="../printerSettings/printerSettings387.bin"/><Relationship Id="rId12" Type="http://schemas.openxmlformats.org/officeDocument/2006/relationships/printerSettings" Target="../printerSettings/printerSettings392.bin"/><Relationship Id="rId17" Type="http://schemas.openxmlformats.org/officeDocument/2006/relationships/printerSettings" Target="../printerSettings/printerSettings397.bin"/><Relationship Id="rId25" Type="http://schemas.openxmlformats.org/officeDocument/2006/relationships/printerSettings" Target="../printerSettings/printerSettings405.bin"/><Relationship Id="rId33" Type="http://schemas.openxmlformats.org/officeDocument/2006/relationships/printerSettings" Target="../printerSettings/printerSettings413.bin"/><Relationship Id="rId38" Type="http://schemas.openxmlformats.org/officeDocument/2006/relationships/vmlDrawing" Target="../drawings/vmlDrawing3.vml"/><Relationship Id="rId2" Type="http://schemas.openxmlformats.org/officeDocument/2006/relationships/printerSettings" Target="../printerSettings/printerSettings382.bin"/><Relationship Id="rId16" Type="http://schemas.openxmlformats.org/officeDocument/2006/relationships/printerSettings" Target="../printerSettings/printerSettings396.bin"/><Relationship Id="rId20" Type="http://schemas.openxmlformats.org/officeDocument/2006/relationships/printerSettings" Target="../printerSettings/printerSettings400.bin"/><Relationship Id="rId29" Type="http://schemas.openxmlformats.org/officeDocument/2006/relationships/printerSettings" Target="../printerSettings/printerSettings409.bin"/><Relationship Id="rId1" Type="http://schemas.openxmlformats.org/officeDocument/2006/relationships/printerSettings" Target="../printerSettings/printerSettings381.bin"/><Relationship Id="rId6" Type="http://schemas.openxmlformats.org/officeDocument/2006/relationships/printerSettings" Target="../printerSettings/printerSettings386.bin"/><Relationship Id="rId11" Type="http://schemas.openxmlformats.org/officeDocument/2006/relationships/printerSettings" Target="../printerSettings/printerSettings391.bin"/><Relationship Id="rId24" Type="http://schemas.openxmlformats.org/officeDocument/2006/relationships/printerSettings" Target="../printerSettings/printerSettings404.bin"/><Relationship Id="rId32" Type="http://schemas.openxmlformats.org/officeDocument/2006/relationships/printerSettings" Target="../printerSettings/printerSettings412.bin"/><Relationship Id="rId37" Type="http://schemas.openxmlformats.org/officeDocument/2006/relationships/printerSettings" Target="../printerSettings/printerSettings417.bin"/><Relationship Id="rId5" Type="http://schemas.openxmlformats.org/officeDocument/2006/relationships/printerSettings" Target="../printerSettings/printerSettings385.bin"/><Relationship Id="rId15" Type="http://schemas.openxmlformats.org/officeDocument/2006/relationships/printerSettings" Target="../printerSettings/printerSettings395.bin"/><Relationship Id="rId23" Type="http://schemas.openxmlformats.org/officeDocument/2006/relationships/printerSettings" Target="../printerSettings/printerSettings403.bin"/><Relationship Id="rId28" Type="http://schemas.openxmlformats.org/officeDocument/2006/relationships/printerSettings" Target="../printerSettings/printerSettings408.bin"/><Relationship Id="rId36" Type="http://schemas.openxmlformats.org/officeDocument/2006/relationships/printerSettings" Target="../printerSettings/printerSettings416.bin"/><Relationship Id="rId10" Type="http://schemas.openxmlformats.org/officeDocument/2006/relationships/printerSettings" Target="../printerSettings/printerSettings390.bin"/><Relationship Id="rId19" Type="http://schemas.openxmlformats.org/officeDocument/2006/relationships/printerSettings" Target="../printerSettings/printerSettings399.bin"/><Relationship Id="rId31" Type="http://schemas.openxmlformats.org/officeDocument/2006/relationships/printerSettings" Target="../printerSettings/printerSettings411.bin"/><Relationship Id="rId4" Type="http://schemas.openxmlformats.org/officeDocument/2006/relationships/printerSettings" Target="../printerSettings/printerSettings384.bin"/><Relationship Id="rId9" Type="http://schemas.openxmlformats.org/officeDocument/2006/relationships/printerSettings" Target="../printerSettings/printerSettings389.bin"/><Relationship Id="rId14" Type="http://schemas.openxmlformats.org/officeDocument/2006/relationships/printerSettings" Target="../printerSettings/printerSettings394.bin"/><Relationship Id="rId22" Type="http://schemas.openxmlformats.org/officeDocument/2006/relationships/printerSettings" Target="../printerSettings/printerSettings402.bin"/><Relationship Id="rId27" Type="http://schemas.openxmlformats.org/officeDocument/2006/relationships/printerSettings" Target="../printerSettings/printerSettings407.bin"/><Relationship Id="rId30" Type="http://schemas.openxmlformats.org/officeDocument/2006/relationships/printerSettings" Target="../printerSettings/printerSettings410.bin"/><Relationship Id="rId35" Type="http://schemas.openxmlformats.org/officeDocument/2006/relationships/printerSettings" Target="../printerSettings/printerSettings415.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425.bin"/><Relationship Id="rId13" Type="http://schemas.openxmlformats.org/officeDocument/2006/relationships/printerSettings" Target="../printerSettings/printerSettings430.bin"/><Relationship Id="rId18" Type="http://schemas.openxmlformats.org/officeDocument/2006/relationships/printerSettings" Target="../printerSettings/printerSettings435.bin"/><Relationship Id="rId26" Type="http://schemas.openxmlformats.org/officeDocument/2006/relationships/printerSettings" Target="../printerSettings/printerSettings443.bin"/><Relationship Id="rId39" Type="http://schemas.openxmlformats.org/officeDocument/2006/relationships/printerSettings" Target="../printerSettings/printerSettings456.bin"/><Relationship Id="rId3" Type="http://schemas.openxmlformats.org/officeDocument/2006/relationships/printerSettings" Target="../printerSettings/printerSettings420.bin"/><Relationship Id="rId21" Type="http://schemas.openxmlformats.org/officeDocument/2006/relationships/printerSettings" Target="../printerSettings/printerSettings438.bin"/><Relationship Id="rId34" Type="http://schemas.openxmlformats.org/officeDocument/2006/relationships/printerSettings" Target="../printerSettings/printerSettings451.bin"/><Relationship Id="rId7" Type="http://schemas.openxmlformats.org/officeDocument/2006/relationships/printerSettings" Target="../printerSettings/printerSettings424.bin"/><Relationship Id="rId12" Type="http://schemas.openxmlformats.org/officeDocument/2006/relationships/printerSettings" Target="../printerSettings/printerSettings429.bin"/><Relationship Id="rId17" Type="http://schemas.openxmlformats.org/officeDocument/2006/relationships/printerSettings" Target="../printerSettings/printerSettings434.bin"/><Relationship Id="rId25" Type="http://schemas.openxmlformats.org/officeDocument/2006/relationships/printerSettings" Target="../printerSettings/printerSettings442.bin"/><Relationship Id="rId33" Type="http://schemas.openxmlformats.org/officeDocument/2006/relationships/printerSettings" Target="../printerSettings/printerSettings450.bin"/><Relationship Id="rId38" Type="http://schemas.openxmlformats.org/officeDocument/2006/relationships/printerSettings" Target="../printerSettings/printerSettings455.bin"/><Relationship Id="rId2" Type="http://schemas.openxmlformats.org/officeDocument/2006/relationships/printerSettings" Target="../printerSettings/printerSettings419.bin"/><Relationship Id="rId16" Type="http://schemas.openxmlformats.org/officeDocument/2006/relationships/printerSettings" Target="../printerSettings/printerSettings433.bin"/><Relationship Id="rId20" Type="http://schemas.openxmlformats.org/officeDocument/2006/relationships/printerSettings" Target="../printerSettings/printerSettings437.bin"/><Relationship Id="rId29" Type="http://schemas.openxmlformats.org/officeDocument/2006/relationships/printerSettings" Target="../printerSettings/printerSettings446.bin"/><Relationship Id="rId1" Type="http://schemas.openxmlformats.org/officeDocument/2006/relationships/printerSettings" Target="../printerSettings/printerSettings418.bin"/><Relationship Id="rId6" Type="http://schemas.openxmlformats.org/officeDocument/2006/relationships/printerSettings" Target="../printerSettings/printerSettings423.bin"/><Relationship Id="rId11" Type="http://schemas.openxmlformats.org/officeDocument/2006/relationships/printerSettings" Target="../printerSettings/printerSettings428.bin"/><Relationship Id="rId24" Type="http://schemas.openxmlformats.org/officeDocument/2006/relationships/printerSettings" Target="../printerSettings/printerSettings441.bin"/><Relationship Id="rId32" Type="http://schemas.openxmlformats.org/officeDocument/2006/relationships/printerSettings" Target="../printerSettings/printerSettings449.bin"/><Relationship Id="rId37" Type="http://schemas.openxmlformats.org/officeDocument/2006/relationships/printerSettings" Target="../printerSettings/printerSettings454.bin"/><Relationship Id="rId5" Type="http://schemas.openxmlformats.org/officeDocument/2006/relationships/printerSettings" Target="../printerSettings/printerSettings422.bin"/><Relationship Id="rId15" Type="http://schemas.openxmlformats.org/officeDocument/2006/relationships/printerSettings" Target="../printerSettings/printerSettings432.bin"/><Relationship Id="rId23" Type="http://schemas.openxmlformats.org/officeDocument/2006/relationships/printerSettings" Target="../printerSettings/printerSettings440.bin"/><Relationship Id="rId28" Type="http://schemas.openxmlformats.org/officeDocument/2006/relationships/printerSettings" Target="../printerSettings/printerSettings445.bin"/><Relationship Id="rId36" Type="http://schemas.openxmlformats.org/officeDocument/2006/relationships/printerSettings" Target="../printerSettings/printerSettings453.bin"/><Relationship Id="rId10" Type="http://schemas.openxmlformats.org/officeDocument/2006/relationships/printerSettings" Target="../printerSettings/printerSettings427.bin"/><Relationship Id="rId19" Type="http://schemas.openxmlformats.org/officeDocument/2006/relationships/printerSettings" Target="../printerSettings/printerSettings436.bin"/><Relationship Id="rId31" Type="http://schemas.openxmlformats.org/officeDocument/2006/relationships/printerSettings" Target="../printerSettings/printerSettings448.bin"/><Relationship Id="rId4" Type="http://schemas.openxmlformats.org/officeDocument/2006/relationships/printerSettings" Target="../printerSettings/printerSettings421.bin"/><Relationship Id="rId9" Type="http://schemas.openxmlformats.org/officeDocument/2006/relationships/printerSettings" Target="../printerSettings/printerSettings426.bin"/><Relationship Id="rId14" Type="http://schemas.openxmlformats.org/officeDocument/2006/relationships/printerSettings" Target="../printerSettings/printerSettings431.bin"/><Relationship Id="rId22" Type="http://schemas.openxmlformats.org/officeDocument/2006/relationships/printerSettings" Target="../printerSettings/printerSettings439.bin"/><Relationship Id="rId27" Type="http://schemas.openxmlformats.org/officeDocument/2006/relationships/printerSettings" Target="../printerSettings/printerSettings444.bin"/><Relationship Id="rId30" Type="http://schemas.openxmlformats.org/officeDocument/2006/relationships/printerSettings" Target="../printerSettings/printerSettings447.bin"/><Relationship Id="rId35" Type="http://schemas.openxmlformats.org/officeDocument/2006/relationships/printerSettings" Target="../printerSettings/printerSettings452.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464.bin"/><Relationship Id="rId13" Type="http://schemas.openxmlformats.org/officeDocument/2006/relationships/printerSettings" Target="../printerSettings/printerSettings469.bin"/><Relationship Id="rId18" Type="http://schemas.openxmlformats.org/officeDocument/2006/relationships/printerSettings" Target="../printerSettings/printerSettings474.bin"/><Relationship Id="rId26" Type="http://schemas.openxmlformats.org/officeDocument/2006/relationships/printerSettings" Target="../printerSettings/printerSettings482.bin"/><Relationship Id="rId3" Type="http://schemas.openxmlformats.org/officeDocument/2006/relationships/printerSettings" Target="../printerSettings/printerSettings459.bin"/><Relationship Id="rId21" Type="http://schemas.openxmlformats.org/officeDocument/2006/relationships/printerSettings" Target="../printerSettings/printerSettings477.bin"/><Relationship Id="rId7" Type="http://schemas.openxmlformats.org/officeDocument/2006/relationships/printerSettings" Target="../printerSettings/printerSettings463.bin"/><Relationship Id="rId12" Type="http://schemas.openxmlformats.org/officeDocument/2006/relationships/printerSettings" Target="../printerSettings/printerSettings468.bin"/><Relationship Id="rId17" Type="http://schemas.openxmlformats.org/officeDocument/2006/relationships/printerSettings" Target="../printerSettings/printerSettings473.bin"/><Relationship Id="rId25" Type="http://schemas.openxmlformats.org/officeDocument/2006/relationships/printerSettings" Target="../printerSettings/printerSettings481.bin"/><Relationship Id="rId2" Type="http://schemas.openxmlformats.org/officeDocument/2006/relationships/printerSettings" Target="../printerSettings/printerSettings458.bin"/><Relationship Id="rId16" Type="http://schemas.openxmlformats.org/officeDocument/2006/relationships/printerSettings" Target="../printerSettings/printerSettings472.bin"/><Relationship Id="rId20" Type="http://schemas.openxmlformats.org/officeDocument/2006/relationships/printerSettings" Target="../printerSettings/printerSettings476.bin"/><Relationship Id="rId29" Type="http://schemas.openxmlformats.org/officeDocument/2006/relationships/printerSettings" Target="../printerSettings/printerSettings485.bin"/><Relationship Id="rId1" Type="http://schemas.openxmlformats.org/officeDocument/2006/relationships/printerSettings" Target="../printerSettings/printerSettings457.bin"/><Relationship Id="rId6" Type="http://schemas.openxmlformats.org/officeDocument/2006/relationships/printerSettings" Target="../printerSettings/printerSettings462.bin"/><Relationship Id="rId11" Type="http://schemas.openxmlformats.org/officeDocument/2006/relationships/printerSettings" Target="../printerSettings/printerSettings467.bin"/><Relationship Id="rId24" Type="http://schemas.openxmlformats.org/officeDocument/2006/relationships/printerSettings" Target="../printerSettings/printerSettings480.bin"/><Relationship Id="rId5" Type="http://schemas.openxmlformats.org/officeDocument/2006/relationships/printerSettings" Target="../printerSettings/printerSettings461.bin"/><Relationship Id="rId15" Type="http://schemas.openxmlformats.org/officeDocument/2006/relationships/printerSettings" Target="../printerSettings/printerSettings471.bin"/><Relationship Id="rId23" Type="http://schemas.openxmlformats.org/officeDocument/2006/relationships/printerSettings" Target="../printerSettings/printerSettings479.bin"/><Relationship Id="rId28" Type="http://schemas.openxmlformats.org/officeDocument/2006/relationships/printerSettings" Target="../printerSettings/printerSettings484.bin"/><Relationship Id="rId10" Type="http://schemas.openxmlformats.org/officeDocument/2006/relationships/printerSettings" Target="../printerSettings/printerSettings466.bin"/><Relationship Id="rId19" Type="http://schemas.openxmlformats.org/officeDocument/2006/relationships/printerSettings" Target="../printerSettings/printerSettings475.bin"/><Relationship Id="rId4" Type="http://schemas.openxmlformats.org/officeDocument/2006/relationships/printerSettings" Target="../printerSettings/printerSettings460.bin"/><Relationship Id="rId9" Type="http://schemas.openxmlformats.org/officeDocument/2006/relationships/printerSettings" Target="../printerSettings/printerSettings465.bin"/><Relationship Id="rId14" Type="http://schemas.openxmlformats.org/officeDocument/2006/relationships/printerSettings" Target="../printerSettings/printerSettings470.bin"/><Relationship Id="rId22" Type="http://schemas.openxmlformats.org/officeDocument/2006/relationships/printerSettings" Target="../printerSettings/printerSettings478.bin"/><Relationship Id="rId27" Type="http://schemas.openxmlformats.org/officeDocument/2006/relationships/printerSettings" Target="../printerSettings/printerSettings483.bin"/><Relationship Id="rId30" Type="http://schemas.openxmlformats.org/officeDocument/2006/relationships/printerSettings" Target="../printerSettings/printerSettings486.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494.bin"/><Relationship Id="rId13" Type="http://schemas.openxmlformats.org/officeDocument/2006/relationships/printerSettings" Target="../printerSettings/printerSettings499.bin"/><Relationship Id="rId18" Type="http://schemas.openxmlformats.org/officeDocument/2006/relationships/printerSettings" Target="../printerSettings/printerSettings504.bin"/><Relationship Id="rId3" Type="http://schemas.openxmlformats.org/officeDocument/2006/relationships/printerSettings" Target="../printerSettings/printerSettings489.bin"/><Relationship Id="rId21" Type="http://schemas.openxmlformats.org/officeDocument/2006/relationships/printerSettings" Target="../printerSettings/printerSettings507.bin"/><Relationship Id="rId7" Type="http://schemas.openxmlformats.org/officeDocument/2006/relationships/printerSettings" Target="../printerSettings/printerSettings493.bin"/><Relationship Id="rId12" Type="http://schemas.openxmlformats.org/officeDocument/2006/relationships/printerSettings" Target="../printerSettings/printerSettings498.bin"/><Relationship Id="rId17" Type="http://schemas.openxmlformats.org/officeDocument/2006/relationships/printerSettings" Target="../printerSettings/printerSettings503.bin"/><Relationship Id="rId25" Type="http://schemas.openxmlformats.org/officeDocument/2006/relationships/printerSettings" Target="../printerSettings/printerSettings511.bin"/><Relationship Id="rId2" Type="http://schemas.openxmlformats.org/officeDocument/2006/relationships/printerSettings" Target="../printerSettings/printerSettings488.bin"/><Relationship Id="rId16" Type="http://schemas.openxmlformats.org/officeDocument/2006/relationships/printerSettings" Target="../printerSettings/printerSettings502.bin"/><Relationship Id="rId20" Type="http://schemas.openxmlformats.org/officeDocument/2006/relationships/printerSettings" Target="../printerSettings/printerSettings506.bin"/><Relationship Id="rId1" Type="http://schemas.openxmlformats.org/officeDocument/2006/relationships/printerSettings" Target="../printerSettings/printerSettings487.bin"/><Relationship Id="rId6" Type="http://schemas.openxmlformats.org/officeDocument/2006/relationships/printerSettings" Target="../printerSettings/printerSettings492.bin"/><Relationship Id="rId11" Type="http://schemas.openxmlformats.org/officeDocument/2006/relationships/printerSettings" Target="../printerSettings/printerSettings497.bin"/><Relationship Id="rId24" Type="http://schemas.openxmlformats.org/officeDocument/2006/relationships/printerSettings" Target="../printerSettings/printerSettings510.bin"/><Relationship Id="rId5" Type="http://schemas.openxmlformats.org/officeDocument/2006/relationships/printerSettings" Target="../printerSettings/printerSettings491.bin"/><Relationship Id="rId15" Type="http://schemas.openxmlformats.org/officeDocument/2006/relationships/printerSettings" Target="../printerSettings/printerSettings501.bin"/><Relationship Id="rId23" Type="http://schemas.openxmlformats.org/officeDocument/2006/relationships/printerSettings" Target="../printerSettings/printerSettings509.bin"/><Relationship Id="rId10" Type="http://schemas.openxmlformats.org/officeDocument/2006/relationships/printerSettings" Target="../printerSettings/printerSettings496.bin"/><Relationship Id="rId19" Type="http://schemas.openxmlformats.org/officeDocument/2006/relationships/printerSettings" Target="../printerSettings/printerSettings505.bin"/><Relationship Id="rId4" Type="http://schemas.openxmlformats.org/officeDocument/2006/relationships/printerSettings" Target="../printerSettings/printerSettings490.bin"/><Relationship Id="rId9" Type="http://schemas.openxmlformats.org/officeDocument/2006/relationships/printerSettings" Target="../printerSettings/printerSettings495.bin"/><Relationship Id="rId14" Type="http://schemas.openxmlformats.org/officeDocument/2006/relationships/printerSettings" Target="../printerSettings/printerSettings500.bin"/><Relationship Id="rId22" Type="http://schemas.openxmlformats.org/officeDocument/2006/relationships/printerSettings" Target="../printerSettings/printerSettings508.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9" Type="http://schemas.openxmlformats.org/officeDocument/2006/relationships/printerSettings" Target="../printerSettings/printerSettings39.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519.bin"/><Relationship Id="rId13" Type="http://schemas.openxmlformats.org/officeDocument/2006/relationships/printerSettings" Target="../printerSettings/printerSettings524.bin"/><Relationship Id="rId18" Type="http://schemas.openxmlformats.org/officeDocument/2006/relationships/printerSettings" Target="../printerSettings/printerSettings529.bin"/><Relationship Id="rId26" Type="http://schemas.openxmlformats.org/officeDocument/2006/relationships/printerSettings" Target="../printerSettings/printerSettings537.bin"/><Relationship Id="rId3" Type="http://schemas.openxmlformats.org/officeDocument/2006/relationships/printerSettings" Target="../printerSettings/printerSettings514.bin"/><Relationship Id="rId21" Type="http://schemas.openxmlformats.org/officeDocument/2006/relationships/printerSettings" Target="../printerSettings/printerSettings532.bin"/><Relationship Id="rId7" Type="http://schemas.openxmlformats.org/officeDocument/2006/relationships/printerSettings" Target="../printerSettings/printerSettings518.bin"/><Relationship Id="rId12" Type="http://schemas.openxmlformats.org/officeDocument/2006/relationships/printerSettings" Target="../printerSettings/printerSettings523.bin"/><Relationship Id="rId17" Type="http://schemas.openxmlformats.org/officeDocument/2006/relationships/printerSettings" Target="../printerSettings/printerSettings528.bin"/><Relationship Id="rId25" Type="http://schemas.openxmlformats.org/officeDocument/2006/relationships/printerSettings" Target="../printerSettings/printerSettings536.bin"/><Relationship Id="rId2" Type="http://schemas.openxmlformats.org/officeDocument/2006/relationships/printerSettings" Target="../printerSettings/printerSettings513.bin"/><Relationship Id="rId16" Type="http://schemas.openxmlformats.org/officeDocument/2006/relationships/printerSettings" Target="../printerSettings/printerSettings527.bin"/><Relationship Id="rId20" Type="http://schemas.openxmlformats.org/officeDocument/2006/relationships/printerSettings" Target="../printerSettings/printerSettings531.bin"/><Relationship Id="rId1" Type="http://schemas.openxmlformats.org/officeDocument/2006/relationships/printerSettings" Target="../printerSettings/printerSettings512.bin"/><Relationship Id="rId6" Type="http://schemas.openxmlformats.org/officeDocument/2006/relationships/printerSettings" Target="../printerSettings/printerSettings517.bin"/><Relationship Id="rId11" Type="http://schemas.openxmlformats.org/officeDocument/2006/relationships/printerSettings" Target="../printerSettings/printerSettings522.bin"/><Relationship Id="rId24" Type="http://schemas.openxmlformats.org/officeDocument/2006/relationships/printerSettings" Target="../printerSettings/printerSettings535.bin"/><Relationship Id="rId5" Type="http://schemas.openxmlformats.org/officeDocument/2006/relationships/printerSettings" Target="../printerSettings/printerSettings516.bin"/><Relationship Id="rId15" Type="http://schemas.openxmlformats.org/officeDocument/2006/relationships/printerSettings" Target="../printerSettings/printerSettings526.bin"/><Relationship Id="rId23" Type="http://schemas.openxmlformats.org/officeDocument/2006/relationships/printerSettings" Target="../printerSettings/printerSettings534.bin"/><Relationship Id="rId28" Type="http://schemas.openxmlformats.org/officeDocument/2006/relationships/printerSettings" Target="../printerSettings/printerSettings539.bin"/><Relationship Id="rId10" Type="http://schemas.openxmlformats.org/officeDocument/2006/relationships/printerSettings" Target="../printerSettings/printerSettings521.bin"/><Relationship Id="rId19" Type="http://schemas.openxmlformats.org/officeDocument/2006/relationships/printerSettings" Target="../printerSettings/printerSettings530.bin"/><Relationship Id="rId4" Type="http://schemas.openxmlformats.org/officeDocument/2006/relationships/printerSettings" Target="../printerSettings/printerSettings515.bin"/><Relationship Id="rId9" Type="http://schemas.openxmlformats.org/officeDocument/2006/relationships/printerSettings" Target="../printerSettings/printerSettings520.bin"/><Relationship Id="rId14" Type="http://schemas.openxmlformats.org/officeDocument/2006/relationships/printerSettings" Target="../printerSettings/printerSettings525.bin"/><Relationship Id="rId22" Type="http://schemas.openxmlformats.org/officeDocument/2006/relationships/printerSettings" Target="../printerSettings/printerSettings533.bin"/><Relationship Id="rId27" Type="http://schemas.openxmlformats.org/officeDocument/2006/relationships/printerSettings" Target="../printerSettings/printerSettings538.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547.bin"/><Relationship Id="rId13" Type="http://schemas.openxmlformats.org/officeDocument/2006/relationships/printerSettings" Target="../printerSettings/printerSettings552.bin"/><Relationship Id="rId18" Type="http://schemas.openxmlformats.org/officeDocument/2006/relationships/printerSettings" Target="../printerSettings/printerSettings557.bin"/><Relationship Id="rId26" Type="http://schemas.openxmlformats.org/officeDocument/2006/relationships/printerSettings" Target="../printerSettings/printerSettings565.bin"/><Relationship Id="rId39" Type="http://schemas.openxmlformats.org/officeDocument/2006/relationships/vmlDrawing" Target="../drawings/vmlDrawing4.vml"/><Relationship Id="rId3" Type="http://schemas.openxmlformats.org/officeDocument/2006/relationships/printerSettings" Target="../printerSettings/printerSettings542.bin"/><Relationship Id="rId21" Type="http://schemas.openxmlformats.org/officeDocument/2006/relationships/printerSettings" Target="../printerSettings/printerSettings560.bin"/><Relationship Id="rId34" Type="http://schemas.openxmlformats.org/officeDocument/2006/relationships/printerSettings" Target="../printerSettings/printerSettings573.bin"/><Relationship Id="rId7" Type="http://schemas.openxmlformats.org/officeDocument/2006/relationships/printerSettings" Target="../printerSettings/printerSettings546.bin"/><Relationship Id="rId12" Type="http://schemas.openxmlformats.org/officeDocument/2006/relationships/printerSettings" Target="../printerSettings/printerSettings551.bin"/><Relationship Id="rId17" Type="http://schemas.openxmlformats.org/officeDocument/2006/relationships/printerSettings" Target="../printerSettings/printerSettings556.bin"/><Relationship Id="rId25" Type="http://schemas.openxmlformats.org/officeDocument/2006/relationships/printerSettings" Target="../printerSettings/printerSettings564.bin"/><Relationship Id="rId33" Type="http://schemas.openxmlformats.org/officeDocument/2006/relationships/printerSettings" Target="../printerSettings/printerSettings572.bin"/><Relationship Id="rId38" Type="http://schemas.openxmlformats.org/officeDocument/2006/relationships/printerSettings" Target="../printerSettings/printerSettings577.bin"/><Relationship Id="rId2" Type="http://schemas.openxmlformats.org/officeDocument/2006/relationships/printerSettings" Target="../printerSettings/printerSettings541.bin"/><Relationship Id="rId16" Type="http://schemas.openxmlformats.org/officeDocument/2006/relationships/printerSettings" Target="../printerSettings/printerSettings555.bin"/><Relationship Id="rId20" Type="http://schemas.openxmlformats.org/officeDocument/2006/relationships/printerSettings" Target="../printerSettings/printerSettings559.bin"/><Relationship Id="rId29" Type="http://schemas.openxmlformats.org/officeDocument/2006/relationships/printerSettings" Target="../printerSettings/printerSettings568.bin"/><Relationship Id="rId1" Type="http://schemas.openxmlformats.org/officeDocument/2006/relationships/printerSettings" Target="../printerSettings/printerSettings540.bin"/><Relationship Id="rId6" Type="http://schemas.openxmlformats.org/officeDocument/2006/relationships/printerSettings" Target="../printerSettings/printerSettings545.bin"/><Relationship Id="rId11" Type="http://schemas.openxmlformats.org/officeDocument/2006/relationships/printerSettings" Target="../printerSettings/printerSettings550.bin"/><Relationship Id="rId24" Type="http://schemas.openxmlformats.org/officeDocument/2006/relationships/printerSettings" Target="../printerSettings/printerSettings563.bin"/><Relationship Id="rId32" Type="http://schemas.openxmlformats.org/officeDocument/2006/relationships/printerSettings" Target="../printerSettings/printerSettings571.bin"/><Relationship Id="rId37" Type="http://schemas.openxmlformats.org/officeDocument/2006/relationships/printerSettings" Target="../printerSettings/printerSettings576.bin"/><Relationship Id="rId40" Type="http://schemas.openxmlformats.org/officeDocument/2006/relationships/comments" Target="../comments4.xml"/><Relationship Id="rId5" Type="http://schemas.openxmlformats.org/officeDocument/2006/relationships/printerSettings" Target="../printerSettings/printerSettings544.bin"/><Relationship Id="rId15" Type="http://schemas.openxmlformats.org/officeDocument/2006/relationships/printerSettings" Target="../printerSettings/printerSettings554.bin"/><Relationship Id="rId23" Type="http://schemas.openxmlformats.org/officeDocument/2006/relationships/printerSettings" Target="../printerSettings/printerSettings562.bin"/><Relationship Id="rId28" Type="http://schemas.openxmlformats.org/officeDocument/2006/relationships/printerSettings" Target="../printerSettings/printerSettings567.bin"/><Relationship Id="rId36" Type="http://schemas.openxmlformats.org/officeDocument/2006/relationships/printerSettings" Target="../printerSettings/printerSettings575.bin"/><Relationship Id="rId10" Type="http://schemas.openxmlformats.org/officeDocument/2006/relationships/printerSettings" Target="../printerSettings/printerSettings549.bin"/><Relationship Id="rId19" Type="http://schemas.openxmlformats.org/officeDocument/2006/relationships/printerSettings" Target="../printerSettings/printerSettings558.bin"/><Relationship Id="rId31" Type="http://schemas.openxmlformats.org/officeDocument/2006/relationships/printerSettings" Target="../printerSettings/printerSettings570.bin"/><Relationship Id="rId4" Type="http://schemas.openxmlformats.org/officeDocument/2006/relationships/printerSettings" Target="../printerSettings/printerSettings543.bin"/><Relationship Id="rId9" Type="http://schemas.openxmlformats.org/officeDocument/2006/relationships/printerSettings" Target="../printerSettings/printerSettings548.bin"/><Relationship Id="rId14" Type="http://schemas.openxmlformats.org/officeDocument/2006/relationships/printerSettings" Target="../printerSettings/printerSettings553.bin"/><Relationship Id="rId22" Type="http://schemas.openxmlformats.org/officeDocument/2006/relationships/printerSettings" Target="../printerSettings/printerSettings561.bin"/><Relationship Id="rId27" Type="http://schemas.openxmlformats.org/officeDocument/2006/relationships/printerSettings" Target="../printerSettings/printerSettings566.bin"/><Relationship Id="rId30" Type="http://schemas.openxmlformats.org/officeDocument/2006/relationships/printerSettings" Target="../printerSettings/printerSettings569.bin"/><Relationship Id="rId35" Type="http://schemas.openxmlformats.org/officeDocument/2006/relationships/printerSettings" Target="../printerSettings/printerSettings574.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585.bin"/><Relationship Id="rId13" Type="http://schemas.openxmlformats.org/officeDocument/2006/relationships/printerSettings" Target="../printerSettings/printerSettings590.bin"/><Relationship Id="rId18" Type="http://schemas.openxmlformats.org/officeDocument/2006/relationships/printerSettings" Target="../printerSettings/printerSettings595.bin"/><Relationship Id="rId26" Type="http://schemas.openxmlformats.org/officeDocument/2006/relationships/printerSettings" Target="../printerSettings/printerSettings603.bin"/><Relationship Id="rId3" Type="http://schemas.openxmlformats.org/officeDocument/2006/relationships/printerSettings" Target="../printerSettings/printerSettings580.bin"/><Relationship Id="rId21" Type="http://schemas.openxmlformats.org/officeDocument/2006/relationships/printerSettings" Target="../printerSettings/printerSettings598.bin"/><Relationship Id="rId34" Type="http://schemas.openxmlformats.org/officeDocument/2006/relationships/printerSettings" Target="../printerSettings/printerSettings611.bin"/><Relationship Id="rId7" Type="http://schemas.openxmlformats.org/officeDocument/2006/relationships/printerSettings" Target="../printerSettings/printerSettings584.bin"/><Relationship Id="rId12" Type="http://schemas.openxmlformats.org/officeDocument/2006/relationships/printerSettings" Target="../printerSettings/printerSettings589.bin"/><Relationship Id="rId17" Type="http://schemas.openxmlformats.org/officeDocument/2006/relationships/printerSettings" Target="../printerSettings/printerSettings594.bin"/><Relationship Id="rId25" Type="http://schemas.openxmlformats.org/officeDocument/2006/relationships/printerSettings" Target="../printerSettings/printerSettings602.bin"/><Relationship Id="rId33" Type="http://schemas.openxmlformats.org/officeDocument/2006/relationships/printerSettings" Target="../printerSettings/printerSettings610.bin"/><Relationship Id="rId2" Type="http://schemas.openxmlformats.org/officeDocument/2006/relationships/printerSettings" Target="../printerSettings/printerSettings579.bin"/><Relationship Id="rId16" Type="http://schemas.openxmlformats.org/officeDocument/2006/relationships/printerSettings" Target="../printerSettings/printerSettings593.bin"/><Relationship Id="rId20" Type="http://schemas.openxmlformats.org/officeDocument/2006/relationships/printerSettings" Target="../printerSettings/printerSettings597.bin"/><Relationship Id="rId29" Type="http://schemas.openxmlformats.org/officeDocument/2006/relationships/printerSettings" Target="../printerSettings/printerSettings606.bin"/><Relationship Id="rId1" Type="http://schemas.openxmlformats.org/officeDocument/2006/relationships/printerSettings" Target="../printerSettings/printerSettings578.bin"/><Relationship Id="rId6" Type="http://schemas.openxmlformats.org/officeDocument/2006/relationships/printerSettings" Target="../printerSettings/printerSettings583.bin"/><Relationship Id="rId11" Type="http://schemas.openxmlformats.org/officeDocument/2006/relationships/printerSettings" Target="../printerSettings/printerSettings588.bin"/><Relationship Id="rId24" Type="http://schemas.openxmlformats.org/officeDocument/2006/relationships/printerSettings" Target="../printerSettings/printerSettings601.bin"/><Relationship Id="rId32" Type="http://schemas.openxmlformats.org/officeDocument/2006/relationships/printerSettings" Target="../printerSettings/printerSettings609.bin"/><Relationship Id="rId5" Type="http://schemas.openxmlformats.org/officeDocument/2006/relationships/printerSettings" Target="../printerSettings/printerSettings582.bin"/><Relationship Id="rId15" Type="http://schemas.openxmlformats.org/officeDocument/2006/relationships/printerSettings" Target="../printerSettings/printerSettings592.bin"/><Relationship Id="rId23" Type="http://schemas.openxmlformats.org/officeDocument/2006/relationships/printerSettings" Target="../printerSettings/printerSettings600.bin"/><Relationship Id="rId28" Type="http://schemas.openxmlformats.org/officeDocument/2006/relationships/printerSettings" Target="../printerSettings/printerSettings605.bin"/><Relationship Id="rId10" Type="http://schemas.openxmlformats.org/officeDocument/2006/relationships/printerSettings" Target="../printerSettings/printerSettings587.bin"/><Relationship Id="rId19" Type="http://schemas.openxmlformats.org/officeDocument/2006/relationships/printerSettings" Target="../printerSettings/printerSettings596.bin"/><Relationship Id="rId31" Type="http://schemas.openxmlformats.org/officeDocument/2006/relationships/printerSettings" Target="../printerSettings/printerSettings608.bin"/><Relationship Id="rId4" Type="http://schemas.openxmlformats.org/officeDocument/2006/relationships/printerSettings" Target="../printerSettings/printerSettings581.bin"/><Relationship Id="rId9" Type="http://schemas.openxmlformats.org/officeDocument/2006/relationships/printerSettings" Target="../printerSettings/printerSettings586.bin"/><Relationship Id="rId14" Type="http://schemas.openxmlformats.org/officeDocument/2006/relationships/printerSettings" Target="../printerSettings/printerSettings591.bin"/><Relationship Id="rId22" Type="http://schemas.openxmlformats.org/officeDocument/2006/relationships/printerSettings" Target="../printerSettings/printerSettings599.bin"/><Relationship Id="rId27" Type="http://schemas.openxmlformats.org/officeDocument/2006/relationships/printerSettings" Target="../printerSettings/printerSettings604.bin"/><Relationship Id="rId30" Type="http://schemas.openxmlformats.org/officeDocument/2006/relationships/printerSettings" Target="../printerSettings/printerSettings607.bin"/><Relationship Id="rId35" Type="http://schemas.openxmlformats.org/officeDocument/2006/relationships/printerSettings" Target="../printerSettings/printerSettings612.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620.bin"/><Relationship Id="rId3" Type="http://schemas.openxmlformats.org/officeDocument/2006/relationships/printerSettings" Target="../printerSettings/printerSettings615.bin"/><Relationship Id="rId7" Type="http://schemas.openxmlformats.org/officeDocument/2006/relationships/printerSettings" Target="../printerSettings/printerSettings619.bin"/><Relationship Id="rId2" Type="http://schemas.openxmlformats.org/officeDocument/2006/relationships/printerSettings" Target="../printerSettings/printerSettings614.bin"/><Relationship Id="rId1" Type="http://schemas.openxmlformats.org/officeDocument/2006/relationships/printerSettings" Target="../printerSettings/printerSettings613.bin"/><Relationship Id="rId6" Type="http://schemas.openxmlformats.org/officeDocument/2006/relationships/printerSettings" Target="../printerSettings/printerSettings618.bin"/><Relationship Id="rId11" Type="http://schemas.openxmlformats.org/officeDocument/2006/relationships/printerSettings" Target="../printerSettings/printerSettings623.bin"/><Relationship Id="rId5" Type="http://schemas.openxmlformats.org/officeDocument/2006/relationships/printerSettings" Target="../printerSettings/printerSettings617.bin"/><Relationship Id="rId10" Type="http://schemas.openxmlformats.org/officeDocument/2006/relationships/printerSettings" Target="../printerSettings/printerSettings622.bin"/><Relationship Id="rId4" Type="http://schemas.openxmlformats.org/officeDocument/2006/relationships/printerSettings" Target="../printerSettings/printerSettings616.bin"/><Relationship Id="rId9" Type="http://schemas.openxmlformats.org/officeDocument/2006/relationships/printerSettings" Target="../printerSettings/printerSettings62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7.bin"/><Relationship Id="rId13" Type="http://schemas.openxmlformats.org/officeDocument/2006/relationships/printerSettings" Target="../printerSettings/printerSettings52.bin"/><Relationship Id="rId18" Type="http://schemas.openxmlformats.org/officeDocument/2006/relationships/printerSettings" Target="../printerSettings/printerSettings57.bin"/><Relationship Id="rId26" Type="http://schemas.openxmlformats.org/officeDocument/2006/relationships/printerSettings" Target="../printerSettings/printerSettings65.bin"/><Relationship Id="rId39" Type="http://schemas.openxmlformats.org/officeDocument/2006/relationships/printerSettings" Target="../printerSettings/printerSettings78.bin"/><Relationship Id="rId3" Type="http://schemas.openxmlformats.org/officeDocument/2006/relationships/printerSettings" Target="../printerSettings/printerSettings42.bin"/><Relationship Id="rId21" Type="http://schemas.openxmlformats.org/officeDocument/2006/relationships/printerSettings" Target="../printerSettings/printerSettings60.bin"/><Relationship Id="rId34" Type="http://schemas.openxmlformats.org/officeDocument/2006/relationships/printerSettings" Target="../printerSettings/printerSettings73.bin"/><Relationship Id="rId7" Type="http://schemas.openxmlformats.org/officeDocument/2006/relationships/printerSettings" Target="../printerSettings/printerSettings46.bin"/><Relationship Id="rId12" Type="http://schemas.openxmlformats.org/officeDocument/2006/relationships/printerSettings" Target="../printerSettings/printerSettings51.bin"/><Relationship Id="rId17" Type="http://schemas.openxmlformats.org/officeDocument/2006/relationships/printerSettings" Target="../printerSettings/printerSettings56.bin"/><Relationship Id="rId25" Type="http://schemas.openxmlformats.org/officeDocument/2006/relationships/printerSettings" Target="../printerSettings/printerSettings64.bin"/><Relationship Id="rId33" Type="http://schemas.openxmlformats.org/officeDocument/2006/relationships/printerSettings" Target="../printerSettings/printerSettings72.bin"/><Relationship Id="rId38" Type="http://schemas.openxmlformats.org/officeDocument/2006/relationships/printerSettings" Target="../printerSettings/printerSettings77.bin"/><Relationship Id="rId2" Type="http://schemas.openxmlformats.org/officeDocument/2006/relationships/printerSettings" Target="../printerSettings/printerSettings41.bin"/><Relationship Id="rId16" Type="http://schemas.openxmlformats.org/officeDocument/2006/relationships/printerSettings" Target="../printerSettings/printerSettings55.bin"/><Relationship Id="rId20" Type="http://schemas.openxmlformats.org/officeDocument/2006/relationships/printerSettings" Target="../printerSettings/printerSettings59.bin"/><Relationship Id="rId29" Type="http://schemas.openxmlformats.org/officeDocument/2006/relationships/printerSettings" Target="../printerSettings/printerSettings68.bin"/><Relationship Id="rId1" Type="http://schemas.openxmlformats.org/officeDocument/2006/relationships/printerSettings" Target="../printerSettings/printerSettings40.bin"/><Relationship Id="rId6" Type="http://schemas.openxmlformats.org/officeDocument/2006/relationships/printerSettings" Target="../printerSettings/printerSettings45.bin"/><Relationship Id="rId11" Type="http://schemas.openxmlformats.org/officeDocument/2006/relationships/printerSettings" Target="../printerSettings/printerSettings50.bin"/><Relationship Id="rId24" Type="http://schemas.openxmlformats.org/officeDocument/2006/relationships/printerSettings" Target="../printerSettings/printerSettings63.bin"/><Relationship Id="rId32" Type="http://schemas.openxmlformats.org/officeDocument/2006/relationships/printerSettings" Target="../printerSettings/printerSettings71.bin"/><Relationship Id="rId37" Type="http://schemas.openxmlformats.org/officeDocument/2006/relationships/printerSettings" Target="../printerSettings/printerSettings76.bin"/><Relationship Id="rId5" Type="http://schemas.openxmlformats.org/officeDocument/2006/relationships/printerSettings" Target="../printerSettings/printerSettings44.bin"/><Relationship Id="rId15" Type="http://schemas.openxmlformats.org/officeDocument/2006/relationships/printerSettings" Target="../printerSettings/printerSettings54.bin"/><Relationship Id="rId23" Type="http://schemas.openxmlformats.org/officeDocument/2006/relationships/printerSettings" Target="../printerSettings/printerSettings62.bin"/><Relationship Id="rId28" Type="http://schemas.openxmlformats.org/officeDocument/2006/relationships/printerSettings" Target="../printerSettings/printerSettings67.bin"/><Relationship Id="rId36" Type="http://schemas.openxmlformats.org/officeDocument/2006/relationships/printerSettings" Target="../printerSettings/printerSettings75.bin"/><Relationship Id="rId10" Type="http://schemas.openxmlformats.org/officeDocument/2006/relationships/printerSettings" Target="../printerSettings/printerSettings49.bin"/><Relationship Id="rId19" Type="http://schemas.openxmlformats.org/officeDocument/2006/relationships/printerSettings" Target="../printerSettings/printerSettings58.bin"/><Relationship Id="rId31" Type="http://schemas.openxmlformats.org/officeDocument/2006/relationships/printerSettings" Target="../printerSettings/printerSettings70.bin"/><Relationship Id="rId4" Type="http://schemas.openxmlformats.org/officeDocument/2006/relationships/printerSettings" Target="../printerSettings/printerSettings43.bin"/><Relationship Id="rId9" Type="http://schemas.openxmlformats.org/officeDocument/2006/relationships/printerSettings" Target="../printerSettings/printerSettings48.bin"/><Relationship Id="rId14" Type="http://schemas.openxmlformats.org/officeDocument/2006/relationships/printerSettings" Target="../printerSettings/printerSettings53.bin"/><Relationship Id="rId22" Type="http://schemas.openxmlformats.org/officeDocument/2006/relationships/printerSettings" Target="../printerSettings/printerSettings61.bin"/><Relationship Id="rId27" Type="http://schemas.openxmlformats.org/officeDocument/2006/relationships/printerSettings" Target="../printerSettings/printerSettings66.bin"/><Relationship Id="rId30" Type="http://schemas.openxmlformats.org/officeDocument/2006/relationships/printerSettings" Target="../printerSettings/printerSettings69.bin"/><Relationship Id="rId35" Type="http://schemas.openxmlformats.org/officeDocument/2006/relationships/printerSettings" Target="../printerSettings/printerSettings74.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86.bin"/><Relationship Id="rId13" Type="http://schemas.openxmlformats.org/officeDocument/2006/relationships/printerSettings" Target="../printerSettings/printerSettings91.bin"/><Relationship Id="rId18" Type="http://schemas.openxmlformats.org/officeDocument/2006/relationships/printerSettings" Target="../printerSettings/printerSettings96.bin"/><Relationship Id="rId26" Type="http://schemas.openxmlformats.org/officeDocument/2006/relationships/printerSettings" Target="../printerSettings/printerSettings104.bin"/><Relationship Id="rId39" Type="http://schemas.openxmlformats.org/officeDocument/2006/relationships/printerSettings" Target="../printerSettings/printerSettings117.bin"/><Relationship Id="rId3" Type="http://schemas.openxmlformats.org/officeDocument/2006/relationships/printerSettings" Target="../printerSettings/printerSettings81.bin"/><Relationship Id="rId21" Type="http://schemas.openxmlformats.org/officeDocument/2006/relationships/printerSettings" Target="../printerSettings/printerSettings99.bin"/><Relationship Id="rId34" Type="http://schemas.openxmlformats.org/officeDocument/2006/relationships/printerSettings" Target="../printerSettings/printerSettings112.bin"/><Relationship Id="rId7" Type="http://schemas.openxmlformats.org/officeDocument/2006/relationships/printerSettings" Target="../printerSettings/printerSettings85.bin"/><Relationship Id="rId12" Type="http://schemas.openxmlformats.org/officeDocument/2006/relationships/printerSettings" Target="../printerSettings/printerSettings90.bin"/><Relationship Id="rId17" Type="http://schemas.openxmlformats.org/officeDocument/2006/relationships/printerSettings" Target="../printerSettings/printerSettings95.bin"/><Relationship Id="rId25" Type="http://schemas.openxmlformats.org/officeDocument/2006/relationships/printerSettings" Target="../printerSettings/printerSettings103.bin"/><Relationship Id="rId33" Type="http://schemas.openxmlformats.org/officeDocument/2006/relationships/printerSettings" Target="../printerSettings/printerSettings111.bin"/><Relationship Id="rId38" Type="http://schemas.openxmlformats.org/officeDocument/2006/relationships/printerSettings" Target="../printerSettings/printerSettings116.bin"/><Relationship Id="rId2" Type="http://schemas.openxmlformats.org/officeDocument/2006/relationships/printerSettings" Target="../printerSettings/printerSettings80.bin"/><Relationship Id="rId16" Type="http://schemas.openxmlformats.org/officeDocument/2006/relationships/printerSettings" Target="../printerSettings/printerSettings94.bin"/><Relationship Id="rId20" Type="http://schemas.openxmlformats.org/officeDocument/2006/relationships/printerSettings" Target="../printerSettings/printerSettings98.bin"/><Relationship Id="rId29" Type="http://schemas.openxmlformats.org/officeDocument/2006/relationships/printerSettings" Target="../printerSettings/printerSettings107.bin"/><Relationship Id="rId41" Type="http://schemas.openxmlformats.org/officeDocument/2006/relationships/comments" Target="../comments1.xml"/><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11" Type="http://schemas.openxmlformats.org/officeDocument/2006/relationships/printerSettings" Target="../printerSettings/printerSettings89.bin"/><Relationship Id="rId24" Type="http://schemas.openxmlformats.org/officeDocument/2006/relationships/printerSettings" Target="../printerSettings/printerSettings102.bin"/><Relationship Id="rId32" Type="http://schemas.openxmlformats.org/officeDocument/2006/relationships/printerSettings" Target="../printerSettings/printerSettings110.bin"/><Relationship Id="rId37" Type="http://schemas.openxmlformats.org/officeDocument/2006/relationships/printerSettings" Target="../printerSettings/printerSettings115.bin"/><Relationship Id="rId40" Type="http://schemas.openxmlformats.org/officeDocument/2006/relationships/vmlDrawing" Target="../drawings/vmlDrawing1.vml"/><Relationship Id="rId5" Type="http://schemas.openxmlformats.org/officeDocument/2006/relationships/printerSettings" Target="../printerSettings/printerSettings83.bin"/><Relationship Id="rId15" Type="http://schemas.openxmlformats.org/officeDocument/2006/relationships/printerSettings" Target="../printerSettings/printerSettings93.bin"/><Relationship Id="rId23" Type="http://schemas.openxmlformats.org/officeDocument/2006/relationships/printerSettings" Target="../printerSettings/printerSettings101.bin"/><Relationship Id="rId28" Type="http://schemas.openxmlformats.org/officeDocument/2006/relationships/printerSettings" Target="../printerSettings/printerSettings106.bin"/><Relationship Id="rId36" Type="http://schemas.openxmlformats.org/officeDocument/2006/relationships/printerSettings" Target="../printerSettings/printerSettings114.bin"/><Relationship Id="rId10" Type="http://schemas.openxmlformats.org/officeDocument/2006/relationships/printerSettings" Target="../printerSettings/printerSettings88.bin"/><Relationship Id="rId19" Type="http://schemas.openxmlformats.org/officeDocument/2006/relationships/printerSettings" Target="../printerSettings/printerSettings97.bin"/><Relationship Id="rId31" Type="http://schemas.openxmlformats.org/officeDocument/2006/relationships/printerSettings" Target="../printerSettings/printerSettings109.bin"/><Relationship Id="rId4" Type="http://schemas.openxmlformats.org/officeDocument/2006/relationships/printerSettings" Target="../printerSettings/printerSettings82.bin"/><Relationship Id="rId9" Type="http://schemas.openxmlformats.org/officeDocument/2006/relationships/printerSettings" Target="../printerSettings/printerSettings87.bin"/><Relationship Id="rId14" Type="http://schemas.openxmlformats.org/officeDocument/2006/relationships/printerSettings" Target="../printerSettings/printerSettings92.bin"/><Relationship Id="rId22" Type="http://schemas.openxmlformats.org/officeDocument/2006/relationships/printerSettings" Target="../printerSettings/printerSettings100.bin"/><Relationship Id="rId27" Type="http://schemas.openxmlformats.org/officeDocument/2006/relationships/printerSettings" Target="../printerSettings/printerSettings105.bin"/><Relationship Id="rId30" Type="http://schemas.openxmlformats.org/officeDocument/2006/relationships/printerSettings" Target="../printerSettings/printerSettings108.bin"/><Relationship Id="rId35" Type="http://schemas.openxmlformats.org/officeDocument/2006/relationships/printerSettings" Target="../printerSettings/printerSettings113.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25.bin"/><Relationship Id="rId13" Type="http://schemas.openxmlformats.org/officeDocument/2006/relationships/printerSettings" Target="../printerSettings/printerSettings130.bin"/><Relationship Id="rId18" Type="http://schemas.openxmlformats.org/officeDocument/2006/relationships/printerSettings" Target="../printerSettings/printerSettings135.bin"/><Relationship Id="rId26" Type="http://schemas.openxmlformats.org/officeDocument/2006/relationships/printerSettings" Target="../printerSettings/printerSettings143.bin"/><Relationship Id="rId39" Type="http://schemas.openxmlformats.org/officeDocument/2006/relationships/printerSettings" Target="../printerSettings/printerSettings156.bin"/><Relationship Id="rId3" Type="http://schemas.openxmlformats.org/officeDocument/2006/relationships/printerSettings" Target="../printerSettings/printerSettings120.bin"/><Relationship Id="rId21" Type="http://schemas.openxmlformats.org/officeDocument/2006/relationships/printerSettings" Target="../printerSettings/printerSettings138.bin"/><Relationship Id="rId34" Type="http://schemas.openxmlformats.org/officeDocument/2006/relationships/printerSettings" Target="../printerSettings/printerSettings151.bin"/><Relationship Id="rId7" Type="http://schemas.openxmlformats.org/officeDocument/2006/relationships/printerSettings" Target="../printerSettings/printerSettings124.bin"/><Relationship Id="rId12" Type="http://schemas.openxmlformats.org/officeDocument/2006/relationships/printerSettings" Target="../printerSettings/printerSettings129.bin"/><Relationship Id="rId17" Type="http://schemas.openxmlformats.org/officeDocument/2006/relationships/printerSettings" Target="../printerSettings/printerSettings134.bin"/><Relationship Id="rId25" Type="http://schemas.openxmlformats.org/officeDocument/2006/relationships/printerSettings" Target="../printerSettings/printerSettings142.bin"/><Relationship Id="rId33" Type="http://schemas.openxmlformats.org/officeDocument/2006/relationships/printerSettings" Target="../printerSettings/printerSettings150.bin"/><Relationship Id="rId38" Type="http://schemas.openxmlformats.org/officeDocument/2006/relationships/printerSettings" Target="../printerSettings/printerSettings155.bin"/><Relationship Id="rId2" Type="http://schemas.openxmlformats.org/officeDocument/2006/relationships/printerSettings" Target="../printerSettings/printerSettings119.bin"/><Relationship Id="rId16" Type="http://schemas.openxmlformats.org/officeDocument/2006/relationships/printerSettings" Target="../printerSettings/printerSettings133.bin"/><Relationship Id="rId20" Type="http://schemas.openxmlformats.org/officeDocument/2006/relationships/printerSettings" Target="../printerSettings/printerSettings137.bin"/><Relationship Id="rId29" Type="http://schemas.openxmlformats.org/officeDocument/2006/relationships/printerSettings" Target="../printerSettings/printerSettings146.bin"/><Relationship Id="rId1" Type="http://schemas.openxmlformats.org/officeDocument/2006/relationships/printerSettings" Target="../printerSettings/printerSettings118.bin"/><Relationship Id="rId6" Type="http://schemas.openxmlformats.org/officeDocument/2006/relationships/printerSettings" Target="../printerSettings/printerSettings123.bin"/><Relationship Id="rId11" Type="http://schemas.openxmlformats.org/officeDocument/2006/relationships/printerSettings" Target="../printerSettings/printerSettings128.bin"/><Relationship Id="rId24" Type="http://schemas.openxmlformats.org/officeDocument/2006/relationships/printerSettings" Target="../printerSettings/printerSettings141.bin"/><Relationship Id="rId32" Type="http://schemas.openxmlformats.org/officeDocument/2006/relationships/printerSettings" Target="../printerSettings/printerSettings149.bin"/><Relationship Id="rId37" Type="http://schemas.openxmlformats.org/officeDocument/2006/relationships/printerSettings" Target="../printerSettings/printerSettings154.bin"/><Relationship Id="rId5" Type="http://schemas.openxmlformats.org/officeDocument/2006/relationships/printerSettings" Target="../printerSettings/printerSettings122.bin"/><Relationship Id="rId15" Type="http://schemas.openxmlformats.org/officeDocument/2006/relationships/printerSettings" Target="../printerSettings/printerSettings132.bin"/><Relationship Id="rId23" Type="http://schemas.openxmlformats.org/officeDocument/2006/relationships/printerSettings" Target="../printerSettings/printerSettings140.bin"/><Relationship Id="rId28" Type="http://schemas.openxmlformats.org/officeDocument/2006/relationships/printerSettings" Target="../printerSettings/printerSettings145.bin"/><Relationship Id="rId36" Type="http://schemas.openxmlformats.org/officeDocument/2006/relationships/printerSettings" Target="../printerSettings/printerSettings153.bin"/><Relationship Id="rId10" Type="http://schemas.openxmlformats.org/officeDocument/2006/relationships/printerSettings" Target="../printerSettings/printerSettings127.bin"/><Relationship Id="rId19" Type="http://schemas.openxmlformats.org/officeDocument/2006/relationships/printerSettings" Target="../printerSettings/printerSettings136.bin"/><Relationship Id="rId31" Type="http://schemas.openxmlformats.org/officeDocument/2006/relationships/printerSettings" Target="../printerSettings/printerSettings148.bin"/><Relationship Id="rId4" Type="http://schemas.openxmlformats.org/officeDocument/2006/relationships/printerSettings" Target="../printerSettings/printerSettings121.bin"/><Relationship Id="rId9" Type="http://schemas.openxmlformats.org/officeDocument/2006/relationships/printerSettings" Target="../printerSettings/printerSettings126.bin"/><Relationship Id="rId14" Type="http://schemas.openxmlformats.org/officeDocument/2006/relationships/printerSettings" Target="../printerSettings/printerSettings131.bin"/><Relationship Id="rId22" Type="http://schemas.openxmlformats.org/officeDocument/2006/relationships/printerSettings" Target="../printerSettings/printerSettings139.bin"/><Relationship Id="rId27" Type="http://schemas.openxmlformats.org/officeDocument/2006/relationships/printerSettings" Target="../printerSettings/printerSettings144.bin"/><Relationship Id="rId30" Type="http://schemas.openxmlformats.org/officeDocument/2006/relationships/printerSettings" Target="../printerSettings/printerSettings147.bin"/><Relationship Id="rId35" Type="http://schemas.openxmlformats.org/officeDocument/2006/relationships/printerSettings" Target="../printerSettings/printerSettings152.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64.bin"/><Relationship Id="rId13" Type="http://schemas.openxmlformats.org/officeDocument/2006/relationships/printerSettings" Target="../printerSettings/printerSettings169.bin"/><Relationship Id="rId18" Type="http://schemas.openxmlformats.org/officeDocument/2006/relationships/printerSettings" Target="../printerSettings/printerSettings174.bin"/><Relationship Id="rId26" Type="http://schemas.openxmlformats.org/officeDocument/2006/relationships/printerSettings" Target="../printerSettings/printerSettings182.bin"/><Relationship Id="rId39" Type="http://schemas.openxmlformats.org/officeDocument/2006/relationships/printerSettings" Target="../printerSettings/printerSettings195.bin"/><Relationship Id="rId3" Type="http://schemas.openxmlformats.org/officeDocument/2006/relationships/printerSettings" Target="../printerSettings/printerSettings159.bin"/><Relationship Id="rId21" Type="http://schemas.openxmlformats.org/officeDocument/2006/relationships/printerSettings" Target="../printerSettings/printerSettings177.bin"/><Relationship Id="rId34" Type="http://schemas.openxmlformats.org/officeDocument/2006/relationships/printerSettings" Target="../printerSettings/printerSettings190.bin"/><Relationship Id="rId7" Type="http://schemas.openxmlformats.org/officeDocument/2006/relationships/printerSettings" Target="../printerSettings/printerSettings163.bin"/><Relationship Id="rId12" Type="http://schemas.openxmlformats.org/officeDocument/2006/relationships/printerSettings" Target="../printerSettings/printerSettings168.bin"/><Relationship Id="rId17" Type="http://schemas.openxmlformats.org/officeDocument/2006/relationships/printerSettings" Target="../printerSettings/printerSettings173.bin"/><Relationship Id="rId25" Type="http://schemas.openxmlformats.org/officeDocument/2006/relationships/printerSettings" Target="../printerSettings/printerSettings181.bin"/><Relationship Id="rId33" Type="http://schemas.openxmlformats.org/officeDocument/2006/relationships/printerSettings" Target="../printerSettings/printerSettings189.bin"/><Relationship Id="rId38" Type="http://schemas.openxmlformats.org/officeDocument/2006/relationships/printerSettings" Target="../printerSettings/printerSettings194.bin"/><Relationship Id="rId2" Type="http://schemas.openxmlformats.org/officeDocument/2006/relationships/printerSettings" Target="../printerSettings/printerSettings158.bin"/><Relationship Id="rId16" Type="http://schemas.openxmlformats.org/officeDocument/2006/relationships/printerSettings" Target="../printerSettings/printerSettings172.bin"/><Relationship Id="rId20" Type="http://schemas.openxmlformats.org/officeDocument/2006/relationships/printerSettings" Target="../printerSettings/printerSettings176.bin"/><Relationship Id="rId29" Type="http://schemas.openxmlformats.org/officeDocument/2006/relationships/printerSettings" Target="../printerSettings/printerSettings185.bin"/><Relationship Id="rId41" Type="http://schemas.openxmlformats.org/officeDocument/2006/relationships/comments" Target="../comments2.xml"/><Relationship Id="rId1" Type="http://schemas.openxmlformats.org/officeDocument/2006/relationships/printerSettings" Target="../printerSettings/printerSettings157.bin"/><Relationship Id="rId6" Type="http://schemas.openxmlformats.org/officeDocument/2006/relationships/printerSettings" Target="../printerSettings/printerSettings162.bin"/><Relationship Id="rId11" Type="http://schemas.openxmlformats.org/officeDocument/2006/relationships/printerSettings" Target="../printerSettings/printerSettings167.bin"/><Relationship Id="rId24" Type="http://schemas.openxmlformats.org/officeDocument/2006/relationships/printerSettings" Target="../printerSettings/printerSettings180.bin"/><Relationship Id="rId32" Type="http://schemas.openxmlformats.org/officeDocument/2006/relationships/printerSettings" Target="../printerSettings/printerSettings188.bin"/><Relationship Id="rId37" Type="http://schemas.openxmlformats.org/officeDocument/2006/relationships/printerSettings" Target="../printerSettings/printerSettings193.bin"/><Relationship Id="rId40" Type="http://schemas.openxmlformats.org/officeDocument/2006/relationships/vmlDrawing" Target="../drawings/vmlDrawing2.vml"/><Relationship Id="rId5" Type="http://schemas.openxmlformats.org/officeDocument/2006/relationships/printerSettings" Target="../printerSettings/printerSettings161.bin"/><Relationship Id="rId15" Type="http://schemas.openxmlformats.org/officeDocument/2006/relationships/printerSettings" Target="../printerSettings/printerSettings171.bin"/><Relationship Id="rId23" Type="http://schemas.openxmlformats.org/officeDocument/2006/relationships/printerSettings" Target="../printerSettings/printerSettings179.bin"/><Relationship Id="rId28" Type="http://schemas.openxmlformats.org/officeDocument/2006/relationships/printerSettings" Target="../printerSettings/printerSettings184.bin"/><Relationship Id="rId36" Type="http://schemas.openxmlformats.org/officeDocument/2006/relationships/printerSettings" Target="../printerSettings/printerSettings192.bin"/><Relationship Id="rId10" Type="http://schemas.openxmlformats.org/officeDocument/2006/relationships/printerSettings" Target="../printerSettings/printerSettings166.bin"/><Relationship Id="rId19" Type="http://schemas.openxmlformats.org/officeDocument/2006/relationships/printerSettings" Target="../printerSettings/printerSettings175.bin"/><Relationship Id="rId31" Type="http://schemas.openxmlformats.org/officeDocument/2006/relationships/printerSettings" Target="../printerSettings/printerSettings187.bin"/><Relationship Id="rId4" Type="http://schemas.openxmlformats.org/officeDocument/2006/relationships/printerSettings" Target="../printerSettings/printerSettings160.bin"/><Relationship Id="rId9" Type="http://schemas.openxmlformats.org/officeDocument/2006/relationships/printerSettings" Target="../printerSettings/printerSettings165.bin"/><Relationship Id="rId14" Type="http://schemas.openxmlformats.org/officeDocument/2006/relationships/printerSettings" Target="../printerSettings/printerSettings170.bin"/><Relationship Id="rId22" Type="http://schemas.openxmlformats.org/officeDocument/2006/relationships/printerSettings" Target="../printerSettings/printerSettings178.bin"/><Relationship Id="rId27" Type="http://schemas.openxmlformats.org/officeDocument/2006/relationships/printerSettings" Target="../printerSettings/printerSettings183.bin"/><Relationship Id="rId30" Type="http://schemas.openxmlformats.org/officeDocument/2006/relationships/printerSettings" Target="../printerSettings/printerSettings186.bin"/><Relationship Id="rId35" Type="http://schemas.openxmlformats.org/officeDocument/2006/relationships/printerSettings" Target="../printerSettings/printerSettings191.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203.bin"/><Relationship Id="rId13" Type="http://schemas.openxmlformats.org/officeDocument/2006/relationships/printerSettings" Target="../printerSettings/printerSettings208.bin"/><Relationship Id="rId18" Type="http://schemas.openxmlformats.org/officeDocument/2006/relationships/printerSettings" Target="../printerSettings/printerSettings213.bin"/><Relationship Id="rId26" Type="http://schemas.openxmlformats.org/officeDocument/2006/relationships/printerSettings" Target="../printerSettings/printerSettings221.bin"/><Relationship Id="rId39" Type="http://schemas.openxmlformats.org/officeDocument/2006/relationships/printerSettings" Target="../printerSettings/printerSettings234.bin"/><Relationship Id="rId3" Type="http://schemas.openxmlformats.org/officeDocument/2006/relationships/printerSettings" Target="../printerSettings/printerSettings198.bin"/><Relationship Id="rId21" Type="http://schemas.openxmlformats.org/officeDocument/2006/relationships/printerSettings" Target="../printerSettings/printerSettings216.bin"/><Relationship Id="rId34" Type="http://schemas.openxmlformats.org/officeDocument/2006/relationships/printerSettings" Target="../printerSettings/printerSettings229.bin"/><Relationship Id="rId7" Type="http://schemas.openxmlformats.org/officeDocument/2006/relationships/printerSettings" Target="../printerSettings/printerSettings202.bin"/><Relationship Id="rId12" Type="http://schemas.openxmlformats.org/officeDocument/2006/relationships/printerSettings" Target="../printerSettings/printerSettings207.bin"/><Relationship Id="rId17" Type="http://schemas.openxmlformats.org/officeDocument/2006/relationships/printerSettings" Target="../printerSettings/printerSettings212.bin"/><Relationship Id="rId25" Type="http://schemas.openxmlformats.org/officeDocument/2006/relationships/printerSettings" Target="../printerSettings/printerSettings220.bin"/><Relationship Id="rId33" Type="http://schemas.openxmlformats.org/officeDocument/2006/relationships/printerSettings" Target="../printerSettings/printerSettings228.bin"/><Relationship Id="rId38" Type="http://schemas.openxmlformats.org/officeDocument/2006/relationships/printerSettings" Target="../printerSettings/printerSettings233.bin"/><Relationship Id="rId2" Type="http://schemas.openxmlformats.org/officeDocument/2006/relationships/printerSettings" Target="../printerSettings/printerSettings197.bin"/><Relationship Id="rId16" Type="http://schemas.openxmlformats.org/officeDocument/2006/relationships/printerSettings" Target="../printerSettings/printerSettings211.bin"/><Relationship Id="rId20" Type="http://schemas.openxmlformats.org/officeDocument/2006/relationships/printerSettings" Target="../printerSettings/printerSettings215.bin"/><Relationship Id="rId29" Type="http://schemas.openxmlformats.org/officeDocument/2006/relationships/printerSettings" Target="../printerSettings/printerSettings224.bin"/><Relationship Id="rId1" Type="http://schemas.openxmlformats.org/officeDocument/2006/relationships/printerSettings" Target="../printerSettings/printerSettings196.bin"/><Relationship Id="rId6" Type="http://schemas.openxmlformats.org/officeDocument/2006/relationships/printerSettings" Target="../printerSettings/printerSettings201.bin"/><Relationship Id="rId11" Type="http://schemas.openxmlformats.org/officeDocument/2006/relationships/printerSettings" Target="../printerSettings/printerSettings206.bin"/><Relationship Id="rId24" Type="http://schemas.openxmlformats.org/officeDocument/2006/relationships/printerSettings" Target="../printerSettings/printerSettings219.bin"/><Relationship Id="rId32" Type="http://schemas.openxmlformats.org/officeDocument/2006/relationships/printerSettings" Target="../printerSettings/printerSettings227.bin"/><Relationship Id="rId37" Type="http://schemas.openxmlformats.org/officeDocument/2006/relationships/printerSettings" Target="../printerSettings/printerSettings232.bin"/><Relationship Id="rId5" Type="http://schemas.openxmlformats.org/officeDocument/2006/relationships/printerSettings" Target="../printerSettings/printerSettings200.bin"/><Relationship Id="rId15" Type="http://schemas.openxmlformats.org/officeDocument/2006/relationships/printerSettings" Target="../printerSettings/printerSettings210.bin"/><Relationship Id="rId23" Type="http://schemas.openxmlformats.org/officeDocument/2006/relationships/printerSettings" Target="../printerSettings/printerSettings218.bin"/><Relationship Id="rId28" Type="http://schemas.openxmlformats.org/officeDocument/2006/relationships/printerSettings" Target="../printerSettings/printerSettings223.bin"/><Relationship Id="rId36" Type="http://schemas.openxmlformats.org/officeDocument/2006/relationships/printerSettings" Target="../printerSettings/printerSettings231.bin"/><Relationship Id="rId10" Type="http://schemas.openxmlformats.org/officeDocument/2006/relationships/printerSettings" Target="../printerSettings/printerSettings205.bin"/><Relationship Id="rId19" Type="http://schemas.openxmlformats.org/officeDocument/2006/relationships/printerSettings" Target="../printerSettings/printerSettings214.bin"/><Relationship Id="rId31" Type="http://schemas.openxmlformats.org/officeDocument/2006/relationships/printerSettings" Target="../printerSettings/printerSettings226.bin"/><Relationship Id="rId4" Type="http://schemas.openxmlformats.org/officeDocument/2006/relationships/printerSettings" Target="../printerSettings/printerSettings199.bin"/><Relationship Id="rId9" Type="http://schemas.openxmlformats.org/officeDocument/2006/relationships/printerSettings" Target="../printerSettings/printerSettings204.bin"/><Relationship Id="rId14" Type="http://schemas.openxmlformats.org/officeDocument/2006/relationships/printerSettings" Target="../printerSettings/printerSettings209.bin"/><Relationship Id="rId22" Type="http://schemas.openxmlformats.org/officeDocument/2006/relationships/printerSettings" Target="../printerSettings/printerSettings217.bin"/><Relationship Id="rId27" Type="http://schemas.openxmlformats.org/officeDocument/2006/relationships/printerSettings" Target="../printerSettings/printerSettings222.bin"/><Relationship Id="rId30" Type="http://schemas.openxmlformats.org/officeDocument/2006/relationships/printerSettings" Target="../printerSettings/printerSettings225.bin"/><Relationship Id="rId35" Type="http://schemas.openxmlformats.org/officeDocument/2006/relationships/printerSettings" Target="../printerSettings/printerSettings230.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42.bin"/><Relationship Id="rId13" Type="http://schemas.openxmlformats.org/officeDocument/2006/relationships/printerSettings" Target="../printerSettings/printerSettings247.bin"/><Relationship Id="rId18" Type="http://schemas.openxmlformats.org/officeDocument/2006/relationships/printerSettings" Target="../printerSettings/printerSettings252.bin"/><Relationship Id="rId26" Type="http://schemas.openxmlformats.org/officeDocument/2006/relationships/printerSettings" Target="../printerSettings/printerSettings260.bin"/><Relationship Id="rId3" Type="http://schemas.openxmlformats.org/officeDocument/2006/relationships/printerSettings" Target="../printerSettings/printerSettings237.bin"/><Relationship Id="rId21" Type="http://schemas.openxmlformats.org/officeDocument/2006/relationships/printerSettings" Target="../printerSettings/printerSettings255.bin"/><Relationship Id="rId7" Type="http://schemas.openxmlformats.org/officeDocument/2006/relationships/printerSettings" Target="../printerSettings/printerSettings241.bin"/><Relationship Id="rId12" Type="http://schemas.openxmlformats.org/officeDocument/2006/relationships/printerSettings" Target="../printerSettings/printerSettings246.bin"/><Relationship Id="rId17" Type="http://schemas.openxmlformats.org/officeDocument/2006/relationships/printerSettings" Target="../printerSettings/printerSettings251.bin"/><Relationship Id="rId25" Type="http://schemas.openxmlformats.org/officeDocument/2006/relationships/printerSettings" Target="../printerSettings/printerSettings259.bin"/><Relationship Id="rId2" Type="http://schemas.openxmlformats.org/officeDocument/2006/relationships/printerSettings" Target="../printerSettings/printerSettings236.bin"/><Relationship Id="rId16" Type="http://schemas.openxmlformats.org/officeDocument/2006/relationships/printerSettings" Target="../printerSettings/printerSettings250.bin"/><Relationship Id="rId20" Type="http://schemas.openxmlformats.org/officeDocument/2006/relationships/printerSettings" Target="../printerSettings/printerSettings254.bin"/><Relationship Id="rId29" Type="http://schemas.openxmlformats.org/officeDocument/2006/relationships/printerSettings" Target="../printerSettings/printerSettings263.bin"/><Relationship Id="rId1" Type="http://schemas.openxmlformats.org/officeDocument/2006/relationships/printerSettings" Target="../printerSettings/printerSettings235.bin"/><Relationship Id="rId6" Type="http://schemas.openxmlformats.org/officeDocument/2006/relationships/printerSettings" Target="../printerSettings/printerSettings240.bin"/><Relationship Id="rId11" Type="http://schemas.openxmlformats.org/officeDocument/2006/relationships/printerSettings" Target="../printerSettings/printerSettings245.bin"/><Relationship Id="rId24" Type="http://schemas.openxmlformats.org/officeDocument/2006/relationships/printerSettings" Target="../printerSettings/printerSettings258.bin"/><Relationship Id="rId5" Type="http://schemas.openxmlformats.org/officeDocument/2006/relationships/printerSettings" Target="../printerSettings/printerSettings239.bin"/><Relationship Id="rId15" Type="http://schemas.openxmlformats.org/officeDocument/2006/relationships/printerSettings" Target="../printerSettings/printerSettings249.bin"/><Relationship Id="rId23" Type="http://schemas.openxmlformats.org/officeDocument/2006/relationships/printerSettings" Target="../printerSettings/printerSettings257.bin"/><Relationship Id="rId28" Type="http://schemas.openxmlformats.org/officeDocument/2006/relationships/printerSettings" Target="../printerSettings/printerSettings262.bin"/><Relationship Id="rId10" Type="http://schemas.openxmlformats.org/officeDocument/2006/relationships/printerSettings" Target="../printerSettings/printerSettings244.bin"/><Relationship Id="rId19" Type="http://schemas.openxmlformats.org/officeDocument/2006/relationships/printerSettings" Target="../printerSettings/printerSettings253.bin"/><Relationship Id="rId4" Type="http://schemas.openxmlformats.org/officeDocument/2006/relationships/printerSettings" Target="../printerSettings/printerSettings238.bin"/><Relationship Id="rId9" Type="http://schemas.openxmlformats.org/officeDocument/2006/relationships/printerSettings" Target="../printerSettings/printerSettings243.bin"/><Relationship Id="rId14" Type="http://schemas.openxmlformats.org/officeDocument/2006/relationships/printerSettings" Target="../printerSettings/printerSettings248.bin"/><Relationship Id="rId22" Type="http://schemas.openxmlformats.org/officeDocument/2006/relationships/printerSettings" Target="../printerSettings/printerSettings256.bin"/><Relationship Id="rId27" Type="http://schemas.openxmlformats.org/officeDocument/2006/relationships/printerSettings" Target="../printerSettings/printerSettings261.bin"/><Relationship Id="rId30" Type="http://schemas.openxmlformats.org/officeDocument/2006/relationships/printerSettings" Target="../printerSettings/printerSettings264.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72.bin"/><Relationship Id="rId13" Type="http://schemas.openxmlformats.org/officeDocument/2006/relationships/printerSettings" Target="../printerSettings/printerSettings277.bin"/><Relationship Id="rId18" Type="http://schemas.openxmlformats.org/officeDocument/2006/relationships/printerSettings" Target="../printerSettings/printerSettings282.bin"/><Relationship Id="rId26" Type="http://schemas.openxmlformats.org/officeDocument/2006/relationships/printerSettings" Target="../printerSettings/printerSettings290.bin"/><Relationship Id="rId39" Type="http://schemas.openxmlformats.org/officeDocument/2006/relationships/printerSettings" Target="../printerSettings/printerSettings303.bin"/><Relationship Id="rId3" Type="http://schemas.openxmlformats.org/officeDocument/2006/relationships/printerSettings" Target="../printerSettings/printerSettings267.bin"/><Relationship Id="rId21" Type="http://schemas.openxmlformats.org/officeDocument/2006/relationships/printerSettings" Target="../printerSettings/printerSettings285.bin"/><Relationship Id="rId34" Type="http://schemas.openxmlformats.org/officeDocument/2006/relationships/printerSettings" Target="../printerSettings/printerSettings298.bin"/><Relationship Id="rId7" Type="http://schemas.openxmlformats.org/officeDocument/2006/relationships/printerSettings" Target="../printerSettings/printerSettings271.bin"/><Relationship Id="rId12" Type="http://schemas.openxmlformats.org/officeDocument/2006/relationships/printerSettings" Target="../printerSettings/printerSettings276.bin"/><Relationship Id="rId17" Type="http://schemas.openxmlformats.org/officeDocument/2006/relationships/printerSettings" Target="../printerSettings/printerSettings281.bin"/><Relationship Id="rId25" Type="http://schemas.openxmlformats.org/officeDocument/2006/relationships/printerSettings" Target="../printerSettings/printerSettings289.bin"/><Relationship Id="rId33" Type="http://schemas.openxmlformats.org/officeDocument/2006/relationships/printerSettings" Target="../printerSettings/printerSettings297.bin"/><Relationship Id="rId38" Type="http://schemas.openxmlformats.org/officeDocument/2006/relationships/printerSettings" Target="../printerSettings/printerSettings302.bin"/><Relationship Id="rId2" Type="http://schemas.openxmlformats.org/officeDocument/2006/relationships/printerSettings" Target="../printerSettings/printerSettings266.bin"/><Relationship Id="rId16" Type="http://schemas.openxmlformats.org/officeDocument/2006/relationships/printerSettings" Target="../printerSettings/printerSettings280.bin"/><Relationship Id="rId20" Type="http://schemas.openxmlformats.org/officeDocument/2006/relationships/printerSettings" Target="../printerSettings/printerSettings284.bin"/><Relationship Id="rId29" Type="http://schemas.openxmlformats.org/officeDocument/2006/relationships/printerSettings" Target="../printerSettings/printerSettings293.bin"/><Relationship Id="rId1" Type="http://schemas.openxmlformats.org/officeDocument/2006/relationships/printerSettings" Target="../printerSettings/printerSettings265.bin"/><Relationship Id="rId6" Type="http://schemas.openxmlformats.org/officeDocument/2006/relationships/printerSettings" Target="../printerSettings/printerSettings270.bin"/><Relationship Id="rId11" Type="http://schemas.openxmlformats.org/officeDocument/2006/relationships/printerSettings" Target="../printerSettings/printerSettings275.bin"/><Relationship Id="rId24" Type="http://schemas.openxmlformats.org/officeDocument/2006/relationships/printerSettings" Target="../printerSettings/printerSettings288.bin"/><Relationship Id="rId32" Type="http://schemas.openxmlformats.org/officeDocument/2006/relationships/printerSettings" Target="../printerSettings/printerSettings296.bin"/><Relationship Id="rId37" Type="http://schemas.openxmlformats.org/officeDocument/2006/relationships/printerSettings" Target="../printerSettings/printerSettings301.bin"/><Relationship Id="rId5" Type="http://schemas.openxmlformats.org/officeDocument/2006/relationships/printerSettings" Target="../printerSettings/printerSettings269.bin"/><Relationship Id="rId15" Type="http://schemas.openxmlformats.org/officeDocument/2006/relationships/printerSettings" Target="../printerSettings/printerSettings279.bin"/><Relationship Id="rId23" Type="http://schemas.openxmlformats.org/officeDocument/2006/relationships/printerSettings" Target="../printerSettings/printerSettings287.bin"/><Relationship Id="rId28" Type="http://schemas.openxmlformats.org/officeDocument/2006/relationships/printerSettings" Target="../printerSettings/printerSettings292.bin"/><Relationship Id="rId36" Type="http://schemas.openxmlformats.org/officeDocument/2006/relationships/printerSettings" Target="../printerSettings/printerSettings300.bin"/><Relationship Id="rId10" Type="http://schemas.openxmlformats.org/officeDocument/2006/relationships/printerSettings" Target="../printerSettings/printerSettings274.bin"/><Relationship Id="rId19" Type="http://schemas.openxmlformats.org/officeDocument/2006/relationships/printerSettings" Target="../printerSettings/printerSettings283.bin"/><Relationship Id="rId31" Type="http://schemas.openxmlformats.org/officeDocument/2006/relationships/printerSettings" Target="../printerSettings/printerSettings295.bin"/><Relationship Id="rId4" Type="http://schemas.openxmlformats.org/officeDocument/2006/relationships/printerSettings" Target="../printerSettings/printerSettings268.bin"/><Relationship Id="rId9" Type="http://schemas.openxmlformats.org/officeDocument/2006/relationships/printerSettings" Target="../printerSettings/printerSettings273.bin"/><Relationship Id="rId14" Type="http://schemas.openxmlformats.org/officeDocument/2006/relationships/printerSettings" Target="../printerSettings/printerSettings278.bin"/><Relationship Id="rId22" Type="http://schemas.openxmlformats.org/officeDocument/2006/relationships/printerSettings" Target="../printerSettings/printerSettings286.bin"/><Relationship Id="rId27" Type="http://schemas.openxmlformats.org/officeDocument/2006/relationships/printerSettings" Target="../printerSettings/printerSettings291.bin"/><Relationship Id="rId30" Type="http://schemas.openxmlformats.org/officeDocument/2006/relationships/printerSettings" Target="../printerSettings/printerSettings294.bin"/><Relationship Id="rId35" Type="http://schemas.openxmlformats.org/officeDocument/2006/relationships/printerSettings" Target="../printerSettings/printerSettings2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topLeftCell="A4" workbookViewId="0">
      <selection activeCell="B19" sqref="B19"/>
    </sheetView>
  </sheetViews>
  <sheetFormatPr defaultRowHeight="15" x14ac:dyDescent="0.25"/>
  <cols>
    <col min="1" max="1" width="3" bestFit="1" customWidth="1"/>
    <col min="2" max="2" width="127" bestFit="1" customWidth="1"/>
  </cols>
  <sheetData>
    <row r="1" spans="1:2" x14ac:dyDescent="0.25">
      <c r="A1">
        <v>1</v>
      </c>
      <c r="B1" s="372" t="s">
        <v>448</v>
      </c>
    </row>
    <row r="2" spans="1:2" x14ac:dyDescent="0.25">
      <c r="A2">
        <v>2</v>
      </c>
      <c r="B2" s="372" t="s">
        <v>449</v>
      </c>
    </row>
    <row r="3" spans="1:2" x14ac:dyDescent="0.25">
      <c r="A3">
        <v>3</v>
      </c>
      <c r="B3" s="372" t="s">
        <v>450</v>
      </c>
    </row>
    <row r="4" spans="1:2" x14ac:dyDescent="0.25">
      <c r="A4">
        <v>4</v>
      </c>
      <c r="B4" s="372" t="s">
        <v>451</v>
      </c>
    </row>
    <row r="5" spans="1:2" x14ac:dyDescent="0.25">
      <c r="A5">
        <v>5</v>
      </c>
      <c r="B5" s="372" t="s">
        <v>456</v>
      </c>
    </row>
    <row r="6" spans="1:2" x14ac:dyDescent="0.25">
      <c r="A6">
        <v>6</v>
      </c>
      <c r="B6" s="372" t="s">
        <v>457</v>
      </c>
    </row>
    <row r="7" spans="1:2" x14ac:dyDescent="0.25">
      <c r="A7">
        <v>7</v>
      </c>
      <c r="B7" s="372" t="s">
        <v>452</v>
      </c>
    </row>
    <row r="8" spans="1:2" x14ac:dyDescent="0.25">
      <c r="A8">
        <v>8</v>
      </c>
      <c r="B8" s="372" t="s">
        <v>458</v>
      </c>
    </row>
    <row r="9" spans="1:2" x14ac:dyDescent="0.25">
      <c r="A9">
        <v>9</v>
      </c>
      <c r="B9" s="372" t="s">
        <v>459</v>
      </c>
    </row>
    <row r="10" spans="1:2" x14ac:dyDescent="0.25">
      <c r="A10">
        <v>10</v>
      </c>
      <c r="B10" s="372" t="s">
        <v>460</v>
      </c>
    </row>
    <row r="11" spans="1:2" x14ac:dyDescent="0.25">
      <c r="A11">
        <v>11</v>
      </c>
      <c r="B11" s="372" t="s">
        <v>453</v>
      </c>
    </row>
    <row r="12" spans="1:2" x14ac:dyDescent="0.25">
      <c r="A12">
        <v>12</v>
      </c>
      <c r="B12" s="372" t="s">
        <v>454</v>
      </c>
    </row>
    <row r="13" spans="1:2" x14ac:dyDescent="0.25">
      <c r="A13">
        <v>13</v>
      </c>
      <c r="B13" s="372" t="s">
        <v>461</v>
      </c>
    </row>
    <row r="14" spans="1:2" x14ac:dyDescent="0.25">
      <c r="A14">
        <v>14</v>
      </c>
      <c r="B14" s="372" t="s">
        <v>455</v>
      </c>
    </row>
    <row r="15" spans="1:2" x14ac:dyDescent="0.25">
      <c r="A15">
        <v>15</v>
      </c>
      <c r="B15" s="372" t="s">
        <v>367</v>
      </c>
    </row>
    <row r="16" spans="1:2" x14ac:dyDescent="0.25">
      <c r="A16">
        <v>16</v>
      </c>
      <c r="B16" s="372" t="s">
        <v>445</v>
      </c>
    </row>
    <row r="17" spans="1:2" x14ac:dyDescent="0.25">
      <c r="A17">
        <v>17</v>
      </c>
      <c r="B17" s="372" t="s">
        <v>446</v>
      </c>
    </row>
    <row r="18" spans="1:2" x14ac:dyDescent="0.25">
      <c r="A18">
        <v>18</v>
      </c>
      <c r="B18" s="372" t="s">
        <v>462</v>
      </c>
    </row>
    <row r="19" spans="1:2" x14ac:dyDescent="0.25">
      <c r="A19">
        <v>19</v>
      </c>
      <c r="B19" s="372" t="s">
        <v>447</v>
      </c>
    </row>
    <row r="22" spans="1:2" x14ac:dyDescent="0.25">
      <c r="B22" s="403">
        <v>45323</v>
      </c>
    </row>
    <row r="23" spans="1:2" x14ac:dyDescent="0.25">
      <c r="B23" s="403">
        <v>45352</v>
      </c>
    </row>
    <row r="24" spans="1:2" x14ac:dyDescent="0.25">
      <c r="B24" s="403">
        <v>45383</v>
      </c>
    </row>
    <row r="25" spans="1:2" x14ac:dyDescent="0.25">
      <c r="B25" s="403">
        <v>45413</v>
      </c>
    </row>
    <row r="26" spans="1:2" x14ac:dyDescent="0.25">
      <c r="B26" s="403">
        <v>45444</v>
      </c>
    </row>
    <row r="27" spans="1:2" x14ac:dyDescent="0.25">
      <c r="B27" s="403">
        <v>45474</v>
      </c>
    </row>
    <row r="28" spans="1:2" x14ac:dyDescent="0.25">
      <c r="B28" s="403">
        <v>45505</v>
      </c>
    </row>
    <row r="29" spans="1:2" x14ac:dyDescent="0.25">
      <c r="B29" s="403">
        <v>45536</v>
      </c>
    </row>
    <row r="30" spans="1:2" x14ac:dyDescent="0.25">
      <c r="B30" s="403">
        <v>45566</v>
      </c>
    </row>
    <row r="31" spans="1:2" x14ac:dyDescent="0.25">
      <c r="B31" s="403">
        <v>45597</v>
      </c>
    </row>
    <row r="32" spans="1:2" x14ac:dyDescent="0.25">
      <c r="B32" s="403">
        <v>45627</v>
      </c>
    </row>
    <row r="33" spans="2:2" x14ac:dyDescent="0.25">
      <c r="B33" s="403">
        <v>45658</v>
      </c>
    </row>
  </sheetData>
  <sheetProtection algorithmName="SHA-512" hashValue="72KGnMxgxAGuW8gL73M5Qld+X49ngb58bq08HtdAzjYM9UKo2kfUKaJRjznpc4A6TomquQMCqmeRLThvTbDR+Q==" saltValue="jcldxTp0BTw5pgIwNjjmWA==" spinCount="100000" sheet="1" objects="1" scenarios="1"/>
  <customSheetViews>
    <customSheetView guid="{7C130984-112A-4861-AA43-E2940708E3DC}" state="hidden" topLeftCell="A4">
      <selection activeCell="B19" sqref="B19"/>
      <pageMargins left="0.7" right="0.7" top="0.75" bottom="0.75" header="0.3" footer="0.3"/>
    </customSheetView>
    <customSheetView guid="{533DC55B-6AD4-4674-9488-685EF2039F3E}" topLeftCell="A4">
      <selection activeCell="B19" sqref="B19"/>
      <pageMargins left="0.7" right="0.7" top="0.75" bottom="0.75" header="0.3" footer="0.3"/>
    </customSheetView>
    <customSheetView guid="{09C3E205-981E-4A4E-BE89-8B7044192060}">
      <pageMargins left="0.7" right="0.7" top="0.75" bottom="0.75" header="0.3" footer="0.3"/>
    </customSheetView>
    <customSheetView guid="{B1BF08D1-D416-4B47-ADD0-4F59132DC9E8}" topLeftCell="A4">
      <selection activeCell="B19" sqref="B19"/>
      <pageMargins left="0.7" right="0.7" top="0.75" bottom="0.75" header="0.3" footer="0.3"/>
    </customSheetView>
    <customSheetView guid="{4F41B9CC-959D-442C-80B0-1F0DB2C76D27}" topLeftCell="A4">
      <selection activeCell="B19" sqref="B19"/>
      <pageMargins left="0.7" right="0.7" top="0.75" bottom="0.75" header="0.3" footer="0.3"/>
    </customSheetView>
    <customSheetView guid="{84867370-1F3E-4368-AF79-FBCE46FFFE92}" topLeftCell="A4">
      <selection activeCell="B19" sqref="B19"/>
      <pageMargins left="0.7" right="0.7" top="0.75" bottom="0.75" header="0.3" footer="0.3"/>
    </customSheetView>
    <customSheetView guid="{E508E171-4ED9-4B07-84DF-DA28C60E1969}" topLeftCell="A4">
      <selection activeCell="B19" sqref="B19"/>
      <pageMargins left="0.7" right="0.7" top="0.75" bottom="0.75" header="0.3" footer="0.3"/>
    </customSheetView>
    <customSheetView guid="{602C8EDB-B9EF-4C85-B0D5-0558C3A0ABAB}" topLeftCell="A4">
      <selection activeCell="B19" sqref="B19"/>
      <pageMargins left="0.7" right="0.7" top="0.75" bottom="0.75" header="0.3" footer="0.3"/>
    </customSheetView>
    <customSheetView guid="{84B3377A-1CDD-4881-99FA-112F8B470D6F}">
      <selection activeCell="B13" sqref="B13"/>
      <pageMargins left="0.7" right="0.7" top="0.75" bottom="0.75" header="0.3" footer="0.3"/>
    </customSheetView>
    <customSheetView guid="{87218168-6C8E-4D5B-A5E5-DCCC26803AA3}" topLeftCell="A4">
      <selection activeCell="B19" sqref="B19"/>
      <pageMargins left="0.7" right="0.7" top="0.75" bottom="0.75" header="0.3" footer="0.3"/>
    </customSheetView>
    <customSheetView guid="{6A602CB8-B24C-4ED4-B378-B27354BE0A1A}" topLeftCell="A4">
      <selection activeCell="B19" sqref="B19"/>
      <pageMargins left="0.7" right="0.7" top="0.75" bottom="0.75" header="0.3" footer="0.3"/>
    </customSheetView>
    <customSheetView guid="{D01FA037-9AEC-4167-ADB8-2F327C01ECE6}">
      <selection activeCell="F20" sqref="F20"/>
      <pageMargins left="0.7" right="0.7" top="0.75" bottom="0.75" header="0.3" footer="0.3"/>
    </customSheetView>
    <customSheetView guid="{74870EE6-26B9-40F7-9DC9-260EF16D8959}">
      <selection activeCell="F20" sqref="F20"/>
      <pageMargins left="0.7" right="0.7" top="0.75" bottom="0.75" header="0.3" footer="0.3"/>
    </customSheetView>
    <customSheetView guid="{7226EA2B-7866-416F-9240-410CC1BF0336}" topLeftCell="A4">
      <selection activeCell="B19" sqref="B19"/>
      <pageMargins left="0.7" right="0.7" top="0.75" bottom="0.75" header="0.3" footer="0.3"/>
    </customSheetView>
    <customSheetView guid="{F8CAB90F-9980-4EC7-B30B-1637EB515304}">
      <selection activeCell="F20" sqref="F20"/>
      <pageMargins left="0.7" right="0.7" top="0.75" bottom="0.75" header="0.3" footer="0.3"/>
    </customSheetView>
    <customSheetView guid="{415078CD-EB99-432D-90BA-2F3D5A746E20}">
      <selection activeCell="F20" sqref="F20"/>
      <pageMargins left="0.7" right="0.7" top="0.75" bottom="0.75" header="0.3" footer="0.3"/>
    </customSheetView>
    <customSheetView guid="{CB4792DB-A624-4844-AEB6-A6ADA80946BB}" topLeftCell="A4">
      <selection activeCell="B19" sqref="B19"/>
      <pageMargins left="0.7" right="0.7" top="0.75" bottom="0.75" header="0.3" footer="0.3"/>
    </customSheetView>
    <customSheetView guid="{0C2B9C2A-7B94-41EF-A2E6-F8AC9A67DE25}" topLeftCell="A4">
      <selection activeCell="B19" sqref="B19"/>
      <pageMargins left="0.7" right="0.7" top="0.75" bottom="0.75" header="0.3" footer="0.3"/>
    </customSheetView>
    <customSheetView guid="{391AB76E-B386-49C1-800F-016A48AA1A46}">
      <selection activeCell="F20" sqref="F20"/>
      <pageMargins left="0.7" right="0.7" top="0.75" bottom="0.75" header="0.3" footer="0.3"/>
    </customSheetView>
    <customSheetView guid="{959E901C-5DDE-42EE-AE94-AB8976B5E00B}" topLeftCell="A4">
      <selection activeCell="B19" sqref="B19"/>
      <pageMargins left="0.7" right="0.7" top="0.75" bottom="0.75" header="0.3" footer="0.3"/>
    </customSheetView>
    <customSheetView guid="{F679EF4A-C5FD-4B86-B87B-D85968E0F2CA}" topLeftCell="A4">
      <selection activeCell="B19" sqref="B19"/>
      <pageMargins left="0.7" right="0.7" top="0.75" bottom="0.75" header="0.3" footer="0.3"/>
    </customSheetView>
    <customSheetView guid="{009B3074-D8EC-4952-BF50-43CD64449612}" topLeftCell="A4">
      <selection activeCell="B19" sqref="B19"/>
      <pageMargins left="0.7" right="0.7" top="0.75" bottom="0.75" header="0.3" footer="0.3"/>
    </customSheetView>
    <customSheetView guid="{770624BF-07F3-44B6-94C3-4CC447CDD45C}" topLeftCell="A4">
      <selection activeCell="B19" sqref="B19"/>
      <pageMargins left="0.7" right="0.7" top="0.75" bottom="0.75" header="0.3" footer="0.3"/>
    </customSheetView>
    <customSheetView guid="{B82BA08A-1A30-4F4D-A478-74A6BD09EA97}" topLeftCell="A4">
      <selection activeCell="B19" sqref="B19"/>
      <pageMargins left="0.7" right="0.7" top="0.75" bottom="0.75" header="0.3" footer="0.3"/>
    </customSheetView>
    <customSheetView guid="{874882D1-E741-4CCA-BF0D-E72FA60B771D}" topLeftCell="A4">
      <selection activeCell="B19" sqref="B19"/>
      <pageMargins left="0.7" right="0.7" top="0.75" bottom="0.75" header="0.3" footer="0.3"/>
    </customSheetView>
    <customSheetView guid="{C236B307-BD63-48C4-A75F-B3F3717BF55C}" topLeftCell="A4">
      <selection activeCell="B19" sqref="B19"/>
      <pageMargins left="0.7" right="0.7" top="0.75" bottom="0.75" header="0.3" footer="0.3"/>
    </customSheetView>
    <customSheetView guid="{BCD82A82-B724-4763-8580-D765356E09BA}">
      <selection activeCell="G15" sqref="G15"/>
      <pageMargins left="0.7" right="0.7" top="0.75" bottom="0.75" header="0.3" footer="0.3"/>
    </customSheetView>
    <customSheetView guid="{85F4575B-DBC5-482A-9916-255D8F0BC94E}" topLeftCell="A4">
      <selection activeCell="B19" sqref="B19"/>
      <pageMargins left="0.7" right="0.7" top="0.75" bottom="0.75" header="0.3" footer="0.3"/>
    </customSheetView>
    <customSheetView guid="{4D0DFB57-2CBA-42F2-9A97-C453A6851FBA}" topLeftCell="A4">
      <selection activeCell="B19" sqref="B19"/>
      <pageMargins left="0.7" right="0.7" top="0.75" bottom="0.75" header="0.3" footer="0.3"/>
    </customSheetView>
    <customSheetView guid="{CE1CCA00-200D-4EAA-9FBE-F8EE7C5F82FE}" topLeftCell="A4">
      <selection activeCell="B19" sqref="B19"/>
      <pageMargins left="0.7" right="0.7" top="0.75" bottom="0.75" header="0.3" footer="0.3"/>
    </customSheetView>
    <customSheetView guid="{AC2D5927-4079-4C74-AF69-1BFAC505648F}">
      <selection activeCell="F20" sqref="F20"/>
      <pageMargins left="0.7" right="0.7" top="0.75" bottom="0.75" header="0.3" footer="0.3"/>
    </customSheetView>
    <customSheetView guid="{3C3F523F-5F34-4CF7-831E-F1ABC4278CEB}" topLeftCell="A4">
      <selection activeCell="B19" sqref="B19"/>
      <pageMargins left="0.7" right="0.7" top="0.75" bottom="0.75" header="0.3" footer="0.3"/>
    </customSheetView>
    <customSheetView guid="{69DABE6F-6182-4403-A4A2-969F10F1C13A}" topLeftCell="A4">
      <selection activeCell="B19" sqref="B19"/>
      <pageMargins left="0.7" right="0.7" top="0.75" bottom="0.75" header="0.3" footer="0.3"/>
    </customSheetView>
    <customSheetView guid="{DAA8A688-7558-4B5B-8DBD-E2629BD9E9A8}" topLeftCell="A4">
      <selection activeCell="B19" sqref="B19"/>
      <pageMargins left="0.7" right="0.7" top="0.75" bottom="0.75" header="0.3" footer="0.3"/>
    </customSheetView>
    <customSheetView guid="{47B983AB-FE5F-4725-860C-A2F29420596D}" topLeftCell="A4">
      <selection activeCell="B19" sqref="B19"/>
      <pageMargins left="0.7" right="0.7" top="0.75" bottom="0.75" header="0.3" footer="0.3"/>
    </customSheetView>
    <customSheetView guid="{442F2C94-DD1B-4A01-8694-513D4D6F3BD9}" topLeftCell="A4">
      <selection activeCell="B19" sqref="B19"/>
      <pageMargins left="0.7" right="0.7" top="0.75" bottom="0.75" header="0.3" footer="0.3"/>
    </customSheetView>
    <customSheetView guid="{472DFAFE-DC7C-463D-92A0-F6A14555FDD6}">
      <selection activeCell="F20" sqref="F20"/>
      <pageMargins left="0.7" right="0.7" top="0.75" bottom="0.75" header="0.3" footer="0.3"/>
    </customSheetView>
    <customSheetView guid="{B43381A8-767B-4F49-BD2E-0056691293F3}" topLeftCell="A4">
      <selection activeCell="B19" sqref="B19"/>
      <pageMargins left="0.7" right="0.7" top="0.75" bottom="0.75" header="0.3" footer="0.3"/>
    </customSheetView>
  </customSheetViews>
  <hyperlinks>
    <hyperlink ref="B1" location="'1.СЗН'!A1" display=" &quot;Содействие занятости населения города Когалыма&quot;"/>
    <hyperlink ref="B2" location="'2.АПК'!A1" display=" &quot;Развитие агропромышленного комплекса в городе Когалыме&quot;"/>
    <hyperlink ref="B3" location="'3.БЖД'!A1" display=" &quot;Безопасность жизнедеятельности населения города Когалыма&quot;"/>
    <hyperlink ref="B4" location="'4.УМИ'!A1" display=" &quot;Управление муниципальным имуществом города Когалыма&quot;"/>
    <hyperlink ref="B5" location="'5.Проф. прав.'!A1" display="Профилактика правонарушений и обеспечение отдельных прав граждан в городе Когалыме"/>
    <hyperlink ref="B6" location="'6.Экстримизм'!A1" display="Укрепление межнационального и межконфессионального согласия, профилактика экстремизма и терроризма в городе Когалыме"/>
    <hyperlink ref="B7" location="'7.МП КП'!A1" display=" &quot;Культурное пространство города Когалыма&quot;"/>
    <hyperlink ref="B8" location="'8.МП РМС'!A1" display="Развитие муниципальной службы  в городе Когалыме"/>
    <hyperlink ref="B9" location="'9.МП РИГО'!A1" display="Развитие институтов гражданского общества города Когалыма"/>
    <hyperlink ref="B10" location="'10.МП РФКиС'!A1" display="Развитие физической культуры и спорта в городе Когалыме"/>
    <hyperlink ref="B11" location="'11.МП РО'!A1" display=" &quot;Развитие образования в городе Когалыме&quot;"/>
    <hyperlink ref="B12" location="'12.МП УМФ'!A1" display=" &quot;Управление муниципальными финансами в городе Когалыме&quot;"/>
    <hyperlink ref="B13" location="'13.МП РЖС'!A1" display="Развитие жилищной сферы в городе Когалыме"/>
    <hyperlink ref="B14" location="'14.МП СЭР'!A1" display=" &quot;Социально - экономическое развитие и инвестиции муниципального образования город Когалым&quot; "/>
    <hyperlink ref="B15" location="'15.МП ЭБ'!A1" display="«Экологическая безопасность города Когалыма» "/>
    <hyperlink ref="B16" location="'16.МП РЖКК'!A1" display="«Развитие жилищно-коммунального комплекса в городе Когалыме» "/>
    <hyperlink ref="B17" location="'17.МП РТС'!A1" display="«Развитие транспортной системы города Когалыма» "/>
    <hyperlink ref="B18" location="'18.МП ФКГС'!A1" display="Формирование комфортной городской среды в городе Когалыме "/>
    <hyperlink ref="B19" location="'19.МП СОГХ'!A1" display="«Содержание объектов городского хозяйства и инженерной инфраструктуры в городе Когалыме» "/>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7C130984-112A-4861-AA43-E2940708E3DC}" state="hidden">
      <pageMargins left="0.7" right="0.7" top="0.75" bottom="0.75" header="0.3" footer="0.3"/>
    </customSheetView>
    <customSheetView guid="{533DC55B-6AD4-4674-9488-685EF2039F3E}" state="hidden">
      <pageMargins left="0.7" right="0.7" top="0.75" bottom="0.75" header="0.3" footer="0.3"/>
    </customSheetView>
    <customSheetView guid="{09C3E205-981E-4A4E-BE89-8B7044192060}" state="hidden">
      <pageMargins left="0.7" right="0.7" top="0.75" bottom="0.75" header="0.3" footer="0.3"/>
    </customSheetView>
    <customSheetView guid="{B1BF08D1-D416-4B47-ADD0-4F59132DC9E8}" state="hidden">
      <pageMargins left="0.7" right="0.7" top="0.75" bottom="0.75" header="0.3" footer="0.3"/>
    </customSheetView>
    <customSheetView guid="{4F41B9CC-959D-442C-80B0-1F0DB2C76D27}" state="hidden">
      <pageMargins left="0.7" right="0.7" top="0.75" bottom="0.75" header="0.3" footer="0.3"/>
    </customSheetView>
    <customSheetView guid="{84867370-1F3E-4368-AF79-FBCE46FFFE92}" state="hidden">
      <pageMargins left="0.7" right="0.7" top="0.75" bottom="0.75" header="0.3" footer="0.3"/>
    </customSheetView>
    <customSheetView guid="{E508E171-4ED9-4B07-84DF-DA28C60E1969}" state="hidden">
      <pageMargins left="0.7" right="0.7" top="0.75" bottom="0.75" header="0.3" footer="0.3"/>
    </customSheetView>
    <customSheetView guid="{602C8EDB-B9EF-4C85-B0D5-0558C3A0ABAB}" state="hidden">
      <pageMargins left="0.7" right="0.7" top="0.75" bottom="0.75" header="0.3" footer="0.3"/>
    </customSheetView>
    <customSheetView guid="{84B3377A-1CDD-4881-99FA-112F8B470D6F}" state="hidden">
      <pageMargins left="0.7" right="0.7" top="0.75" bottom="0.75" header="0.3" footer="0.3"/>
    </customSheetView>
    <customSheetView guid="{87218168-6C8E-4D5B-A5E5-DCCC26803AA3}" state="hidden">
      <pageMargins left="0.7" right="0.7" top="0.75" bottom="0.75" header="0.3" footer="0.3"/>
    </customSheetView>
    <customSheetView guid="{6A602CB8-B24C-4ED4-B378-B27354BE0A1A}" state="hidden">
      <pageMargins left="0.7" right="0.7" top="0.75" bottom="0.75" header="0.3" footer="0.3"/>
    </customSheetView>
    <customSheetView guid="{D01FA037-9AEC-4167-ADB8-2F327C01ECE6}" state="hidden">
      <pageMargins left="0.7" right="0.7" top="0.75" bottom="0.75" header="0.3" footer="0.3"/>
    </customSheetView>
    <customSheetView guid="{74870EE6-26B9-40F7-9DC9-260EF16D8959}" state="hidden">
      <pageMargins left="0.7" right="0.7" top="0.75" bottom="0.75" header="0.3" footer="0.3"/>
    </customSheetView>
    <customSheetView guid="{7226EA2B-7866-416F-9240-410CC1BF0336}" state="hidden">
      <pageMargins left="0.7" right="0.7" top="0.75" bottom="0.75" header="0.3" footer="0.3"/>
    </customSheetView>
    <customSheetView guid="{F8CAB90F-9980-4EC7-B30B-1637EB515304}" state="hidden">
      <pageMargins left="0.7" right="0.7" top="0.75" bottom="0.75" header="0.3" footer="0.3"/>
    </customSheetView>
    <customSheetView guid="{415078CD-EB99-432D-90BA-2F3D5A746E20}" state="hidden">
      <pageMargins left="0.7" right="0.7" top="0.75" bottom="0.75" header="0.3" footer="0.3"/>
    </customSheetView>
    <customSheetView guid="{CB4792DB-A624-4844-AEB6-A6ADA80946BB}" state="hidden">
      <pageMargins left="0.7" right="0.7" top="0.75" bottom="0.75" header="0.3" footer="0.3"/>
    </customSheetView>
    <customSheetView guid="{0C2B9C2A-7B94-41EF-A2E6-F8AC9A67DE25}" state="hidden">
      <pageMargins left="0.7" right="0.7" top="0.75" bottom="0.75" header="0.3" footer="0.3"/>
    </customSheetView>
    <customSheetView guid="{391AB76E-B386-49C1-800F-016A48AA1A46}" state="hidden">
      <pageMargins left="0.7" right="0.7" top="0.75" bottom="0.75" header="0.3" footer="0.3"/>
    </customSheetView>
    <customSheetView guid="{85F4575B-DBC5-482A-9916-255D8F0BC94E}">
      <pageMargins left="0.7" right="0.7" top="0.75" bottom="0.75" header="0.3" footer="0.3"/>
    </customSheetView>
    <customSheetView guid="{4D0DFB57-2CBA-42F2-9A97-C453A6851FBA}" state="hidden">
      <pageMargins left="0.7" right="0.7" top="0.75" bottom="0.75" header="0.3" footer="0.3"/>
    </customSheetView>
    <customSheetView guid="{CE1CCA00-200D-4EAA-9FBE-F8EE7C5F82FE}" state="hidden">
      <pageMargins left="0.7" right="0.7" top="0.75" bottom="0.75" header="0.3" footer="0.3"/>
    </customSheetView>
    <customSheetView guid="{AC2D5927-4079-4C74-AF69-1BFAC505648F}" state="hidden">
      <pageMargins left="0.7" right="0.7" top="0.75" bottom="0.75" header="0.3" footer="0.3"/>
    </customSheetView>
    <customSheetView guid="{3C3F523F-5F34-4CF7-831E-F1ABC4278CEB}" state="hidden">
      <pageMargins left="0.7" right="0.7" top="0.75" bottom="0.75" header="0.3" footer="0.3"/>
    </customSheetView>
    <customSheetView guid="{69DABE6F-6182-4403-A4A2-969F10F1C13A}" state="hidden">
      <pageMargins left="0.7" right="0.7" top="0.75" bottom="0.75" header="0.3" footer="0.3"/>
    </customSheetView>
    <customSheetView guid="{DAA8A688-7558-4B5B-8DBD-E2629BD9E9A8}" state="hidden">
      <pageMargins left="0.7" right="0.7" top="0.75" bottom="0.75" header="0.3" footer="0.3"/>
    </customSheetView>
    <customSheetView guid="{47B983AB-FE5F-4725-860C-A2F29420596D}" state="hidden">
      <pageMargins left="0.7" right="0.7" top="0.75" bottom="0.75" header="0.3" footer="0.3"/>
    </customSheetView>
    <customSheetView guid="{442F2C94-DD1B-4A01-8694-513D4D6F3BD9}" state="hidden">
      <pageMargins left="0.7" right="0.7" top="0.75" bottom="0.75" header="0.3" footer="0.3"/>
    </customSheetView>
    <customSheetView guid="{472DFAFE-DC7C-463D-92A0-F6A14555FDD6}" state="hidden">
      <pageMargins left="0.7" right="0.7" top="0.75" bottom="0.75" header="0.3" footer="0.3"/>
    </customSheetView>
    <customSheetView guid="{B43381A8-767B-4F49-BD2E-0056691293F3}" state="hidden">
      <pageMargins left="0.7" right="0.7" top="0.75" bottom="0.75" header="0.3" footer="0.3"/>
    </customSheetView>
  </customSheetView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68"/>
  <sheetViews>
    <sheetView zoomScale="75" zoomScaleNormal="75" zoomScaleSheetLayoutView="70" workbookViewId="0">
      <pane xSplit="2" ySplit="10" topLeftCell="C11" activePane="bottomRight" state="frozen"/>
      <selection activeCell="F284" sqref="F284:G284"/>
      <selection pane="topRight" activeCell="F284" sqref="F284:G284"/>
      <selection pane="bottomLeft" activeCell="F284" sqref="F284:G284"/>
      <selection pane="bottomRight" activeCell="AF23" sqref="AF23"/>
    </sheetView>
  </sheetViews>
  <sheetFormatPr defaultColWidth="9.140625" defaultRowHeight="18.75" x14ac:dyDescent="0.3"/>
  <cols>
    <col min="1" max="1" width="57.7109375" style="10" customWidth="1"/>
    <col min="2" max="5" width="15.140625" style="10" customWidth="1"/>
    <col min="6" max="6" width="16.140625" style="10" customWidth="1"/>
    <col min="7" max="7" width="15" style="10" customWidth="1"/>
    <col min="8" max="10" width="13.85546875" style="10" customWidth="1"/>
    <col min="11" max="11" width="14.7109375" style="10" customWidth="1"/>
    <col min="12" max="12" width="13.85546875" style="10" customWidth="1"/>
    <col min="13" max="13" width="13.28515625" style="10" customWidth="1"/>
    <col min="14" max="14" width="13.85546875" style="10" customWidth="1"/>
    <col min="15" max="15" width="15.28515625" style="10" customWidth="1"/>
    <col min="16" max="16" width="13.85546875" style="10" customWidth="1"/>
    <col min="17" max="17" width="18.7109375" style="10" customWidth="1"/>
    <col min="18" max="18" width="13.85546875" style="10" customWidth="1"/>
    <col min="19" max="19" width="12.140625" style="10" customWidth="1"/>
    <col min="20" max="20" width="13.85546875" style="10" customWidth="1"/>
    <col min="21" max="21" width="14.85546875" style="10" customWidth="1"/>
    <col min="22" max="22" width="14.5703125" style="10" customWidth="1"/>
    <col min="23" max="23" width="11.5703125" style="10" customWidth="1"/>
    <col min="24" max="24" width="11.28515625" style="10" customWidth="1"/>
    <col min="25" max="25" width="10.5703125" style="10" customWidth="1"/>
    <col min="26" max="26" width="11" style="10" customWidth="1"/>
    <col min="27" max="27" width="11.28515625" style="10" customWidth="1"/>
    <col min="28" max="28" width="10.7109375" style="10" customWidth="1"/>
    <col min="29" max="29" width="10.42578125" style="10" customWidth="1"/>
    <col min="30" max="30" width="13.5703125" style="10" customWidth="1"/>
    <col min="31" max="31" width="10.5703125" style="10" customWidth="1"/>
    <col min="32" max="32" width="198.5703125" style="10" customWidth="1"/>
    <col min="33" max="33" width="15.28515625" style="155" customWidth="1"/>
    <col min="34" max="34" width="9.140625" style="10"/>
    <col min="35" max="35" width="16.28515625" style="10" customWidth="1"/>
    <col min="36" max="16384" width="9.140625" style="10"/>
  </cols>
  <sheetData>
    <row r="1" spans="1:34" ht="18.75" customHeight="1" x14ac:dyDescent="0.3">
      <c r="A1" s="1166"/>
      <c r="B1" s="1166"/>
      <c r="C1" s="1166"/>
      <c r="D1" s="1166"/>
      <c r="E1" s="1166"/>
      <c r="F1" s="1166"/>
      <c r="G1" s="1166"/>
      <c r="H1" s="1166"/>
      <c r="I1" s="1166"/>
      <c r="J1" s="1166"/>
      <c r="K1" s="1166"/>
      <c r="L1" s="1166"/>
      <c r="M1" s="1166"/>
      <c r="N1" s="1166"/>
      <c r="O1" s="1166"/>
      <c r="P1" s="1166"/>
      <c r="Q1" s="1166"/>
      <c r="R1" s="1166"/>
      <c r="S1" s="1166"/>
      <c r="T1" s="1166"/>
      <c r="U1" s="1166"/>
      <c r="V1" s="1166"/>
      <c r="W1" s="1166"/>
      <c r="X1" s="1166"/>
      <c r="Y1" s="1166"/>
      <c r="Z1" s="1166"/>
      <c r="AA1" s="1166"/>
      <c r="AB1" s="1166"/>
      <c r="AC1" s="1166"/>
      <c r="AD1" s="1166"/>
      <c r="AE1" s="153"/>
      <c r="AF1" s="154"/>
    </row>
    <row r="2" spans="1:34" ht="18.75" customHeight="1" x14ac:dyDescent="0.3">
      <c r="A2" s="1166"/>
      <c r="B2" s="1166"/>
      <c r="C2" s="1166"/>
      <c r="D2" s="1166"/>
      <c r="E2" s="1166"/>
      <c r="F2" s="1166"/>
      <c r="G2" s="1166"/>
      <c r="H2" s="1166"/>
      <c r="I2" s="1166"/>
      <c r="J2" s="1166"/>
      <c r="K2" s="1166"/>
      <c r="L2" s="1166"/>
      <c r="M2" s="1166"/>
      <c r="N2" s="1166"/>
      <c r="O2" s="1166"/>
      <c r="P2" s="1166"/>
      <c r="Q2" s="1166"/>
      <c r="R2" s="1166"/>
      <c r="S2" s="1166"/>
      <c r="T2" s="1166"/>
      <c r="U2" s="1166"/>
      <c r="V2" s="1166"/>
      <c r="W2" s="1166"/>
      <c r="X2" s="1166"/>
      <c r="Y2" s="1166"/>
      <c r="Z2" s="1166"/>
      <c r="AA2" s="1166"/>
      <c r="AB2" s="1166"/>
      <c r="AC2" s="1166"/>
      <c r="AD2" s="1166"/>
      <c r="AE2" s="153"/>
      <c r="AF2" s="154"/>
    </row>
    <row r="3" spans="1:34" ht="18.75" customHeight="1" x14ac:dyDescent="0.3">
      <c r="A3" s="1166"/>
      <c r="B3" s="1166"/>
      <c r="C3" s="1166"/>
      <c r="D3" s="1166"/>
      <c r="E3" s="1166"/>
      <c r="F3" s="1166"/>
      <c r="G3" s="1166"/>
      <c r="H3" s="1166"/>
      <c r="I3" s="1166"/>
      <c r="J3" s="1166"/>
      <c r="K3" s="1166"/>
      <c r="L3" s="1166"/>
      <c r="M3" s="1166"/>
      <c r="N3" s="1166"/>
      <c r="O3" s="1166"/>
      <c r="P3" s="1166"/>
      <c r="Q3" s="1166"/>
      <c r="R3" s="1166"/>
      <c r="S3" s="1166"/>
      <c r="T3" s="1166"/>
      <c r="U3" s="1166"/>
      <c r="V3" s="1166"/>
      <c r="W3" s="1166"/>
      <c r="X3" s="1166"/>
      <c r="Y3" s="1166"/>
      <c r="Z3" s="1166"/>
      <c r="AA3" s="1166"/>
      <c r="AB3" s="1166"/>
      <c r="AC3" s="1166"/>
      <c r="AD3" s="1166"/>
      <c r="AE3" s="153"/>
      <c r="AF3" s="154"/>
    </row>
    <row r="4" spans="1:34" s="159" customFormat="1" ht="18.75" customHeight="1" x14ac:dyDescent="0.25">
      <c r="A4" s="1167" t="s">
        <v>234</v>
      </c>
      <c r="B4" s="1167"/>
      <c r="C4" s="1167"/>
      <c r="D4" s="1167"/>
      <c r="E4" s="1167"/>
      <c r="F4" s="1167"/>
      <c r="G4" s="1167"/>
      <c r="H4" s="1167"/>
      <c r="I4" s="1167"/>
      <c r="J4" s="1167"/>
      <c r="K4" s="1167"/>
      <c r="L4" s="1167"/>
      <c r="M4" s="1167"/>
      <c r="N4" s="1167"/>
      <c r="O4" s="1167"/>
      <c r="P4" s="1167"/>
      <c r="Q4" s="1167"/>
      <c r="R4" s="1167"/>
      <c r="S4" s="1167"/>
      <c r="T4" s="1167"/>
      <c r="U4" s="1167"/>
      <c r="V4" s="1167"/>
      <c r="W4" s="1167"/>
      <c r="X4" s="1167"/>
      <c r="Y4" s="1167"/>
      <c r="Z4" s="1167"/>
      <c r="AA4" s="1167"/>
      <c r="AB4" s="1167"/>
      <c r="AC4" s="1167"/>
      <c r="AD4" s="1167"/>
      <c r="AE4" s="156"/>
      <c r="AF4" s="157"/>
      <c r="AG4" s="158"/>
    </row>
    <row r="5" spans="1:34" ht="18.75" customHeight="1" x14ac:dyDescent="0.3">
      <c r="A5" s="160"/>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168"/>
      <c r="AC5" s="1168"/>
      <c r="AD5" s="1168"/>
      <c r="AE5" s="161"/>
      <c r="AF5" s="162"/>
    </row>
    <row r="6" spans="1:34" ht="37.5" customHeight="1" x14ac:dyDescent="0.3">
      <c r="A6" s="1158" t="s">
        <v>163</v>
      </c>
      <c r="B6" s="92" t="s">
        <v>3</v>
      </c>
      <c r="C6" s="92" t="s">
        <v>3</v>
      </c>
      <c r="D6" s="92" t="s">
        <v>4</v>
      </c>
      <c r="E6" s="92" t="s">
        <v>5</v>
      </c>
      <c r="F6" s="1159" t="s">
        <v>6</v>
      </c>
      <c r="G6" s="1160"/>
      <c r="H6" s="1159" t="s">
        <v>7</v>
      </c>
      <c r="I6" s="1161"/>
      <c r="J6" s="1159" t="s">
        <v>8</v>
      </c>
      <c r="K6" s="1161"/>
      <c r="L6" s="1159" t="s">
        <v>9</v>
      </c>
      <c r="M6" s="1161"/>
      <c r="N6" s="1159" t="s">
        <v>10</v>
      </c>
      <c r="O6" s="1161"/>
      <c r="P6" s="1159" t="s">
        <v>11</v>
      </c>
      <c r="Q6" s="1161"/>
      <c r="R6" s="1159" t="s">
        <v>12</v>
      </c>
      <c r="S6" s="1161"/>
      <c r="T6" s="1159" t="s">
        <v>13</v>
      </c>
      <c r="U6" s="1161"/>
      <c r="V6" s="1159" t="s">
        <v>14</v>
      </c>
      <c r="W6" s="1161"/>
      <c r="X6" s="1159" t="s">
        <v>15</v>
      </c>
      <c r="Y6" s="1161"/>
      <c r="Z6" s="1159" t="s">
        <v>16</v>
      </c>
      <c r="AA6" s="1161"/>
      <c r="AB6" s="1159" t="s">
        <v>17</v>
      </c>
      <c r="AC6" s="1161"/>
      <c r="AD6" s="1162" t="s">
        <v>18</v>
      </c>
      <c r="AE6" s="1162"/>
      <c r="AF6" s="1141" t="s">
        <v>19</v>
      </c>
    </row>
    <row r="7" spans="1:34" ht="56.25" x14ac:dyDescent="0.3">
      <c r="A7" s="1158"/>
      <c r="B7" s="3">
        <v>2024</v>
      </c>
      <c r="C7" s="4">
        <v>45657</v>
      </c>
      <c r="D7" s="4">
        <v>45657</v>
      </c>
      <c r="E7" s="4">
        <v>45657</v>
      </c>
      <c r="F7" s="5" t="s">
        <v>20</v>
      </c>
      <c r="G7" s="5" t="s">
        <v>21</v>
      </c>
      <c r="H7" s="5" t="s">
        <v>22</v>
      </c>
      <c r="I7" s="93" t="s">
        <v>164</v>
      </c>
      <c r="J7" s="5" t="s">
        <v>22</v>
      </c>
      <c r="K7" s="93" t="s">
        <v>164</v>
      </c>
      <c r="L7" s="5" t="s">
        <v>22</v>
      </c>
      <c r="M7" s="93" t="s">
        <v>164</v>
      </c>
      <c r="N7" s="5" t="s">
        <v>22</v>
      </c>
      <c r="O7" s="93" t="s">
        <v>164</v>
      </c>
      <c r="P7" s="5" t="s">
        <v>22</v>
      </c>
      <c r="Q7" s="93" t="s">
        <v>164</v>
      </c>
      <c r="R7" s="5" t="s">
        <v>22</v>
      </c>
      <c r="S7" s="93" t="s">
        <v>164</v>
      </c>
      <c r="T7" s="5" t="s">
        <v>22</v>
      </c>
      <c r="U7" s="93" t="s">
        <v>164</v>
      </c>
      <c r="V7" s="5" t="s">
        <v>22</v>
      </c>
      <c r="W7" s="93" t="s">
        <v>164</v>
      </c>
      <c r="X7" s="5" t="s">
        <v>22</v>
      </c>
      <c r="Y7" s="93" t="s">
        <v>164</v>
      </c>
      <c r="Z7" s="5" t="s">
        <v>22</v>
      </c>
      <c r="AA7" s="93" t="s">
        <v>164</v>
      </c>
      <c r="AB7" s="5" t="s">
        <v>22</v>
      </c>
      <c r="AC7" s="93" t="s">
        <v>164</v>
      </c>
      <c r="AD7" s="5" t="s">
        <v>22</v>
      </c>
      <c r="AE7" s="93" t="s">
        <v>164</v>
      </c>
      <c r="AF7" s="1142"/>
    </row>
    <row r="8" spans="1:34" x14ac:dyDescent="0.3">
      <c r="A8" s="163">
        <v>1</v>
      </c>
      <c r="B8" s="6">
        <v>2</v>
      </c>
      <c r="C8" s="6">
        <v>3</v>
      </c>
      <c r="D8" s="6">
        <v>4</v>
      </c>
      <c r="E8" s="6">
        <v>5</v>
      </c>
      <c r="F8" s="6">
        <v>6</v>
      </c>
      <c r="G8" s="6">
        <v>7</v>
      </c>
      <c r="H8" s="6">
        <v>8</v>
      </c>
      <c r="I8" s="6">
        <v>9</v>
      </c>
      <c r="J8" s="6">
        <v>10</v>
      </c>
      <c r="K8" s="6">
        <v>11</v>
      </c>
      <c r="L8" s="6">
        <v>12</v>
      </c>
      <c r="M8" s="6">
        <v>13</v>
      </c>
      <c r="N8" s="6">
        <v>14</v>
      </c>
      <c r="O8" s="6">
        <v>15</v>
      </c>
      <c r="P8" s="6">
        <v>16</v>
      </c>
      <c r="Q8" s="6">
        <v>17</v>
      </c>
      <c r="R8" s="6">
        <v>18</v>
      </c>
      <c r="S8" s="6">
        <v>19</v>
      </c>
      <c r="T8" s="6">
        <v>20</v>
      </c>
      <c r="U8" s="6">
        <v>21</v>
      </c>
      <c r="V8" s="6">
        <v>22</v>
      </c>
      <c r="W8" s="6">
        <v>23</v>
      </c>
      <c r="X8" s="6">
        <v>24</v>
      </c>
      <c r="Y8" s="6">
        <v>25</v>
      </c>
      <c r="Z8" s="6">
        <v>26</v>
      </c>
      <c r="AA8" s="6">
        <v>27</v>
      </c>
      <c r="AB8" s="6">
        <v>28</v>
      </c>
      <c r="AC8" s="6">
        <v>29</v>
      </c>
      <c r="AD8" s="6">
        <v>30</v>
      </c>
      <c r="AE8" s="6">
        <v>31</v>
      </c>
      <c r="AF8" s="6">
        <v>32</v>
      </c>
    </row>
    <row r="9" spans="1:34" s="164" customFormat="1" x14ac:dyDescent="0.3">
      <c r="A9" s="1172" t="s">
        <v>235</v>
      </c>
      <c r="B9" s="1173"/>
      <c r="C9" s="1173"/>
      <c r="D9" s="1173"/>
      <c r="E9" s="1173"/>
      <c r="F9" s="1173"/>
      <c r="G9" s="1173"/>
      <c r="H9" s="1173"/>
      <c r="I9" s="1173"/>
      <c r="J9" s="1173"/>
      <c r="K9" s="1173"/>
      <c r="L9" s="1173"/>
      <c r="M9" s="1173"/>
      <c r="N9" s="1173"/>
      <c r="O9" s="1173"/>
      <c r="P9" s="1173"/>
      <c r="Q9" s="1173"/>
      <c r="R9" s="1173"/>
      <c r="S9" s="1173"/>
      <c r="T9" s="1173"/>
      <c r="U9" s="1173"/>
      <c r="V9" s="1173"/>
      <c r="W9" s="1173"/>
      <c r="X9" s="1173"/>
      <c r="Y9" s="1173"/>
      <c r="Z9" s="1173"/>
      <c r="AA9" s="1173"/>
      <c r="AB9" s="1173"/>
      <c r="AC9" s="1173"/>
      <c r="AD9" s="1173"/>
      <c r="AE9" s="1173"/>
      <c r="AF9" s="1174"/>
    </row>
    <row r="10" spans="1:34" s="164" customFormat="1" x14ac:dyDescent="0.3">
      <c r="A10" s="1172" t="s">
        <v>54</v>
      </c>
      <c r="B10" s="1173"/>
      <c r="C10" s="1173"/>
      <c r="D10" s="1173"/>
      <c r="E10" s="1173"/>
      <c r="F10" s="1173"/>
      <c r="G10" s="1173"/>
      <c r="H10" s="1173"/>
      <c r="I10" s="1173"/>
      <c r="J10" s="1173"/>
      <c r="K10" s="1173"/>
      <c r="L10" s="1173"/>
      <c r="M10" s="1173"/>
      <c r="N10" s="1173"/>
      <c r="O10" s="1173"/>
      <c r="P10" s="1173"/>
      <c r="Q10" s="1173"/>
      <c r="R10" s="1173"/>
      <c r="S10" s="1173"/>
      <c r="T10" s="1173"/>
      <c r="U10" s="1173"/>
      <c r="V10" s="1173"/>
      <c r="W10" s="1173"/>
      <c r="X10" s="1173"/>
      <c r="Y10" s="1173"/>
      <c r="Z10" s="1173"/>
      <c r="AA10" s="1173"/>
      <c r="AB10" s="1173"/>
      <c r="AC10" s="1173"/>
      <c r="AD10" s="1173"/>
      <c r="AE10" s="1173"/>
      <c r="AF10" s="1174"/>
    </row>
    <row r="11" spans="1:34" ht="56.25" x14ac:dyDescent="0.3">
      <c r="A11" s="165" t="s">
        <v>236</v>
      </c>
      <c r="B11" s="166">
        <f t="shared" ref="B11:K11" si="0">B12</f>
        <v>6991.3</v>
      </c>
      <c r="C11" s="167">
        <f t="shared" si="0"/>
        <v>6991.3</v>
      </c>
      <c r="D11" s="167">
        <f>D12</f>
        <v>6843.1</v>
      </c>
      <c r="E11" s="166">
        <f t="shared" si="0"/>
        <v>6843.1</v>
      </c>
      <c r="F11" s="168">
        <f t="shared" si="0"/>
        <v>100</v>
      </c>
      <c r="G11" s="168">
        <f t="shared" si="0"/>
        <v>100</v>
      </c>
      <c r="H11" s="166">
        <f>H12</f>
        <v>5362.5</v>
      </c>
      <c r="I11" s="166">
        <f t="shared" si="0"/>
        <v>5362.5</v>
      </c>
      <c r="J11" s="166">
        <f t="shared" si="0"/>
        <v>0</v>
      </c>
      <c r="K11" s="168">
        <f t="shared" si="0"/>
        <v>0</v>
      </c>
      <c r="L11" s="166">
        <f>L12</f>
        <v>0</v>
      </c>
      <c r="M11" s="168">
        <f>M12</f>
        <v>0</v>
      </c>
      <c r="N11" s="166">
        <f>N12</f>
        <v>0</v>
      </c>
      <c r="O11" s="168">
        <f>O12</f>
        <v>0</v>
      </c>
      <c r="P11" s="166">
        <f>P12</f>
        <v>0</v>
      </c>
      <c r="Q11" s="168">
        <v>0</v>
      </c>
      <c r="R11" s="166">
        <f>R12</f>
        <v>0</v>
      </c>
      <c r="S11" s="168">
        <v>0</v>
      </c>
      <c r="T11" s="166">
        <f>T12</f>
        <v>0</v>
      </c>
      <c r="U11" s="168">
        <v>0</v>
      </c>
      <c r="V11" s="166">
        <f>V12</f>
        <v>628.79999999999995</v>
      </c>
      <c r="W11" s="168">
        <f>W12</f>
        <v>628.79999999999995</v>
      </c>
      <c r="X11" s="166">
        <f>X12</f>
        <v>0</v>
      </c>
      <c r="Y11" s="168">
        <v>0</v>
      </c>
      <c r="Z11" s="166">
        <f>Z12</f>
        <v>0</v>
      </c>
      <c r="AA11" s="168">
        <v>0</v>
      </c>
      <c r="AB11" s="166">
        <f>AB12</f>
        <v>1000</v>
      </c>
      <c r="AC11" s="168">
        <v>0</v>
      </c>
      <c r="AD11" s="166">
        <f>AD12</f>
        <v>0</v>
      </c>
      <c r="AE11" s="169">
        <f>AE12</f>
        <v>851.8</v>
      </c>
      <c r="AF11" s="170"/>
      <c r="AG11" s="171"/>
      <c r="AH11" s="617"/>
    </row>
    <row r="12" spans="1:34" s="173" customFormat="1" x14ac:dyDescent="0.3">
      <c r="A12" s="172" t="s">
        <v>31</v>
      </c>
      <c r="B12" s="166">
        <f>B13+B14+B15+B16</f>
        <v>6991.3</v>
      </c>
      <c r="C12" s="166">
        <f>C13+C14+C15+C16</f>
        <v>6991.3</v>
      </c>
      <c r="D12" s="166">
        <f>D13+D14+D15+D16</f>
        <v>6843.1</v>
      </c>
      <c r="E12" s="166">
        <f>E13+E14+E15+E16</f>
        <v>6843.1</v>
      </c>
      <c r="F12" s="166">
        <f t="shared" ref="F12:J12" si="1">F13+F14+F15+F16</f>
        <v>100</v>
      </c>
      <c r="G12" s="166">
        <f>G15</f>
        <v>100</v>
      </c>
      <c r="H12" s="166">
        <f>H13+H14+H15+H16</f>
        <v>5362.5</v>
      </c>
      <c r="I12" s="166">
        <f>I13+I14+I15+I16</f>
        <v>5362.5</v>
      </c>
      <c r="J12" s="166">
        <f t="shared" si="1"/>
        <v>0</v>
      </c>
      <c r="K12" s="166">
        <f>K13+K14+K15+K16</f>
        <v>0</v>
      </c>
      <c r="L12" s="166">
        <f>L13+L14+L15+L16</f>
        <v>0</v>
      </c>
      <c r="M12" s="166">
        <f>M13+M14+M15+M16</f>
        <v>0</v>
      </c>
      <c r="N12" s="166">
        <f>N13+N14+N15+N16</f>
        <v>0</v>
      </c>
      <c r="O12" s="166">
        <v>0</v>
      </c>
      <c r="P12" s="166">
        <f>P13+P14+P15+P16</f>
        <v>0</v>
      </c>
      <c r="Q12" s="166">
        <v>0</v>
      </c>
      <c r="R12" s="166">
        <f>R13+R14+R15+R16</f>
        <v>0</v>
      </c>
      <c r="S12" s="166">
        <v>0</v>
      </c>
      <c r="T12" s="166">
        <f>T13+T14+T15+T16</f>
        <v>0</v>
      </c>
      <c r="U12" s="166">
        <v>0</v>
      </c>
      <c r="V12" s="166">
        <f>V13+V14+V15+V16</f>
        <v>628.79999999999995</v>
      </c>
      <c r="W12" s="166">
        <f>W15</f>
        <v>628.79999999999995</v>
      </c>
      <c r="X12" s="166">
        <f>X13+X14+X15+X16</f>
        <v>0</v>
      </c>
      <c r="Y12" s="166">
        <v>0</v>
      </c>
      <c r="Z12" s="166">
        <f>Z13+Z14+Z15+Z16</f>
        <v>0</v>
      </c>
      <c r="AA12" s="166">
        <v>0</v>
      </c>
      <c r="AB12" s="166">
        <f>AB13+AB14+AB15+AB16</f>
        <v>1000</v>
      </c>
      <c r="AC12" s="166">
        <v>0</v>
      </c>
      <c r="AD12" s="166">
        <f>AD13+AD14+AD15+AD16</f>
        <v>0</v>
      </c>
      <c r="AE12" s="166">
        <f>AE15</f>
        <v>851.8</v>
      </c>
      <c r="AF12" s="170"/>
      <c r="AG12" s="171"/>
      <c r="AH12" s="617"/>
    </row>
    <row r="13" spans="1:34" x14ac:dyDescent="0.3">
      <c r="A13" s="174" t="s">
        <v>169</v>
      </c>
      <c r="B13" s="175">
        <f>H13+J13+L13+N13+P13+R13+T13+V13+X13+Z13+AB13+AD13</f>
        <v>0</v>
      </c>
      <c r="C13" s="176">
        <f>H13+J13</f>
        <v>0</v>
      </c>
      <c r="D13" s="176">
        <f>I13</f>
        <v>0</v>
      </c>
      <c r="E13" s="175">
        <v>0</v>
      </c>
      <c r="F13" s="177">
        <v>0</v>
      </c>
      <c r="G13" s="175">
        <v>0</v>
      </c>
      <c r="H13" s="175">
        <f>H19+H25</f>
        <v>0</v>
      </c>
      <c r="I13" s="175">
        <f t="shared" ref="I13:AE16" si="2">I19+I25</f>
        <v>0</v>
      </c>
      <c r="J13" s="175">
        <f t="shared" si="2"/>
        <v>0</v>
      </c>
      <c r="K13" s="175">
        <f t="shared" si="2"/>
        <v>0</v>
      </c>
      <c r="L13" s="175">
        <f t="shared" si="2"/>
        <v>0</v>
      </c>
      <c r="M13" s="175">
        <f t="shared" si="2"/>
        <v>0</v>
      </c>
      <c r="N13" s="175">
        <f t="shared" si="2"/>
        <v>0</v>
      </c>
      <c r="O13" s="175">
        <f t="shared" si="2"/>
        <v>0</v>
      </c>
      <c r="P13" s="175">
        <f t="shared" si="2"/>
        <v>0</v>
      </c>
      <c r="Q13" s="175">
        <f t="shared" si="2"/>
        <v>0</v>
      </c>
      <c r="R13" s="175">
        <f t="shared" si="2"/>
        <v>0</v>
      </c>
      <c r="S13" s="175">
        <f t="shared" si="2"/>
        <v>0</v>
      </c>
      <c r="T13" s="175">
        <f t="shared" si="2"/>
        <v>0</v>
      </c>
      <c r="U13" s="175">
        <f t="shared" si="2"/>
        <v>0</v>
      </c>
      <c r="V13" s="175">
        <v>0</v>
      </c>
      <c r="W13" s="175">
        <v>0</v>
      </c>
      <c r="X13" s="175">
        <f t="shared" si="2"/>
        <v>0</v>
      </c>
      <c r="Y13" s="175">
        <f t="shared" si="2"/>
        <v>0</v>
      </c>
      <c r="Z13" s="175">
        <f t="shared" si="2"/>
        <v>0</v>
      </c>
      <c r="AA13" s="175">
        <f t="shared" si="2"/>
        <v>0</v>
      </c>
      <c r="AB13" s="175">
        <f t="shared" si="2"/>
        <v>0</v>
      </c>
      <c r="AC13" s="175">
        <f t="shared" si="2"/>
        <v>0</v>
      </c>
      <c r="AD13" s="175">
        <f t="shared" si="2"/>
        <v>0</v>
      </c>
      <c r="AE13" s="175">
        <f t="shared" si="2"/>
        <v>0</v>
      </c>
      <c r="AF13" s="178"/>
      <c r="AG13" s="171"/>
      <c r="AH13" s="617"/>
    </row>
    <row r="14" spans="1:34" x14ac:dyDescent="0.3">
      <c r="A14" s="174" t="s">
        <v>32</v>
      </c>
      <c r="B14" s="175">
        <f>H14+J14+L14+N14+P14+R14+T14+V14+X14+Z14+AB14+AD14</f>
        <v>0</v>
      </c>
      <c r="C14" s="176">
        <f>H14+J14</f>
        <v>0</v>
      </c>
      <c r="D14" s="176">
        <f>I14</f>
        <v>0</v>
      </c>
      <c r="E14" s="175">
        <v>0</v>
      </c>
      <c r="F14" s="177">
        <v>0</v>
      </c>
      <c r="G14" s="175">
        <v>0</v>
      </c>
      <c r="H14" s="175">
        <f>H20+H26</f>
        <v>0</v>
      </c>
      <c r="I14" s="175">
        <f t="shared" ref="I14:V14" si="3">I20+I26</f>
        <v>0</v>
      </c>
      <c r="J14" s="175">
        <f t="shared" si="3"/>
        <v>0</v>
      </c>
      <c r="K14" s="175">
        <f t="shared" si="3"/>
        <v>0</v>
      </c>
      <c r="L14" s="175">
        <f t="shared" si="3"/>
        <v>0</v>
      </c>
      <c r="M14" s="175">
        <f t="shared" si="3"/>
        <v>0</v>
      </c>
      <c r="N14" s="175">
        <f t="shared" si="3"/>
        <v>0</v>
      </c>
      <c r="O14" s="175">
        <f t="shared" si="3"/>
        <v>0</v>
      </c>
      <c r="P14" s="175">
        <f t="shared" si="3"/>
        <v>0</v>
      </c>
      <c r="Q14" s="175">
        <f t="shared" si="3"/>
        <v>0</v>
      </c>
      <c r="R14" s="175">
        <f t="shared" si="3"/>
        <v>0</v>
      </c>
      <c r="S14" s="175">
        <f t="shared" si="3"/>
        <v>0</v>
      </c>
      <c r="T14" s="175">
        <f t="shared" si="3"/>
        <v>0</v>
      </c>
      <c r="U14" s="175">
        <f t="shared" si="3"/>
        <v>0</v>
      </c>
      <c r="V14" s="175">
        <f t="shared" si="3"/>
        <v>0</v>
      </c>
      <c r="W14" s="175">
        <v>0</v>
      </c>
      <c r="X14" s="175">
        <f t="shared" si="2"/>
        <v>0</v>
      </c>
      <c r="Y14" s="175">
        <f t="shared" si="2"/>
        <v>0</v>
      </c>
      <c r="Z14" s="175">
        <f t="shared" si="2"/>
        <v>0</v>
      </c>
      <c r="AA14" s="175">
        <f t="shared" si="2"/>
        <v>0</v>
      </c>
      <c r="AB14" s="175">
        <f t="shared" si="2"/>
        <v>0</v>
      </c>
      <c r="AC14" s="175">
        <f t="shared" si="2"/>
        <v>0</v>
      </c>
      <c r="AD14" s="175">
        <f t="shared" si="2"/>
        <v>0</v>
      </c>
      <c r="AE14" s="175">
        <f t="shared" si="2"/>
        <v>0</v>
      </c>
      <c r="AF14" s="178"/>
      <c r="AG14" s="171"/>
      <c r="AH14" s="617"/>
    </row>
    <row r="15" spans="1:34" x14ac:dyDescent="0.3">
      <c r="A15" s="174" t="s">
        <v>33</v>
      </c>
      <c r="B15" s="175">
        <f>H15+J15+L15+N15+P15+R15+T15+V15+X15+Z15+AB15+AD15</f>
        <v>6991.3</v>
      </c>
      <c r="C15" s="176">
        <f>C21+C27+C33+C39</f>
        <v>6991.3</v>
      </c>
      <c r="D15" s="176">
        <f>E15</f>
        <v>6843.1</v>
      </c>
      <c r="E15" s="177">
        <f>E21+E27+E33+E39</f>
        <v>6843.1</v>
      </c>
      <c r="F15" s="177">
        <f>F24</f>
        <v>100</v>
      </c>
      <c r="G15" s="177">
        <f>G24</f>
        <v>100</v>
      </c>
      <c r="H15" s="175">
        <f>H21+H27</f>
        <v>5362.5</v>
      </c>
      <c r="I15" s="175">
        <v>5362.5</v>
      </c>
      <c r="J15" s="175">
        <f t="shared" si="2"/>
        <v>0</v>
      </c>
      <c r="K15" s="175">
        <f t="shared" si="2"/>
        <v>0</v>
      </c>
      <c r="L15" s="175">
        <f t="shared" si="2"/>
        <v>0</v>
      </c>
      <c r="M15" s="175">
        <f t="shared" si="2"/>
        <v>0</v>
      </c>
      <c r="N15" s="175">
        <f t="shared" si="2"/>
        <v>0</v>
      </c>
      <c r="O15" s="175">
        <f t="shared" si="2"/>
        <v>0</v>
      </c>
      <c r="P15" s="175">
        <f t="shared" si="2"/>
        <v>0</v>
      </c>
      <c r="Q15" s="175">
        <f t="shared" si="2"/>
        <v>0</v>
      </c>
      <c r="R15" s="175">
        <f t="shared" si="2"/>
        <v>0</v>
      </c>
      <c r="S15" s="175">
        <f t="shared" si="2"/>
        <v>0</v>
      </c>
      <c r="T15" s="175">
        <f t="shared" si="2"/>
        <v>0</v>
      </c>
      <c r="U15" s="175">
        <f t="shared" si="2"/>
        <v>0</v>
      </c>
      <c r="V15" s="175">
        <f>V21+V27+V33+V39</f>
        <v>628.79999999999995</v>
      </c>
      <c r="W15" s="175">
        <f>W21+W27+W33+W39</f>
        <v>628.79999999999995</v>
      </c>
      <c r="X15" s="175">
        <f>X21+X27+X33</f>
        <v>0</v>
      </c>
      <c r="Y15" s="175">
        <f t="shared" si="2"/>
        <v>0</v>
      </c>
      <c r="Z15" s="175">
        <f t="shared" si="2"/>
        <v>0</v>
      </c>
      <c r="AA15" s="175">
        <f t="shared" si="2"/>
        <v>0</v>
      </c>
      <c r="AB15" s="175">
        <f t="shared" si="2"/>
        <v>1000</v>
      </c>
      <c r="AC15" s="175">
        <f>AC21+AC27</f>
        <v>0</v>
      </c>
      <c r="AD15" s="175">
        <f t="shared" si="2"/>
        <v>0</v>
      </c>
      <c r="AE15" s="175">
        <f t="shared" si="2"/>
        <v>851.8</v>
      </c>
      <c r="AF15" s="178"/>
      <c r="AG15" s="171"/>
      <c r="AH15" s="617"/>
    </row>
    <row r="16" spans="1:34" x14ac:dyDescent="0.3">
      <c r="A16" s="174" t="s">
        <v>221</v>
      </c>
      <c r="B16" s="175">
        <f>H16+J16+L16+N16+P16+R16+T16+V16+X16+Z16+AB16+AD16</f>
        <v>0</v>
      </c>
      <c r="C16" s="176">
        <f>H16+J16</f>
        <v>0</v>
      </c>
      <c r="D16" s="176">
        <f>I16</f>
        <v>0</v>
      </c>
      <c r="E16" s="175">
        <v>0</v>
      </c>
      <c r="F16" s="177">
        <v>0</v>
      </c>
      <c r="G16" s="175">
        <v>0</v>
      </c>
      <c r="H16" s="175">
        <f>H22+H28</f>
        <v>0</v>
      </c>
      <c r="I16" s="175">
        <f t="shared" si="2"/>
        <v>0</v>
      </c>
      <c r="J16" s="175">
        <f t="shared" si="2"/>
        <v>0</v>
      </c>
      <c r="K16" s="175">
        <f t="shared" si="2"/>
        <v>0</v>
      </c>
      <c r="L16" s="175">
        <f t="shared" si="2"/>
        <v>0</v>
      </c>
      <c r="M16" s="175">
        <f t="shared" si="2"/>
        <v>0</v>
      </c>
      <c r="N16" s="175">
        <f t="shared" si="2"/>
        <v>0</v>
      </c>
      <c r="O16" s="175">
        <f t="shared" si="2"/>
        <v>0</v>
      </c>
      <c r="P16" s="175">
        <f t="shared" si="2"/>
        <v>0</v>
      </c>
      <c r="Q16" s="175">
        <f t="shared" si="2"/>
        <v>0</v>
      </c>
      <c r="R16" s="175">
        <f t="shared" si="2"/>
        <v>0</v>
      </c>
      <c r="S16" s="175">
        <f t="shared" si="2"/>
        <v>0</v>
      </c>
      <c r="T16" s="175">
        <f t="shared" si="2"/>
        <v>0</v>
      </c>
      <c r="U16" s="175">
        <f t="shared" si="2"/>
        <v>0</v>
      </c>
      <c r="V16" s="175">
        <f t="shared" si="2"/>
        <v>0</v>
      </c>
      <c r="W16" s="175">
        <v>0</v>
      </c>
      <c r="X16" s="175">
        <f t="shared" si="2"/>
        <v>0</v>
      </c>
      <c r="Y16" s="175">
        <f t="shared" si="2"/>
        <v>0</v>
      </c>
      <c r="Z16" s="175">
        <f t="shared" si="2"/>
        <v>0</v>
      </c>
      <c r="AA16" s="175">
        <f t="shared" si="2"/>
        <v>0</v>
      </c>
      <c r="AB16" s="175">
        <f t="shared" si="2"/>
        <v>0</v>
      </c>
      <c r="AC16" s="175">
        <f t="shared" si="2"/>
        <v>0</v>
      </c>
      <c r="AD16" s="175">
        <f t="shared" si="2"/>
        <v>0</v>
      </c>
      <c r="AE16" s="175">
        <f t="shared" si="2"/>
        <v>0</v>
      </c>
      <c r="AF16" s="178"/>
      <c r="AG16" s="171"/>
      <c r="AH16" s="617"/>
    </row>
    <row r="17" spans="1:34" ht="55.9" customHeight="1" x14ac:dyDescent="0.3">
      <c r="A17" s="196" t="s">
        <v>540</v>
      </c>
      <c r="B17" s="187"/>
      <c r="C17" s="187"/>
      <c r="D17" s="187"/>
      <c r="E17" s="188"/>
      <c r="F17" s="189"/>
      <c r="G17" s="189"/>
      <c r="H17" s="187"/>
      <c r="I17" s="188"/>
      <c r="J17" s="187"/>
      <c r="K17" s="188"/>
      <c r="L17" s="187"/>
      <c r="M17" s="188"/>
      <c r="N17" s="187"/>
      <c r="O17" s="188"/>
      <c r="P17" s="187"/>
      <c r="Q17" s="188"/>
      <c r="R17" s="187"/>
      <c r="S17" s="188"/>
      <c r="T17" s="187"/>
      <c r="U17" s="188"/>
      <c r="V17" s="187"/>
      <c r="W17" s="188"/>
      <c r="X17" s="187"/>
      <c r="Y17" s="188"/>
      <c r="Z17" s="187"/>
      <c r="AA17" s="188"/>
      <c r="AB17" s="187"/>
      <c r="AC17" s="188"/>
      <c r="AD17" s="187"/>
      <c r="AE17" s="190"/>
      <c r="AF17" s="197"/>
      <c r="AG17" s="171"/>
      <c r="AH17" s="617"/>
    </row>
    <row r="18" spans="1:34" s="173" customFormat="1" ht="111" customHeight="1" x14ac:dyDescent="0.3">
      <c r="A18" s="192" t="s">
        <v>31</v>
      </c>
      <c r="B18" s="193">
        <f>B19+B20+B21+B22</f>
        <v>1000</v>
      </c>
      <c r="C18" s="193">
        <f>C19+C20+C21+C22</f>
        <v>1000</v>
      </c>
      <c r="D18" s="193">
        <f>D19+D20+D21+D22</f>
        <v>851.8</v>
      </c>
      <c r="E18" s="193">
        <f>E19+E20+E21+E22</f>
        <v>851.8</v>
      </c>
      <c r="F18" s="194">
        <f>IFERROR(E18/B18*100,0)</f>
        <v>85.18</v>
      </c>
      <c r="G18" s="194">
        <f>IFERROR(E18/C18*100,0)</f>
        <v>85.18</v>
      </c>
      <c r="H18" s="193">
        <f>H19+H20+H21+H22</f>
        <v>0</v>
      </c>
      <c r="I18" s="193">
        <f>I19+I20+I21+I22</f>
        <v>0</v>
      </c>
      <c r="J18" s="193">
        <f>J19+J20+J21+J22</f>
        <v>0</v>
      </c>
      <c r="K18" s="193">
        <v>0</v>
      </c>
      <c r="L18" s="193">
        <f>L19+L20+L21+L22</f>
        <v>0</v>
      </c>
      <c r="M18" s="193">
        <f>M19</f>
        <v>0</v>
      </c>
      <c r="N18" s="193">
        <f>N19+N20+N21+N22</f>
        <v>0</v>
      </c>
      <c r="O18" s="193">
        <f>O19</f>
        <v>0</v>
      </c>
      <c r="P18" s="193">
        <f>P19+P20+P21+P22</f>
        <v>0</v>
      </c>
      <c r="Q18" s="193">
        <f>Q19</f>
        <v>0</v>
      </c>
      <c r="R18" s="193">
        <f>R19+R20+R21+R22</f>
        <v>0</v>
      </c>
      <c r="S18" s="193">
        <v>0</v>
      </c>
      <c r="T18" s="193">
        <f>T19+T20+T21+T22</f>
        <v>0</v>
      </c>
      <c r="U18" s="193">
        <v>0</v>
      </c>
      <c r="V18" s="193">
        <v>0</v>
      </c>
      <c r="W18" s="193">
        <v>0</v>
      </c>
      <c r="X18" s="193">
        <f>X19+X20+X21+X22</f>
        <v>0</v>
      </c>
      <c r="Y18" s="193">
        <v>0</v>
      </c>
      <c r="Z18" s="193">
        <f>Z19+Z20+Z21+Z22</f>
        <v>0</v>
      </c>
      <c r="AA18" s="193">
        <v>0</v>
      </c>
      <c r="AB18" s="193">
        <f>AB19+AB20+AB21+AB22</f>
        <v>1000</v>
      </c>
      <c r="AC18" s="193">
        <v>0</v>
      </c>
      <c r="AD18" s="193">
        <f>AD19+AD20+AD21+AD22</f>
        <v>0</v>
      </c>
      <c r="AE18" s="193">
        <f>AE19+AE20+AE21+AE22</f>
        <v>851.8</v>
      </c>
      <c r="AF18" s="490" t="s">
        <v>634</v>
      </c>
      <c r="AG18" s="171"/>
      <c r="AH18" s="617"/>
    </row>
    <row r="19" spans="1:34" x14ac:dyDescent="0.3">
      <c r="A19" s="195" t="s">
        <v>169</v>
      </c>
      <c r="B19" s="187">
        <f>H19+J19+L19+N19+P19+R19+T19+V19+X19+Z19+AB19+AD19</f>
        <v>0</v>
      </c>
      <c r="C19" s="187">
        <f>H19+J19</f>
        <v>0</v>
      </c>
      <c r="D19" s="187">
        <f>E19</f>
        <v>0</v>
      </c>
      <c r="E19" s="187">
        <v>0</v>
      </c>
      <c r="F19" s="189">
        <f>IFERROR(E19/B19*100,0)</f>
        <v>0</v>
      </c>
      <c r="G19" s="189">
        <f>IFERROR(E19/C19*100,0)</f>
        <v>0</v>
      </c>
      <c r="H19" s="187">
        <v>0</v>
      </c>
      <c r="I19" s="187">
        <v>0</v>
      </c>
      <c r="J19" s="187">
        <v>0</v>
      </c>
      <c r="K19" s="187">
        <v>0</v>
      </c>
      <c r="L19" s="187">
        <v>0</v>
      </c>
      <c r="M19" s="187">
        <v>0</v>
      </c>
      <c r="N19" s="187">
        <v>0</v>
      </c>
      <c r="O19" s="187">
        <v>0</v>
      </c>
      <c r="P19" s="187">
        <v>0</v>
      </c>
      <c r="Q19" s="187">
        <v>0</v>
      </c>
      <c r="R19" s="187">
        <v>0</v>
      </c>
      <c r="S19" s="187">
        <v>0</v>
      </c>
      <c r="T19" s="187">
        <v>0</v>
      </c>
      <c r="U19" s="187">
        <v>0</v>
      </c>
      <c r="V19" s="187">
        <v>0</v>
      </c>
      <c r="W19" s="187">
        <v>0</v>
      </c>
      <c r="X19" s="187">
        <f t="shared" ref="X19:Y19" si="4">X25+X31</f>
        <v>0</v>
      </c>
      <c r="Y19" s="187">
        <f t="shared" si="4"/>
        <v>0</v>
      </c>
      <c r="Z19" s="187">
        <v>0</v>
      </c>
      <c r="AA19" s="187">
        <v>0</v>
      </c>
      <c r="AB19" s="187">
        <v>0</v>
      </c>
      <c r="AC19" s="187">
        <v>0</v>
      </c>
      <c r="AD19" s="187">
        <v>0</v>
      </c>
      <c r="AE19" s="187">
        <v>0</v>
      </c>
      <c r="AF19" s="490" t="s">
        <v>645</v>
      </c>
      <c r="AG19" s="171"/>
      <c r="AH19" s="617"/>
    </row>
    <row r="20" spans="1:34" x14ac:dyDescent="0.3">
      <c r="A20" s="195" t="s">
        <v>32</v>
      </c>
      <c r="B20" s="187">
        <f>H20+J20+L20+N20+P20+R20+T20+V20+X20+Z20+AB20+AD20</f>
        <v>0</v>
      </c>
      <c r="C20" s="187">
        <f>H20+J20</f>
        <v>0</v>
      </c>
      <c r="D20" s="187">
        <f>E20</f>
        <v>0</v>
      </c>
      <c r="E20" s="187">
        <v>0</v>
      </c>
      <c r="F20" s="189">
        <f>IFERROR(E20/B20*100,0)</f>
        <v>0</v>
      </c>
      <c r="G20" s="189">
        <f>IFERROR(E20/C20*100,0)</f>
        <v>0</v>
      </c>
      <c r="H20" s="187">
        <v>0</v>
      </c>
      <c r="I20" s="187">
        <v>0</v>
      </c>
      <c r="J20" s="187">
        <v>0</v>
      </c>
      <c r="K20" s="187">
        <v>0</v>
      </c>
      <c r="L20" s="187">
        <v>0</v>
      </c>
      <c r="M20" s="187">
        <v>0</v>
      </c>
      <c r="N20" s="187">
        <v>0</v>
      </c>
      <c r="O20" s="187">
        <v>0</v>
      </c>
      <c r="P20" s="187">
        <v>0</v>
      </c>
      <c r="Q20" s="187">
        <v>0</v>
      </c>
      <c r="R20" s="187">
        <v>0</v>
      </c>
      <c r="S20" s="187">
        <v>0</v>
      </c>
      <c r="T20" s="187">
        <v>0</v>
      </c>
      <c r="U20" s="187">
        <v>0</v>
      </c>
      <c r="V20" s="187">
        <v>0</v>
      </c>
      <c r="W20" s="187">
        <v>0</v>
      </c>
      <c r="X20" s="187">
        <f t="shared" ref="X20:Y20" si="5">X26+X32</f>
        <v>0</v>
      </c>
      <c r="Y20" s="187">
        <f t="shared" si="5"/>
        <v>0</v>
      </c>
      <c r="Z20" s="187">
        <v>0</v>
      </c>
      <c r="AA20" s="187">
        <v>0</v>
      </c>
      <c r="AB20" s="187">
        <v>0</v>
      </c>
      <c r="AC20" s="187">
        <v>0</v>
      </c>
      <c r="AD20" s="187">
        <v>0</v>
      </c>
      <c r="AE20" s="187">
        <v>0</v>
      </c>
      <c r="AF20" s="197"/>
      <c r="AG20" s="171"/>
      <c r="AH20" s="617"/>
    </row>
    <row r="21" spans="1:34" s="615" customFormat="1" x14ac:dyDescent="0.3">
      <c r="A21" s="680" t="s">
        <v>33</v>
      </c>
      <c r="B21" s="638">
        <f>H21+J21+L21+N21+P21+R21+T21+V21+X21+Z21+AB21+AD21</f>
        <v>1000</v>
      </c>
      <c r="C21" s="638">
        <f>AB21</f>
        <v>1000</v>
      </c>
      <c r="D21" s="685">
        <f>E21</f>
        <v>851.8</v>
      </c>
      <c r="E21" s="681">
        <f>AE21</f>
        <v>851.8</v>
      </c>
      <c r="F21" s="638">
        <f>IFERROR(E21/B21*100,0)</f>
        <v>85.18</v>
      </c>
      <c r="G21" s="638">
        <f>IFERROR(E21/C21*100,0)</f>
        <v>85.18</v>
      </c>
      <c r="H21" s="638">
        <v>0</v>
      </c>
      <c r="I21" s="638">
        <v>0</v>
      </c>
      <c r="J21" s="638">
        <v>0</v>
      </c>
      <c r="K21" s="638">
        <v>0</v>
      </c>
      <c r="L21" s="638">
        <v>0</v>
      </c>
      <c r="M21" s="638">
        <v>0</v>
      </c>
      <c r="N21" s="638">
        <v>0</v>
      </c>
      <c r="O21" s="638">
        <v>0</v>
      </c>
      <c r="P21" s="638">
        <v>0</v>
      </c>
      <c r="Q21" s="638">
        <v>0</v>
      </c>
      <c r="R21" s="638">
        <v>0</v>
      </c>
      <c r="S21" s="638">
        <v>0</v>
      </c>
      <c r="T21" s="638">
        <v>0</v>
      </c>
      <c r="U21" s="638">
        <v>0</v>
      </c>
      <c r="V21" s="638">
        <v>0</v>
      </c>
      <c r="W21" s="638">
        <v>0</v>
      </c>
      <c r="X21" s="638">
        <f>X27+X33+X39</f>
        <v>0</v>
      </c>
      <c r="Y21" s="638">
        <f t="shared" ref="Y21" si="6">Y27+Y33</f>
        <v>0</v>
      </c>
      <c r="Z21" s="638">
        <v>0</v>
      </c>
      <c r="AA21" s="638">
        <v>0</v>
      </c>
      <c r="AB21" s="638">
        <v>1000</v>
      </c>
      <c r="AC21" s="638">
        <v>0</v>
      </c>
      <c r="AD21" s="638">
        <v>0</v>
      </c>
      <c r="AE21" s="638">
        <v>851.8</v>
      </c>
      <c r="AF21" s="688"/>
      <c r="AG21" s="683"/>
      <c r="AH21" s="684"/>
    </row>
    <row r="22" spans="1:34" x14ac:dyDescent="0.3">
      <c r="A22" s="195" t="s">
        <v>221</v>
      </c>
      <c r="B22" s="187">
        <f>H22+J22+L22+N22+P22+R22+T22+V22+X22+Z22+AB22+AD22</f>
        <v>0</v>
      </c>
      <c r="C22" s="187">
        <f>H22</f>
        <v>0</v>
      </c>
      <c r="D22" s="187">
        <f>E22</f>
        <v>0</v>
      </c>
      <c r="E22" s="187">
        <v>0</v>
      </c>
      <c r="F22" s="189">
        <f>IFERROR(E22/B22*100,0)</f>
        <v>0</v>
      </c>
      <c r="G22" s="189">
        <f>IFERROR(E22/C22*100,0)</f>
        <v>0</v>
      </c>
      <c r="H22" s="187">
        <v>0</v>
      </c>
      <c r="I22" s="187">
        <v>0</v>
      </c>
      <c r="J22" s="187">
        <v>0</v>
      </c>
      <c r="K22" s="187">
        <v>0</v>
      </c>
      <c r="L22" s="187">
        <v>0</v>
      </c>
      <c r="M22" s="187">
        <v>0</v>
      </c>
      <c r="N22" s="187">
        <v>0</v>
      </c>
      <c r="O22" s="187">
        <v>0</v>
      </c>
      <c r="P22" s="187">
        <v>0</v>
      </c>
      <c r="Q22" s="187">
        <v>0</v>
      </c>
      <c r="R22" s="187">
        <v>0</v>
      </c>
      <c r="S22" s="187">
        <v>0</v>
      </c>
      <c r="T22" s="187">
        <v>0</v>
      </c>
      <c r="U22" s="187">
        <v>0</v>
      </c>
      <c r="V22" s="187">
        <v>0</v>
      </c>
      <c r="W22" s="187">
        <v>0</v>
      </c>
      <c r="X22" s="187">
        <f t="shared" ref="X22:Y22" si="7">X28+X34</f>
        <v>0</v>
      </c>
      <c r="Y22" s="187">
        <f t="shared" si="7"/>
        <v>0</v>
      </c>
      <c r="Z22" s="187">
        <v>0</v>
      </c>
      <c r="AA22" s="187">
        <v>0</v>
      </c>
      <c r="AB22" s="187">
        <v>0</v>
      </c>
      <c r="AC22" s="187">
        <v>0</v>
      </c>
      <c r="AD22" s="187">
        <v>0</v>
      </c>
      <c r="AE22" s="187">
        <v>0</v>
      </c>
      <c r="AF22" s="197"/>
      <c r="AG22" s="171"/>
      <c r="AH22" s="617"/>
    </row>
    <row r="23" spans="1:34" ht="409.15" customHeight="1" x14ac:dyDescent="0.3">
      <c r="A23" s="196" t="s">
        <v>237</v>
      </c>
      <c r="B23" s="187"/>
      <c r="C23" s="187"/>
      <c r="D23" s="187"/>
      <c r="E23" s="188"/>
      <c r="F23" s="189"/>
      <c r="G23" s="189"/>
      <c r="H23" s="187"/>
      <c r="I23" s="188"/>
      <c r="J23" s="187"/>
      <c r="K23" s="188"/>
      <c r="L23" s="187"/>
      <c r="M23" s="188"/>
      <c r="N23" s="187"/>
      <c r="O23" s="188"/>
      <c r="P23" s="187"/>
      <c r="Q23" s="188"/>
      <c r="R23" s="187"/>
      <c r="S23" s="188"/>
      <c r="T23" s="187"/>
      <c r="U23" s="188"/>
      <c r="V23" s="187"/>
      <c r="W23" s="188"/>
      <c r="X23" s="187"/>
      <c r="Y23" s="188"/>
      <c r="Z23" s="187"/>
      <c r="AA23" s="188"/>
      <c r="AB23" s="187"/>
      <c r="AC23" s="188"/>
      <c r="AD23" s="187"/>
      <c r="AE23" s="190"/>
      <c r="AF23" s="490" t="s">
        <v>688</v>
      </c>
      <c r="AG23" s="171"/>
      <c r="AH23" s="617"/>
    </row>
    <row r="24" spans="1:34" s="687" customFormat="1" x14ac:dyDescent="0.3">
      <c r="A24" s="686" t="s">
        <v>31</v>
      </c>
      <c r="B24" s="637">
        <f>B25+B26+B27+B28</f>
        <v>5362.5</v>
      </c>
      <c r="C24" s="637">
        <f>C25+C26+C27+C28</f>
        <v>5362.5</v>
      </c>
      <c r="D24" s="637">
        <f>D25+D26+D27+D28</f>
        <v>5362.5</v>
      </c>
      <c r="E24" s="637">
        <f>E25+E26+E27+E28</f>
        <v>5362.5</v>
      </c>
      <c r="F24" s="637">
        <f>F25+F26+F27+F28</f>
        <v>100</v>
      </c>
      <c r="G24" s="637">
        <f>E24/C24*100</f>
        <v>100</v>
      </c>
      <c r="H24" s="637">
        <f>H25+H26+H27+H28</f>
        <v>5362.5</v>
      </c>
      <c r="I24" s="637">
        <f>I25+I26+I27+I28</f>
        <v>5362.5</v>
      </c>
      <c r="J24" s="637">
        <f>J25+J26+J27+J28</f>
        <v>0</v>
      </c>
      <c r="K24" s="637">
        <f>K25+K26+K27+K28</f>
        <v>0</v>
      </c>
      <c r="L24" s="637">
        <f>L25+L26+L27+L28</f>
        <v>0</v>
      </c>
      <c r="M24" s="637">
        <f>M25</f>
        <v>0</v>
      </c>
      <c r="N24" s="637">
        <f>N25+N26+N27+N28</f>
        <v>0</v>
      </c>
      <c r="O24" s="637">
        <f>O25</f>
        <v>0</v>
      </c>
      <c r="P24" s="637">
        <f>P25+P26+P27+P28</f>
        <v>0</v>
      </c>
      <c r="Q24" s="637">
        <v>0</v>
      </c>
      <c r="R24" s="637">
        <f>R25+R26+R27+R28</f>
        <v>0</v>
      </c>
      <c r="S24" s="637">
        <v>0</v>
      </c>
      <c r="T24" s="637">
        <f>T25+T26+T27+T28</f>
        <v>0</v>
      </c>
      <c r="U24" s="637">
        <v>0</v>
      </c>
      <c r="V24" s="637">
        <v>0</v>
      </c>
      <c r="W24" s="637">
        <v>0</v>
      </c>
      <c r="X24" s="637">
        <f>X25+X26+X27+X28</f>
        <v>0</v>
      </c>
      <c r="Y24" s="637">
        <v>0</v>
      </c>
      <c r="Z24" s="637">
        <f>Z25+Z26+Z27+Z28</f>
        <v>0</v>
      </c>
      <c r="AA24" s="637">
        <v>0</v>
      </c>
      <c r="AB24" s="637">
        <f>AB25+AB26+AB27+AB28</f>
        <v>0</v>
      </c>
      <c r="AC24" s="637"/>
      <c r="AD24" s="637">
        <f>AD25+AD26+AD27+AD28</f>
        <v>0</v>
      </c>
      <c r="AE24" s="637"/>
      <c r="AF24" s="688"/>
      <c r="AG24" s="683"/>
      <c r="AH24" s="684"/>
    </row>
    <row r="25" spans="1:34" x14ac:dyDescent="0.3">
      <c r="A25" s="195" t="s">
        <v>169</v>
      </c>
      <c r="B25" s="187">
        <f>H25+J25+L25+N25+P25+R25+T25+V25+X25+Z25+AB25+AD25</f>
        <v>0</v>
      </c>
      <c r="C25" s="187">
        <f>H25+J25</f>
        <v>0</v>
      </c>
      <c r="D25" s="187">
        <f>E25</f>
        <v>0</v>
      </c>
      <c r="E25" s="187">
        <v>0</v>
      </c>
      <c r="F25" s="189">
        <v>0</v>
      </c>
      <c r="G25" s="189">
        <v>0</v>
      </c>
      <c r="H25" s="187">
        <v>0</v>
      </c>
      <c r="I25" s="187">
        <v>0</v>
      </c>
      <c r="J25" s="187">
        <v>0</v>
      </c>
      <c r="K25" s="187">
        <v>0</v>
      </c>
      <c r="L25" s="187">
        <v>0</v>
      </c>
      <c r="M25" s="187">
        <v>0</v>
      </c>
      <c r="N25" s="187">
        <v>0</v>
      </c>
      <c r="O25" s="187">
        <v>0</v>
      </c>
      <c r="P25" s="187">
        <v>0</v>
      </c>
      <c r="Q25" s="187">
        <v>0</v>
      </c>
      <c r="R25" s="187">
        <v>0</v>
      </c>
      <c r="S25" s="187">
        <v>0</v>
      </c>
      <c r="T25" s="187">
        <v>0</v>
      </c>
      <c r="U25" s="187">
        <v>0</v>
      </c>
      <c r="V25" s="187">
        <v>0</v>
      </c>
      <c r="W25" s="187">
        <v>0</v>
      </c>
      <c r="X25" s="187">
        <v>0</v>
      </c>
      <c r="Y25" s="187">
        <v>0</v>
      </c>
      <c r="Z25" s="187">
        <v>0</v>
      </c>
      <c r="AA25" s="187">
        <v>0</v>
      </c>
      <c r="AB25" s="187"/>
      <c r="AC25" s="187"/>
      <c r="AD25" s="187"/>
      <c r="AE25" s="187"/>
      <c r="AF25" s="197"/>
      <c r="AG25" s="171"/>
      <c r="AH25" s="617"/>
    </row>
    <row r="26" spans="1:34" x14ac:dyDescent="0.3">
      <c r="A26" s="195" t="s">
        <v>32</v>
      </c>
      <c r="B26" s="187">
        <f>H26+J26+L26+N26+P26+R26+T26+V26+X26+Z26+AB26+AD26</f>
        <v>0</v>
      </c>
      <c r="C26" s="187">
        <f>H26+J26</f>
        <v>0</v>
      </c>
      <c r="D26" s="187">
        <f>E26</f>
        <v>0</v>
      </c>
      <c r="E26" s="187">
        <v>0</v>
      </c>
      <c r="F26" s="189">
        <v>0</v>
      </c>
      <c r="G26" s="189">
        <v>0</v>
      </c>
      <c r="H26" s="187">
        <v>0</v>
      </c>
      <c r="I26" s="187">
        <v>0</v>
      </c>
      <c r="J26" s="187">
        <v>0</v>
      </c>
      <c r="K26" s="187">
        <v>0</v>
      </c>
      <c r="L26" s="187">
        <v>0</v>
      </c>
      <c r="M26" s="187">
        <v>0</v>
      </c>
      <c r="N26" s="187">
        <v>0</v>
      </c>
      <c r="O26" s="187">
        <v>0</v>
      </c>
      <c r="P26" s="187">
        <v>0</v>
      </c>
      <c r="Q26" s="187">
        <v>0</v>
      </c>
      <c r="R26" s="187">
        <v>0</v>
      </c>
      <c r="S26" s="187">
        <v>0</v>
      </c>
      <c r="T26" s="187">
        <v>0</v>
      </c>
      <c r="U26" s="187">
        <v>0</v>
      </c>
      <c r="V26" s="187">
        <v>0</v>
      </c>
      <c r="W26" s="187">
        <v>0</v>
      </c>
      <c r="X26" s="187">
        <v>0</v>
      </c>
      <c r="Y26" s="187">
        <v>0</v>
      </c>
      <c r="Z26" s="187">
        <v>0</v>
      </c>
      <c r="AA26" s="187">
        <v>0</v>
      </c>
      <c r="AB26" s="187">
        <v>0</v>
      </c>
      <c r="AC26" s="187">
        <v>0</v>
      </c>
      <c r="AD26" s="187">
        <v>0</v>
      </c>
      <c r="AE26" s="187">
        <v>0</v>
      </c>
      <c r="AF26" s="197"/>
      <c r="AG26" s="171"/>
      <c r="AH26" s="617"/>
    </row>
    <row r="27" spans="1:34" s="615" customFormat="1" x14ac:dyDescent="0.3">
      <c r="A27" s="680" t="s">
        <v>33</v>
      </c>
      <c r="B27" s="638">
        <f>H27+J27+L27+N27+P27+R27+T27+V27+X27+Z27+AB27+AD27</f>
        <v>5362.5</v>
      </c>
      <c r="C27" s="638">
        <f>H27+J27+L27+N27+P27+R27+T27+V27+X27+Z27+AB27+AD27</f>
        <v>5362.5</v>
      </c>
      <c r="D27" s="685">
        <f>H27</f>
        <v>5362.5</v>
      </c>
      <c r="E27" s="681">
        <f>I27</f>
        <v>5362.5</v>
      </c>
      <c r="F27" s="638">
        <f>E27/B27*100</f>
        <v>100</v>
      </c>
      <c r="G27" s="638">
        <f>E27/C27*100</f>
        <v>100</v>
      </c>
      <c r="H27" s="638">
        <v>5362.5</v>
      </c>
      <c r="I27" s="638">
        <v>5362.5</v>
      </c>
      <c r="J27" s="638">
        <v>0</v>
      </c>
      <c r="K27" s="638">
        <v>0</v>
      </c>
      <c r="L27" s="638">
        <v>0</v>
      </c>
      <c r="M27" s="638">
        <v>0</v>
      </c>
      <c r="N27" s="638">
        <v>0</v>
      </c>
      <c r="O27" s="638">
        <v>0</v>
      </c>
      <c r="P27" s="638">
        <v>0</v>
      </c>
      <c r="Q27" s="638">
        <v>0</v>
      </c>
      <c r="R27" s="638">
        <v>0</v>
      </c>
      <c r="S27" s="638">
        <v>0</v>
      </c>
      <c r="T27" s="638">
        <v>0</v>
      </c>
      <c r="U27" s="638">
        <v>0</v>
      </c>
      <c r="V27" s="638">
        <v>0</v>
      </c>
      <c r="W27" s="638">
        <v>0</v>
      </c>
      <c r="X27" s="638">
        <v>0</v>
      </c>
      <c r="Y27" s="638">
        <v>0</v>
      </c>
      <c r="Z27" s="638">
        <v>0</v>
      </c>
      <c r="AA27" s="638">
        <v>0</v>
      </c>
      <c r="AB27" s="638">
        <v>0</v>
      </c>
      <c r="AC27" s="638">
        <v>0</v>
      </c>
      <c r="AD27" s="638">
        <v>0</v>
      </c>
      <c r="AE27" s="638">
        <v>0</v>
      </c>
      <c r="AF27" s="688"/>
      <c r="AG27" s="683"/>
      <c r="AH27" s="684"/>
    </row>
    <row r="28" spans="1:34" x14ac:dyDescent="0.3">
      <c r="A28" s="195" t="s">
        <v>221</v>
      </c>
      <c r="B28" s="187">
        <f>H28+J28+L28+N28+P28+R28+T28+V28+X28+Z28+AB28+AD28</f>
        <v>0</v>
      </c>
      <c r="C28" s="187">
        <f>H28</f>
        <v>0</v>
      </c>
      <c r="D28" s="187">
        <f>E28</f>
        <v>0</v>
      </c>
      <c r="E28" s="187">
        <v>0</v>
      </c>
      <c r="F28" s="189">
        <v>0</v>
      </c>
      <c r="G28" s="189">
        <v>0</v>
      </c>
      <c r="H28" s="187">
        <v>0</v>
      </c>
      <c r="I28" s="187">
        <v>0</v>
      </c>
      <c r="J28" s="187">
        <v>0</v>
      </c>
      <c r="K28" s="187">
        <v>0</v>
      </c>
      <c r="L28" s="187">
        <v>0</v>
      </c>
      <c r="M28" s="187">
        <v>0</v>
      </c>
      <c r="N28" s="187">
        <v>0</v>
      </c>
      <c r="O28" s="187">
        <v>0</v>
      </c>
      <c r="P28" s="187">
        <v>0</v>
      </c>
      <c r="Q28" s="187">
        <v>0</v>
      </c>
      <c r="R28" s="187">
        <v>0</v>
      </c>
      <c r="S28" s="187">
        <v>0</v>
      </c>
      <c r="T28" s="187">
        <v>0</v>
      </c>
      <c r="U28" s="187">
        <v>0</v>
      </c>
      <c r="V28" s="187">
        <v>0</v>
      </c>
      <c r="W28" s="187">
        <v>0</v>
      </c>
      <c r="X28" s="187">
        <v>0</v>
      </c>
      <c r="Y28" s="187">
        <v>0</v>
      </c>
      <c r="Z28" s="187">
        <v>0</v>
      </c>
      <c r="AA28" s="187">
        <v>0</v>
      </c>
      <c r="AB28" s="187">
        <v>0</v>
      </c>
      <c r="AC28" s="187">
        <v>0</v>
      </c>
      <c r="AD28" s="187">
        <v>0</v>
      </c>
      <c r="AE28" s="187">
        <v>0</v>
      </c>
      <c r="AF28" s="197"/>
      <c r="AG28" s="171"/>
      <c r="AH28" s="617"/>
    </row>
    <row r="29" spans="1:34" ht="150" x14ac:dyDescent="0.3">
      <c r="A29" s="909" t="s">
        <v>595</v>
      </c>
      <c r="B29" s="187">
        <f>B30</f>
        <v>628.79999999999995</v>
      </c>
      <c r="C29" s="187">
        <f>C30</f>
        <v>628.79999999999995</v>
      </c>
      <c r="D29" s="187">
        <f>D30</f>
        <v>628.79999999999995</v>
      </c>
      <c r="E29" s="187">
        <f>E30</f>
        <v>628.79999999999995</v>
      </c>
      <c r="F29" s="189">
        <v>0</v>
      </c>
      <c r="G29" s="189">
        <v>0</v>
      </c>
      <c r="H29" s="187">
        <v>0</v>
      </c>
      <c r="I29" s="187">
        <v>0</v>
      </c>
      <c r="J29" s="187">
        <v>0</v>
      </c>
      <c r="K29" s="187">
        <v>0</v>
      </c>
      <c r="L29" s="187">
        <v>0</v>
      </c>
      <c r="M29" s="187">
        <v>0</v>
      </c>
      <c r="N29" s="187">
        <v>0</v>
      </c>
      <c r="O29" s="187">
        <v>0</v>
      </c>
      <c r="P29" s="187">
        <v>0</v>
      </c>
      <c r="Q29" s="187">
        <v>0</v>
      </c>
      <c r="R29" s="187">
        <v>0</v>
      </c>
      <c r="S29" s="187">
        <v>0</v>
      </c>
      <c r="T29" s="187">
        <v>0</v>
      </c>
      <c r="U29" s="187">
        <v>0</v>
      </c>
      <c r="V29" s="187">
        <f>V33</f>
        <v>628.79999999999995</v>
      </c>
      <c r="W29" s="187">
        <f>W33</f>
        <v>628.79999999999995</v>
      </c>
      <c r="X29" s="187">
        <v>0</v>
      </c>
      <c r="Y29" s="187">
        <v>0</v>
      </c>
      <c r="Z29" s="187">
        <v>0</v>
      </c>
      <c r="AA29" s="187">
        <v>0</v>
      </c>
      <c r="AB29" s="187">
        <v>0</v>
      </c>
      <c r="AC29" s="187">
        <v>0</v>
      </c>
      <c r="AD29" s="187">
        <v>0</v>
      </c>
      <c r="AE29" s="187">
        <v>0</v>
      </c>
      <c r="AF29" s="490" t="s">
        <v>678</v>
      </c>
      <c r="AG29" s="171"/>
      <c r="AH29" s="617"/>
    </row>
    <row r="30" spans="1:34" x14ac:dyDescent="0.3">
      <c r="A30" s="195" t="s">
        <v>31</v>
      </c>
      <c r="B30" s="187">
        <f>B33</f>
        <v>628.79999999999995</v>
      </c>
      <c r="C30" s="187">
        <f>C33</f>
        <v>628.79999999999995</v>
      </c>
      <c r="D30" s="187">
        <f>D33</f>
        <v>628.79999999999995</v>
      </c>
      <c r="E30" s="187">
        <f>E33</f>
        <v>628.79999999999995</v>
      </c>
      <c r="F30" s="189">
        <v>0</v>
      </c>
      <c r="G30" s="189">
        <v>0</v>
      </c>
      <c r="H30" s="187">
        <v>0</v>
      </c>
      <c r="I30" s="187">
        <v>0</v>
      </c>
      <c r="J30" s="187">
        <v>0</v>
      </c>
      <c r="K30" s="187">
        <v>0</v>
      </c>
      <c r="L30" s="187">
        <v>0</v>
      </c>
      <c r="M30" s="187">
        <v>0</v>
      </c>
      <c r="N30" s="187">
        <v>0</v>
      </c>
      <c r="O30" s="187">
        <v>0</v>
      </c>
      <c r="P30" s="187">
        <v>0</v>
      </c>
      <c r="Q30" s="187">
        <v>0</v>
      </c>
      <c r="R30" s="187">
        <v>0</v>
      </c>
      <c r="S30" s="187">
        <v>0</v>
      </c>
      <c r="T30" s="187">
        <v>0</v>
      </c>
      <c r="U30" s="187">
        <v>0</v>
      </c>
      <c r="V30" s="187">
        <v>0</v>
      </c>
      <c r="W30" s="187">
        <v>0</v>
      </c>
      <c r="X30" s="187">
        <v>0</v>
      </c>
      <c r="Y30" s="187">
        <v>0</v>
      </c>
      <c r="Z30" s="187">
        <v>0</v>
      </c>
      <c r="AA30" s="187">
        <v>0</v>
      </c>
      <c r="AB30" s="187">
        <v>0</v>
      </c>
      <c r="AC30" s="187">
        <v>0</v>
      </c>
      <c r="AD30" s="187">
        <v>0</v>
      </c>
      <c r="AE30" s="187">
        <v>0</v>
      </c>
      <c r="AF30" s="197"/>
      <c r="AG30" s="171"/>
      <c r="AH30" s="617"/>
    </row>
    <row r="31" spans="1:34" x14ac:dyDescent="0.3">
      <c r="A31" s="195" t="s">
        <v>169</v>
      </c>
      <c r="B31" s="187">
        <v>0</v>
      </c>
      <c r="C31" s="187">
        <v>0</v>
      </c>
      <c r="D31" s="187">
        <v>0</v>
      </c>
      <c r="E31" s="187">
        <v>0</v>
      </c>
      <c r="F31" s="189">
        <v>0</v>
      </c>
      <c r="G31" s="189">
        <v>0</v>
      </c>
      <c r="H31" s="187">
        <v>0</v>
      </c>
      <c r="I31" s="187">
        <v>0</v>
      </c>
      <c r="J31" s="187">
        <v>0</v>
      </c>
      <c r="K31" s="187">
        <v>0</v>
      </c>
      <c r="L31" s="187">
        <v>0</v>
      </c>
      <c r="M31" s="187">
        <v>0</v>
      </c>
      <c r="N31" s="187">
        <v>0</v>
      </c>
      <c r="O31" s="187">
        <v>0</v>
      </c>
      <c r="P31" s="187">
        <v>0</v>
      </c>
      <c r="Q31" s="187">
        <v>0</v>
      </c>
      <c r="R31" s="187">
        <v>0</v>
      </c>
      <c r="S31" s="187">
        <v>0</v>
      </c>
      <c r="T31" s="187">
        <v>0</v>
      </c>
      <c r="U31" s="187">
        <v>0</v>
      </c>
      <c r="V31" s="187">
        <v>0</v>
      </c>
      <c r="W31" s="187">
        <v>0</v>
      </c>
      <c r="X31" s="187">
        <v>0</v>
      </c>
      <c r="Y31" s="187">
        <v>0</v>
      </c>
      <c r="Z31" s="187">
        <v>0</v>
      </c>
      <c r="AA31" s="187">
        <v>0</v>
      </c>
      <c r="AB31" s="187">
        <v>0</v>
      </c>
      <c r="AC31" s="187">
        <v>0</v>
      </c>
      <c r="AD31" s="187">
        <v>0</v>
      </c>
      <c r="AE31" s="187">
        <v>0</v>
      </c>
      <c r="AF31" s="197"/>
      <c r="AG31" s="171"/>
      <c r="AH31" s="617"/>
    </row>
    <row r="32" spans="1:34" x14ac:dyDescent="0.3">
      <c r="A32" s="195" t="s">
        <v>32</v>
      </c>
      <c r="B32" s="187">
        <v>0</v>
      </c>
      <c r="C32" s="187">
        <v>0</v>
      </c>
      <c r="D32" s="187">
        <v>0</v>
      </c>
      <c r="E32" s="187">
        <v>0</v>
      </c>
      <c r="F32" s="189">
        <v>0</v>
      </c>
      <c r="G32" s="189">
        <v>0</v>
      </c>
      <c r="H32" s="187">
        <v>0</v>
      </c>
      <c r="I32" s="187">
        <v>0</v>
      </c>
      <c r="J32" s="187">
        <v>0</v>
      </c>
      <c r="K32" s="187">
        <v>0</v>
      </c>
      <c r="L32" s="187">
        <v>0</v>
      </c>
      <c r="M32" s="187">
        <v>0</v>
      </c>
      <c r="N32" s="187">
        <v>0</v>
      </c>
      <c r="O32" s="187">
        <v>0</v>
      </c>
      <c r="P32" s="187">
        <v>0</v>
      </c>
      <c r="Q32" s="187">
        <v>0</v>
      </c>
      <c r="R32" s="187">
        <v>0</v>
      </c>
      <c r="S32" s="187">
        <v>0</v>
      </c>
      <c r="T32" s="187">
        <v>0</v>
      </c>
      <c r="U32" s="187">
        <v>0</v>
      </c>
      <c r="V32" s="187">
        <v>0</v>
      </c>
      <c r="W32" s="187">
        <v>0</v>
      </c>
      <c r="X32" s="187">
        <v>0</v>
      </c>
      <c r="Y32" s="187">
        <v>0</v>
      </c>
      <c r="Z32" s="187">
        <v>0</v>
      </c>
      <c r="AA32" s="187">
        <v>0</v>
      </c>
      <c r="AB32" s="187">
        <v>0</v>
      </c>
      <c r="AC32" s="187">
        <v>0</v>
      </c>
      <c r="AD32" s="187">
        <v>0</v>
      </c>
      <c r="AE32" s="187">
        <v>0</v>
      </c>
      <c r="AF32" s="197"/>
      <c r="AG32" s="171"/>
      <c r="AH32" s="617"/>
    </row>
    <row r="33" spans="1:34" x14ac:dyDescent="0.3">
      <c r="A33" s="195" t="s">
        <v>33</v>
      </c>
      <c r="B33" s="187">
        <f>V33</f>
        <v>628.79999999999995</v>
      </c>
      <c r="C33" s="187">
        <f>V33</f>
        <v>628.79999999999995</v>
      </c>
      <c r="D33" s="187">
        <f>E33</f>
        <v>628.79999999999995</v>
      </c>
      <c r="E33" s="187">
        <f>W33</f>
        <v>628.79999999999995</v>
      </c>
      <c r="F33" s="189">
        <v>0</v>
      </c>
      <c r="G33" s="189">
        <v>0</v>
      </c>
      <c r="H33" s="187">
        <v>0</v>
      </c>
      <c r="I33" s="187">
        <v>0</v>
      </c>
      <c r="J33" s="187">
        <v>0</v>
      </c>
      <c r="K33" s="187">
        <v>0</v>
      </c>
      <c r="L33" s="187">
        <v>0</v>
      </c>
      <c r="M33" s="187">
        <v>0</v>
      </c>
      <c r="N33" s="187">
        <v>0</v>
      </c>
      <c r="O33" s="187">
        <v>0</v>
      </c>
      <c r="P33" s="187">
        <v>0</v>
      </c>
      <c r="Q33" s="187">
        <v>0</v>
      </c>
      <c r="R33" s="187">
        <v>0</v>
      </c>
      <c r="S33" s="187">
        <v>0</v>
      </c>
      <c r="T33" s="187">
        <v>0</v>
      </c>
      <c r="U33" s="187">
        <v>0</v>
      </c>
      <c r="V33" s="187">
        <v>628.79999999999995</v>
      </c>
      <c r="W33" s="892">
        <v>628.79999999999995</v>
      </c>
      <c r="X33" s="187">
        <v>0</v>
      </c>
      <c r="Y33" s="187">
        <v>0</v>
      </c>
      <c r="Z33" s="187">
        <v>0</v>
      </c>
      <c r="AA33" s="187">
        <v>0</v>
      </c>
      <c r="AB33" s="187">
        <v>0</v>
      </c>
      <c r="AC33" s="187">
        <v>0</v>
      </c>
      <c r="AD33" s="187">
        <v>0</v>
      </c>
      <c r="AE33" s="187">
        <v>0</v>
      </c>
      <c r="AF33" s="197"/>
      <c r="AG33" s="171"/>
      <c r="AH33" s="617"/>
    </row>
    <row r="34" spans="1:34" x14ac:dyDescent="0.3">
      <c r="A34" s="195" t="s">
        <v>221</v>
      </c>
      <c r="B34" s="187">
        <v>0</v>
      </c>
      <c r="C34" s="187">
        <v>0</v>
      </c>
      <c r="D34" s="187">
        <v>0</v>
      </c>
      <c r="E34" s="187">
        <v>0</v>
      </c>
      <c r="F34" s="189">
        <v>0</v>
      </c>
      <c r="G34" s="189">
        <v>0</v>
      </c>
      <c r="H34" s="187">
        <v>0</v>
      </c>
      <c r="I34" s="187">
        <v>0</v>
      </c>
      <c r="J34" s="187">
        <v>0</v>
      </c>
      <c r="K34" s="187">
        <v>0</v>
      </c>
      <c r="L34" s="187">
        <v>0</v>
      </c>
      <c r="M34" s="187">
        <v>0</v>
      </c>
      <c r="N34" s="187">
        <v>0</v>
      </c>
      <c r="O34" s="187">
        <v>0</v>
      </c>
      <c r="P34" s="187">
        <v>0</v>
      </c>
      <c r="Q34" s="187">
        <v>0</v>
      </c>
      <c r="R34" s="187">
        <v>0</v>
      </c>
      <c r="S34" s="187">
        <v>0</v>
      </c>
      <c r="T34" s="187">
        <v>0</v>
      </c>
      <c r="U34" s="187">
        <v>0</v>
      </c>
      <c r="V34" s="187">
        <v>0</v>
      </c>
      <c r="W34" s="187">
        <v>0</v>
      </c>
      <c r="X34" s="187">
        <v>0</v>
      </c>
      <c r="Y34" s="187">
        <v>0</v>
      </c>
      <c r="Z34" s="187">
        <v>0</v>
      </c>
      <c r="AA34" s="187">
        <v>0</v>
      </c>
      <c r="AB34" s="187">
        <v>0</v>
      </c>
      <c r="AC34" s="187">
        <v>0</v>
      </c>
      <c r="AD34" s="187">
        <v>0</v>
      </c>
      <c r="AE34" s="187">
        <v>0</v>
      </c>
      <c r="AF34" s="197"/>
      <c r="AG34" s="171"/>
      <c r="AH34" s="617"/>
    </row>
    <row r="35" spans="1:34" ht="82.5" x14ac:dyDescent="0.3">
      <c r="A35" s="195" t="s">
        <v>603</v>
      </c>
      <c r="B35" s="187">
        <v>0</v>
      </c>
      <c r="C35" s="187">
        <v>0</v>
      </c>
      <c r="D35" s="187">
        <v>0</v>
      </c>
      <c r="E35" s="187">
        <v>0</v>
      </c>
      <c r="F35" s="189">
        <v>0</v>
      </c>
      <c r="G35" s="189">
        <v>0</v>
      </c>
      <c r="H35" s="187">
        <v>0</v>
      </c>
      <c r="I35" s="187">
        <v>0</v>
      </c>
      <c r="J35" s="187">
        <v>0</v>
      </c>
      <c r="K35" s="187">
        <v>0</v>
      </c>
      <c r="L35" s="187">
        <v>0</v>
      </c>
      <c r="M35" s="187">
        <v>0</v>
      </c>
      <c r="N35" s="187">
        <v>0</v>
      </c>
      <c r="O35" s="187">
        <v>0</v>
      </c>
      <c r="P35" s="187">
        <v>0</v>
      </c>
      <c r="Q35" s="187">
        <v>0</v>
      </c>
      <c r="R35" s="187">
        <v>0</v>
      </c>
      <c r="S35" s="187">
        <v>0</v>
      </c>
      <c r="T35" s="187">
        <v>0</v>
      </c>
      <c r="U35" s="187">
        <v>0</v>
      </c>
      <c r="V35" s="187">
        <v>0</v>
      </c>
      <c r="W35" s="187">
        <v>0</v>
      </c>
      <c r="X35" s="187">
        <v>0</v>
      </c>
      <c r="Y35" s="187">
        <v>0</v>
      </c>
      <c r="Z35" s="187">
        <v>0</v>
      </c>
      <c r="AA35" s="187">
        <v>0</v>
      </c>
      <c r="AB35" s="187">
        <v>0</v>
      </c>
      <c r="AC35" s="187">
        <v>0</v>
      </c>
      <c r="AD35" s="187">
        <v>0</v>
      </c>
      <c r="AE35" s="187">
        <v>0</v>
      </c>
      <c r="AF35" s="197"/>
      <c r="AG35" s="171"/>
      <c r="AH35" s="617"/>
    </row>
    <row r="36" spans="1:34" x14ac:dyDescent="0.3">
      <c r="A36" s="195" t="s">
        <v>31</v>
      </c>
      <c r="B36" s="187">
        <v>0</v>
      </c>
      <c r="C36" s="187">
        <v>0</v>
      </c>
      <c r="D36" s="187">
        <v>0</v>
      </c>
      <c r="E36" s="187">
        <v>0</v>
      </c>
      <c r="F36" s="189">
        <v>0</v>
      </c>
      <c r="G36" s="189">
        <v>0</v>
      </c>
      <c r="H36" s="187">
        <v>0</v>
      </c>
      <c r="I36" s="187">
        <v>0</v>
      </c>
      <c r="J36" s="187">
        <v>0</v>
      </c>
      <c r="K36" s="187">
        <v>0</v>
      </c>
      <c r="L36" s="187">
        <v>0</v>
      </c>
      <c r="M36" s="187">
        <v>0</v>
      </c>
      <c r="N36" s="187">
        <v>0</v>
      </c>
      <c r="O36" s="187">
        <v>0</v>
      </c>
      <c r="P36" s="187">
        <v>0</v>
      </c>
      <c r="Q36" s="187">
        <v>0</v>
      </c>
      <c r="R36" s="187">
        <v>0</v>
      </c>
      <c r="S36" s="187">
        <v>0</v>
      </c>
      <c r="T36" s="187">
        <v>0</v>
      </c>
      <c r="U36" s="187">
        <v>0</v>
      </c>
      <c r="V36" s="187">
        <v>0</v>
      </c>
      <c r="W36" s="187">
        <v>0</v>
      </c>
      <c r="X36" s="187">
        <v>0</v>
      </c>
      <c r="Y36" s="187">
        <v>0</v>
      </c>
      <c r="Z36" s="187">
        <v>0</v>
      </c>
      <c r="AA36" s="187">
        <v>0</v>
      </c>
      <c r="AB36" s="187">
        <v>0</v>
      </c>
      <c r="AC36" s="187">
        <v>0</v>
      </c>
      <c r="AD36" s="187">
        <v>0</v>
      </c>
      <c r="AE36" s="187">
        <v>0</v>
      </c>
      <c r="AF36" s="197"/>
      <c r="AG36" s="171"/>
      <c r="AH36" s="617"/>
    </row>
    <row r="37" spans="1:34" x14ac:dyDescent="0.3">
      <c r="A37" s="195" t="s">
        <v>169</v>
      </c>
      <c r="B37" s="187">
        <v>0</v>
      </c>
      <c r="C37" s="187">
        <v>0</v>
      </c>
      <c r="D37" s="187">
        <v>0</v>
      </c>
      <c r="E37" s="187">
        <v>0</v>
      </c>
      <c r="F37" s="189">
        <v>0</v>
      </c>
      <c r="G37" s="189">
        <v>0</v>
      </c>
      <c r="H37" s="187">
        <v>0</v>
      </c>
      <c r="I37" s="187">
        <v>0</v>
      </c>
      <c r="J37" s="187">
        <v>0</v>
      </c>
      <c r="K37" s="187">
        <v>0</v>
      </c>
      <c r="L37" s="187">
        <v>0</v>
      </c>
      <c r="M37" s="187">
        <v>0</v>
      </c>
      <c r="N37" s="187">
        <v>0</v>
      </c>
      <c r="O37" s="187">
        <v>0</v>
      </c>
      <c r="P37" s="187">
        <v>0</v>
      </c>
      <c r="Q37" s="187">
        <v>0</v>
      </c>
      <c r="R37" s="187">
        <v>0</v>
      </c>
      <c r="S37" s="187">
        <v>0</v>
      </c>
      <c r="T37" s="187">
        <v>0</v>
      </c>
      <c r="U37" s="187">
        <v>0</v>
      </c>
      <c r="V37" s="187">
        <v>0</v>
      </c>
      <c r="W37" s="187">
        <v>0</v>
      </c>
      <c r="X37" s="187">
        <v>0</v>
      </c>
      <c r="Y37" s="187">
        <v>0</v>
      </c>
      <c r="Z37" s="187">
        <v>0</v>
      </c>
      <c r="AA37" s="187">
        <v>0</v>
      </c>
      <c r="AB37" s="187">
        <v>0</v>
      </c>
      <c r="AC37" s="187">
        <v>0</v>
      </c>
      <c r="AD37" s="187">
        <v>0</v>
      </c>
      <c r="AE37" s="187">
        <v>0</v>
      </c>
      <c r="AF37" s="197"/>
      <c r="AG37" s="171"/>
      <c r="AH37" s="617"/>
    </row>
    <row r="38" spans="1:34" x14ac:dyDescent="0.3">
      <c r="A38" s="195" t="s">
        <v>32</v>
      </c>
      <c r="B38" s="187">
        <v>0</v>
      </c>
      <c r="C38" s="187">
        <v>0</v>
      </c>
      <c r="D38" s="187">
        <v>0</v>
      </c>
      <c r="E38" s="187">
        <v>0</v>
      </c>
      <c r="F38" s="189">
        <v>0</v>
      </c>
      <c r="G38" s="189">
        <v>0</v>
      </c>
      <c r="H38" s="187">
        <v>0</v>
      </c>
      <c r="I38" s="187">
        <v>0</v>
      </c>
      <c r="J38" s="187">
        <v>0</v>
      </c>
      <c r="K38" s="187">
        <v>0</v>
      </c>
      <c r="L38" s="187">
        <v>0</v>
      </c>
      <c r="M38" s="187">
        <v>0</v>
      </c>
      <c r="N38" s="187">
        <v>0</v>
      </c>
      <c r="O38" s="187">
        <v>0</v>
      </c>
      <c r="P38" s="187">
        <v>0</v>
      </c>
      <c r="Q38" s="187">
        <v>0</v>
      </c>
      <c r="R38" s="187">
        <v>0</v>
      </c>
      <c r="S38" s="187">
        <v>0</v>
      </c>
      <c r="T38" s="187">
        <v>0</v>
      </c>
      <c r="U38" s="187">
        <v>0</v>
      </c>
      <c r="V38" s="187">
        <v>0</v>
      </c>
      <c r="W38" s="187">
        <v>0</v>
      </c>
      <c r="X38" s="187">
        <v>0</v>
      </c>
      <c r="Y38" s="187">
        <v>0</v>
      </c>
      <c r="Z38" s="187">
        <v>0</v>
      </c>
      <c r="AA38" s="187">
        <v>0</v>
      </c>
      <c r="AB38" s="187">
        <v>0</v>
      </c>
      <c r="AC38" s="187">
        <v>0</v>
      </c>
      <c r="AD38" s="187">
        <v>0</v>
      </c>
      <c r="AE38" s="187">
        <v>0</v>
      </c>
      <c r="AF38" s="197"/>
      <c r="AG38" s="171"/>
      <c r="AH38" s="617"/>
    </row>
    <row r="39" spans="1:34" x14ac:dyDescent="0.3">
      <c r="A39" s="195" t="s">
        <v>33</v>
      </c>
      <c r="B39" s="187">
        <v>0</v>
      </c>
      <c r="C39" s="187">
        <v>0</v>
      </c>
      <c r="D39" s="187">
        <v>0</v>
      </c>
      <c r="E39" s="187">
        <v>0</v>
      </c>
      <c r="F39" s="189">
        <v>0</v>
      </c>
      <c r="G39" s="189">
        <v>0</v>
      </c>
      <c r="H39" s="187">
        <v>0</v>
      </c>
      <c r="I39" s="187">
        <v>0</v>
      </c>
      <c r="J39" s="187">
        <v>0</v>
      </c>
      <c r="K39" s="187">
        <v>0</v>
      </c>
      <c r="L39" s="187">
        <v>0</v>
      </c>
      <c r="M39" s="187">
        <v>0</v>
      </c>
      <c r="N39" s="187">
        <v>0</v>
      </c>
      <c r="O39" s="187">
        <v>0</v>
      </c>
      <c r="P39" s="187">
        <v>0</v>
      </c>
      <c r="Q39" s="187">
        <v>0</v>
      </c>
      <c r="R39" s="187">
        <v>0</v>
      </c>
      <c r="S39" s="187">
        <v>0</v>
      </c>
      <c r="T39" s="187">
        <v>0</v>
      </c>
      <c r="U39" s="187">
        <v>0</v>
      </c>
      <c r="V39" s="187">
        <v>0</v>
      </c>
      <c r="W39" s="187">
        <v>0</v>
      </c>
      <c r="X39" s="187">
        <v>0</v>
      </c>
      <c r="Y39" s="187">
        <v>0</v>
      </c>
      <c r="Z39" s="187">
        <v>0</v>
      </c>
      <c r="AA39" s="187">
        <v>0</v>
      </c>
      <c r="AB39" s="187">
        <v>0</v>
      </c>
      <c r="AC39" s="187">
        <v>0</v>
      </c>
      <c r="AD39" s="187">
        <v>0</v>
      </c>
      <c r="AE39" s="187">
        <v>0</v>
      </c>
      <c r="AF39" s="197"/>
      <c r="AG39" s="171"/>
      <c r="AH39" s="617"/>
    </row>
    <row r="40" spans="1:34" x14ac:dyDescent="0.3">
      <c r="A40" s="195" t="s">
        <v>221</v>
      </c>
      <c r="B40" s="187">
        <v>0</v>
      </c>
      <c r="C40" s="187">
        <v>0</v>
      </c>
      <c r="D40" s="187">
        <v>0</v>
      </c>
      <c r="E40" s="187">
        <v>0</v>
      </c>
      <c r="F40" s="189">
        <v>0</v>
      </c>
      <c r="G40" s="189">
        <v>0</v>
      </c>
      <c r="H40" s="187">
        <v>0</v>
      </c>
      <c r="I40" s="187">
        <v>0</v>
      </c>
      <c r="J40" s="187">
        <v>0</v>
      </c>
      <c r="K40" s="187">
        <v>0</v>
      </c>
      <c r="L40" s="187">
        <v>0</v>
      </c>
      <c r="M40" s="187">
        <v>0</v>
      </c>
      <c r="N40" s="187">
        <v>0</v>
      </c>
      <c r="O40" s="187">
        <v>0</v>
      </c>
      <c r="P40" s="187">
        <v>0</v>
      </c>
      <c r="Q40" s="187">
        <v>0</v>
      </c>
      <c r="R40" s="187">
        <v>0</v>
      </c>
      <c r="S40" s="187">
        <v>0</v>
      </c>
      <c r="T40" s="187">
        <v>0</v>
      </c>
      <c r="U40" s="187">
        <v>0</v>
      </c>
      <c r="V40" s="187">
        <v>0</v>
      </c>
      <c r="W40" s="187">
        <v>0</v>
      </c>
      <c r="X40" s="187">
        <v>0</v>
      </c>
      <c r="Y40" s="187">
        <v>0</v>
      </c>
      <c r="Z40" s="187">
        <v>0</v>
      </c>
      <c r="AA40" s="187">
        <v>0</v>
      </c>
      <c r="AB40" s="187">
        <v>0</v>
      </c>
      <c r="AC40" s="187">
        <v>0</v>
      </c>
      <c r="AD40" s="187">
        <v>0</v>
      </c>
      <c r="AE40" s="187">
        <v>0</v>
      </c>
      <c r="AF40" s="197"/>
      <c r="AG40" s="171"/>
      <c r="AH40" s="617"/>
    </row>
    <row r="41" spans="1:34" s="164" customFormat="1" x14ac:dyDescent="0.3">
      <c r="A41" s="1172" t="s">
        <v>238</v>
      </c>
      <c r="B41" s="1173"/>
      <c r="C41" s="1173"/>
      <c r="D41" s="1173"/>
      <c r="E41" s="1173"/>
      <c r="F41" s="1173"/>
      <c r="G41" s="1173"/>
      <c r="H41" s="1173"/>
      <c r="I41" s="1173"/>
      <c r="J41" s="1173"/>
      <c r="K41" s="1173"/>
      <c r="L41" s="1173"/>
      <c r="M41" s="1173"/>
      <c r="N41" s="1173"/>
      <c r="O41" s="1173"/>
      <c r="P41" s="1173"/>
      <c r="Q41" s="1173"/>
      <c r="R41" s="1173"/>
      <c r="S41" s="1173"/>
      <c r="T41" s="1173"/>
      <c r="U41" s="1173"/>
      <c r="V41" s="1173"/>
      <c r="W41" s="1173"/>
      <c r="X41" s="1173"/>
      <c r="Y41" s="1173"/>
      <c r="Z41" s="1173"/>
      <c r="AA41" s="1173"/>
      <c r="AB41" s="1173"/>
      <c r="AC41" s="1173"/>
      <c r="AD41" s="1173"/>
      <c r="AE41" s="1173"/>
      <c r="AF41" s="1174"/>
      <c r="AG41" s="171"/>
      <c r="AH41" s="669"/>
    </row>
    <row r="42" spans="1:34" s="164" customFormat="1" x14ac:dyDescent="0.3">
      <c r="A42" s="1172" t="s">
        <v>54</v>
      </c>
      <c r="B42" s="1173"/>
      <c r="C42" s="1173"/>
      <c r="D42" s="1173"/>
      <c r="E42" s="1173"/>
      <c r="F42" s="1173"/>
      <c r="G42" s="1173"/>
      <c r="H42" s="1173"/>
      <c r="I42" s="1173"/>
      <c r="J42" s="1173"/>
      <c r="K42" s="1173"/>
      <c r="L42" s="1173"/>
      <c r="M42" s="1173"/>
      <c r="N42" s="1173"/>
      <c r="O42" s="1173"/>
      <c r="P42" s="1173"/>
      <c r="Q42" s="1173"/>
      <c r="R42" s="1173"/>
      <c r="S42" s="1173"/>
      <c r="T42" s="1173"/>
      <c r="U42" s="1173"/>
      <c r="V42" s="1173"/>
      <c r="W42" s="1173"/>
      <c r="X42" s="1173"/>
      <c r="Y42" s="1173"/>
      <c r="Z42" s="1173"/>
      <c r="AA42" s="1173"/>
      <c r="AB42" s="1173"/>
      <c r="AC42" s="1173"/>
      <c r="AD42" s="1173"/>
      <c r="AE42" s="1173"/>
      <c r="AF42" s="1174"/>
      <c r="AG42" s="171"/>
      <c r="AH42" s="669"/>
    </row>
    <row r="43" spans="1:34" ht="111" customHeight="1" x14ac:dyDescent="0.3">
      <c r="A43" s="180" t="s">
        <v>239</v>
      </c>
      <c r="B43" s="166">
        <f t="shared" ref="B43:H43" si="8">B44</f>
        <v>1024</v>
      </c>
      <c r="C43" s="167">
        <f t="shared" si="8"/>
        <v>1024</v>
      </c>
      <c r="D43" s="167">
        <f t="shared" si="8"/>
        <v>808.5</v>
      </c>
      <c r="E43" s="168">
        <f>E44</f>
        <v>808.5</v>
      </c>
      <c r="F43" s="167">
        <f t="shared" si="8"/>
        <v>78.955078125</v>
      </c>
      <c r="G43" s="167">
        <f t="shared" si="8"/>
        <v>78.955078125</v>
      </c>
      <c r="H43" s="166">
        <f t="shared" si="8"/>
        <v>0</v>
      </c>
      <c r="I43" s="168">
        <f>I44</f>
        <v>0</v>
      </c>
      <c r="J43" s="166">
        <f>J44</f>
        <v>0</v>
      </c>
      <c r="K43" s="168">
        <v>0</v>
      </c>
      <c r="L43" s="166">
        <f>L44</f>
        <v>0</v>
      </c>
      <c r="M43" s="168">
        <f>M44</f>
        <v>0</v>
      </c>
      <c r="N43" s="166">
        <f>N44</f>
        <v>0</v>
      </c>
      <c r="O43" s="168">
        <f>O44</f>
        <v>0</v>
      </c>
      <c r="P43" s="166">
        <f t="shared" ref="P43:Q48" si="9">N43</f>
        <v>0</v>
      </c>
      <c r="Q43" s="168">
        <f t="shared" si="9"/>
        <v>0</v>
      </c>
      <c r="R43" s="166">
        <f>R44</f>
        <v>0</v>
      </c>
      <c r="S43" s="168">
        <v>0</v>
      </c>
      <c r="T43" s="166">
        <f>T44</f>
        <v>0</v>
      </c>
      <c r="U43" s="168">
        <v>0</v>
      </c>
      <c r="V43" s="166">
        <f>V44</f>
        <v>808.5</v>
      </c>
      <c r="W43" s="168">
        <f>W44</f>
        <v>808.5</v>
      </c>
      <c r="X43" s="166">
        <f>X44</f>
        <v>115.5</v>
      </c>
      <c r="Y43" s="168">
        <f>Y44</f>
        <v>0</v>
      </c>
      <c r="Z43" s="166">
        <f t="shared" ref="Z43" si="10">Z44</f>
        <v>0</v>
      </c>
      <c r="AA43" s="168">
        <v>0</v>
      </c>
      <c r="AB43" s="166">
        <f>AB44</f>
        <v>0</v>
      </c>
      <c r="AC43" s="168">
        <v>0</v>
      </c>
      <c r="AD43" s="166">
        <f>AD44</f>
        <v>100</v>
      </c>
      <c r="AE43" s="169">
        <f>AE44</f>
        <v>0</v>
      </c>
      <c r="AF43" s="178" t="s">
        <v>646</v>
      </c>
      <c r="AG43" s="171"/>
      <c r="AH43" s="617"/>
    </row>
    <row r="44" spans="1:34" s="173" customFormat="1" x14ac:dyDescent="0.3">
      <c r="A44" s="172" t="s">
        <v>31</v>
      </c>
      <c r="B44" s="166">
        <f>B45+B46+B47+B48</f>
        <v>1024</v>
      </c>
      <c r="C44" s="166">
        <f>C45+C46+C47+C48</f>
        <v>1024</v>
      </c>
      <c r="D44" s="166">
        <f t="shared" ref="D44:J44" si="11">D45+D46+D47+D48</f>
        <v>808.5</v>
      </c>
      <c r="E44" s="166">
        <f>E45+E46+E47+E48</f>
        <v>808.5</v>
      </c>
      <c r="F44" s="166">
        <f>E44/B44*100</f>
        <v>78.955078125</v>
      </c>
      <c r="G44" s="166">
        <f t="shared" si="11"/>
        <v>78.955078125</v>
      </c>
      <c r="H44" s="166">
        <f t="shared" si="11"/>
        <v>0</v>
      </c>
      <c r="I44" s="166">
        <f t="shared" si="11"/>
        <v>0</v>
      </c>
      <c r="J44" s="166">
        <f t="shared" si="11"/>
        <v>0</v>
      </c>
      <c r="K44" s="166">
        <v>0</v>
      </c>
      <c r="L44" s="166">
        <f>L45+L46+L47+L48</f>
        <v>0</v>
      </c>
      <c r="M44" s="166">
        <f>M47</f>
        <v>0</v>
      </c>
      <c r="N44" s="166">
        <f>N45+N46+N47+N48</f>
        <v>0</v>
      </c>
      <c r="O44" s="166">
        <f>O47</f>
        <v>0</v>
      </c>
      <c r="P44" s="166">
        <f t="shared" si="9"/>
        <v>0</v>
      </c>
      <c r="Q44" s="166">
        <f t="shared" si="9"/>
        <v>0</v>
      </c>
      <c r="R44" s="166">
        <f>R45+R46+R47+R48</f>
        <v>0</v>
      </c>
      <c r="S44" s="166">
        <v>0</v>
      </c>
      <c r="T44" s="166">
        <f>T45+T46+T47+T48</f>
        <v>0</v>
      </c>
      <c r="U44" s="166">
        <v>0</v>
      </c>
      <c r="V44" s="166">
        <f>V47</f>
        <v>808.5</v>
      </c>
      <c r="W44" s="166">
        <f>W47</f>
        <v>808.5</v>
      </c>
      <c r="X44" s="166">
        <f>X45+X46+X47+X48</f>
        <v>115.5</v>
      </c>
      <c r="Y44" s="166">
        <v>0</v>
      </c>
      <c r="Z44" s="166">
        <f t="shared" ref="Z44" si="12">Z45+Z46+Z47+Z48</f>
        <v>0</v>
      </c>
      <c r="AA44" s="166">
        <v>0</v>
      </c>
      <c r="AB44" s="166">
        <f>AB45+AB46+AB47+AB48</f>
        <v>0</v>
      </c>
      <c r="AC44" s="166">
        <v>0</v>
      </c>
      <c r="AD44" s="166">
        <f>AD45+AD46+AD47+AD48</f>
        <v>100</v>
      </c>
      <c r="AE44" s="166">
        <v>0</v>
      </c>
      <c r="AF44" s="170"/>
      <c r="AG44" s="171"/>
      <c r="AH44" s="617"/>
    </row>
    <row r="45" spans="1:34" x14ac:dyDescent="0.3">
      <c r="A45" s="174" t="s">
        <v>169</v>
      </c>
      <c r="B45" s="175">
        <v>0</v>
      </c>
      <c r="C45" s="176">
        <f>H45+J45</f>
        <v>0</v>
      </c>
      <c r="D45" s="175">
        <f>I45</f>
        <v>0</v>
      </c>
      <c r="E45" s="175">
        <v>0</v>
      </c>
      <c r="F45" s="175">
        <v>0</v>
      </c>
      <c r="G45" s="175">
        <v>0</v>
      </c>
      <c r="H45" s="175">
        <v>0</v>
      </c>
      <c r="I45" s="175">
        <v>0</v>
      </c>
      <c r="J45" s="175">
        <v>0</v>
      </c>
      <c r="K45" s="175">
        <v>0</v>
      </c>
      <c r="L45" s="175">
        <v>0</v>
      </c>
      <c r="M45" s="175">
        <v>0</v>
      </c>
      <c r="N45" s="175">
        <v>0</v>
      </c>
      <c r="O45" s="175">
        <v>0</v>
      </c>
      <c r="P45" s="175">
        <f t="shared" si="9"/>
        <v>0</v>
      </c>
      <c r="Q45" s="175">
        <f t="shared" si="9"/>
        <v>0</v>
      </c>
      <c r="R45" s="175">
        <f t="shared" ref="R45:S48" si="13">P45</f>
        <v>0</v>
      </c>
      <c r="S45" s="175">
        <f t="shared" si="13"/>
        <v>0</v>
      </c>
      <c r="T45" s="175">
        <f t="shared" ref="T45:U48" si="14">R45</f>
        <v>0</v>
      </c>
      <c r="U45" s="175">
        <f t="shared" si="14"/>
        <v>0</v>
      </c>
      <c r="V45" s="175" t="s">
        <v>463</v>
      </c>
      <c r="W45" s="175">
        <v>0</v>
      </c>
      <c r="X45" s="175">
        <v>0</v>
      </c>
      <c r="Y45" s="175">
        <v>0</v>
      </c>
      <c r="Z45" s="175">
        <v>0</v>
      </c>
      <c r="AA45" s="175">
        <v>0</v>
      </c>
      <c r="AB45" s="175">
        <v>0</v>
      </c>
      <c r="AC45" s="175">
        <v>0</v>
      </c>
      <c r="AD45" s="175">
        <v>0</v>
      </c>
      <c r="AE45" s="175">
        <v>0</v>
      </c>
      <c r="AF45" s="178"/>
      <c r="AG45" s="171"/>
      <c r="AH45" s="617"/>
    </row>
    <row r="46" spans="1:34" x14ac:dyDescent="0.3">
      <c r="A46" s="174" t="s">
        <v>32</v>
      </c>
      <c r="B46" s="175">
        <f>H46+J46+L46+N46+P46+R46+T46+V46+X46+Z46+AB46+AD46</f>
        <v>0</v>
      </c>
      <c r="C46" s="176">
        <f>H46+J46</f>
        <v>0</v>
      </c>
      <c r="D46" s="175">
        <f>I46</f>
        <v>0</v>
      </c>
      <c r="E46" s="175">
        <v>0</v>
      </c>
      <c r="F46" s="175">
        <v>0</v>
      </c>
      <c r="G46" s="175">
        <v>0</v>
      </c>
      <c r="H46" s="175">
        <v>0</v>
      </c>
      <c r="I46" s="175">
        <v>0</v>
      </c>
      <c r="J46" s="175">
        <v>0</v>
      </c>
      <c r="K46" s="175">
        <v>0</v>
      </c>
      <c r="L46" s="175">
        <v>0</v>
      </c>
      <c r="M46" s="175">
        <v>0</v>
      </c>
      <c r="N46" s="175">
        <v>0</v>
      </c>
      <c r="O46" s="175">
        <v>0</v>
      </c>
      <c r="P46" s="175">
        <f t="shared" si="9"/>
        <v>0</v>
      </c>
      <c r="Q46" s="175">
        <f t="shared" si="9"/>
        <v>0</v>
      </c>
      <c r="R46" s="175">
        <f t="shared" si="13"/>
        <v>0</v>
      </c>
      <c r="S46" s="175">
        <f t="shared" si="13"/>
        <v>0</v>
      </c>
      <c r="T46" s="175">
        <f t="shared" si="14"/>
        <v>0</v>
      </c>
      <c r="U46" s="175">
        <f t="shared" si="14"/>
        <v>0</v>
      </c>
      <c r="V46" s="175">
        <v>0</v>
      </c>
      <c r="W46" s="175">
        <v>0</v>
      </c>
      <c r="X46" s="175">
        <v>0</v>
      </c>
      <c r="Y46" s="175">
        <v>0</v>
      </c>
      <c r="Z46" s="175">
        <v>0</v>
      </c>
      <c r="AA46" s="175">
        <v>0</v>
      </c>
      <c r="AB46" s="175">
        <v>0</v>
      </c>
      <c r="AC46" s="175">
        <v>0</v>
      </c>
      <c r="AD46" s="175">
        <v>0</v>
      </c>
      <c r="AE46" s="175">
        <v>0</v>
      </c>
      <c r="AF46" s="178"/>
      <c r="AG46" s="171"/>
      <c r="AH46" s="617"/>
    </row>
    <row r="47" spans="1:34" x14ac:dyDescent="0.3">
      <c r="A47" s="174" t="s">
        <v>33</v>
      </c>
      <c r="B47" s="175">
        <f>H47+J47+L47+N47+P47+R47+T47+V47+X47+Z47+AB47+AD47</f>
        <v>1024</v>
      </c>
      <c r="C47" s="176">
        <f>V47+X47+AD47</f>
        <v>1024</v>
      </c>
      <c r="D47" s="175">
        <f>E47</f>
        <v>808.5</v>
      </c>
      <c r="E47" s="177">
        <f>W47+Y47</f>
        <v>808.5</v>
      </c>
      <c r="F47" s="177">
        <v>0</v>
      </c>
      <c r="G47" s="177">
        <f>E47/C47*100</f>
        <v>78.955078125</v>
      </c>
      <c r="H47" s="177">
        <v>0</v>
      </c>
      <c r="I47" s="177">
        <v>0</v>
      </c>
      <c r="J47" s="177">
        <v>0</v>
      </c>
      <c r="K47" s="177">
        <v>0</v>
      </c>
      <c r="L47" s="177">
        <v>0</v>
      </c>
      <c r="M47" s="177">
        <v>0</v>
      </c>
      <c r="N47" s="177">
        <v>0</v>
      </c>
      <c r="O47" s="177">
        <v>0</v>
      </c>
      <c r="P47" s="177">
        <f t="shared" si="9"/>
        <v>0</v>
      </c>
      <c r="Q47" s="177">
        <f t="shared" si="9"/>
        <v>0</v>
      </c>
      <c r="R47" s="177">
        <f t="shared" si="13"/>
        <v>0</v>
      </c>
      <c r="S47" s="177">
        <f t="shared" si="13"/>
        <v>0</v>
      </c>
      <c r="T47" s="177">
        <f t="shared" si="14"/>
        <v>0</v>
      </c>
      <c r="U47" s="177">
        <f t="shared" si="14"/>
        <v>0</v>
      </c>
      <c r="V47" s="177">
        <v>808.5</v>
      </c>
      <c r="W47" s="177">
        <v>808.5</v>
      </c>
      <c r="X47" s="177">
        <v>115.5</v>
      </c>
      <c r="Y47" s="177">
        <v>0</v>
      </c>
      <c r="Z47" s="177">
        <v>0</v>
      </c>
      <c r="AA47" s="177">
        <v>0</v>
      </c>
      <c r="AB47" s="177">
        <v>0</v>
      </c>
      <c r="AC47" s="177">
        <v>0</v>
      </c>
      <c r="AD47" s="177">
        <v>100</v>
      </c>
      <c r="AE47" s="179">
        <v>0</v>
      </c>
      <c r="AF47" s="178"/>
      <c r="AG47" s="171"/>
      <c r="AH47" s="617"/>
    </row>
    <row r="48" spans="1:34" x14ac:dyDescent="0.3">
      <c r="A48" s="174" t="s">
        <v>221</v>
      </c>
      <c r="B48" s="175">
        <f>H48+J48+L48+N48+P48+R48+T48+V48+X48+Z48+AB48+AD48</f>
        <v>0</v>
      </c>
      <c r="C48" s="176">
        <f>H48+J48</f>
        <v>0</v>
      </c>
      <c r="D48" s="175">
        <f>I48</f>
        <v>0</v>
      </c>
      <c r="E48" s="175">
        <v>0</v>
      </c>
      <c r="F48" s="175">
        <v>0</v>
      </c>
      <c r="G48" s="175">
        <v>0</v>
      </c>
      <c r="H48" s="175">
        <v>0</v>
      </c>
      <c r="I48" s="175">
        <v>0</v>
      </c>
      <c r="J48" s="175">
        <v>0</v>
      </c>
      <c r="K48" s="175">
        <v>0</v>
      </c>
      <c r="L48" s="175">
        <v>0</v>
      </c>
      <c r="M48" s="175">
        <v>0</v>
      </c>
      <c r="N48" s="175">
        <v>0</v>
      </c>
      <c r="O48" s="175">
        <v>0</v>
      </c>
      <c r="P48" s="175">
        <f t="shared" si="9"/>
        <v>0</v>
      </c>
      <c r="Q48" s="175">
        <f t="shared" si="9"/>
        <v>0</v>
      </c>
      <c r="R48" s="175">
        <f t="shared" si="13"/>
        <v>0</v>
      </c>
      <c r="S48" s="175">
        <f t="shared" si="13"/>
        <v>0</v>
      </c>
      <c r="T48" s="175">
        <f t="shared" si="14"/>
        <v>0</v>
      </c>
      <c r="U48" s="175">
        <f t="shared" si="14"/>
        <v>0</v>
      </c>
      <c r="V48" s="175">
        <v>0</v>
      </c>
      <c r="W48" s="175">
        <v>0</v>
      </c>
      <c r="X48" s="175">
        <v>0</v>
      </c>
      <c r="Y48" s="175">
        <v>0</v>
      </c>
      <c r="Z48" s="175">
        <v>0</v>
      </c>
      <c r="AA48" s="175">
        <v>0</v>
      </c>
      <c r="AB48" s="175">
        <v>0</v>
      </c>
      <c r="AC48" s="175">
        <v>0</v>
      </c>
      <c r="AD48" s="175">
        <v>0</v>
      </c>
      <c r="AE48" s="175">
        <v>0</v>
      </c>
      <c r="AF48" s="178"/>
      <c r="AG48" s="171"/>
      <c r="AH48" s="617"/>
    </row>
    <row r="49" spans="1:34" s="173" customFormat="1" ht="164.45" customHeight="1" x14ac:dyDescent="0.3">
      <c r="A49" s="180" t="s">
        <v>240</v>
      </c>
      <c r="B49" s="166">
        <f>B50</f>
        <v>0</v>
      </c>
      <c r="C49" s="167">
        <f>C50</f>
        <v>0</v>
      </c>
      <c r="D49" s="167">
        <f>D50</f>
        <v>0</v>
      </c>
      <c r="E49" s="166">
        <f>E50</f>
        <v>0</v>
      </c>
      <c r="F49" s="167">
        <f>F50</f>
        <v>0</v>
      </c>
      <c r="G49" s="168">
        <v>0</v>
      </c>
      <c r="H49" s="166">
        <f t="shared" ref="H49:N49" si="15">H50</f>
        <v>0</v>
      </c>
      <c r="I49" s="166">
        <f t="shared" si="15"/>
        <v>0</v>
      </c>
      <c r="J49" s="166">
        <f t="shared" si="15"/>
        <v>0</v>
      </c>
      <c r="K49" s="168">
        <f t="shared" si="15"/>
        <v>0</v>
      </c>
      <c r="L49" s="166">
        <f t="shared" si="15"/>
        <v>0</v>
      </c>
      <c r="M49" s="168">
        <f t="shared" si="15"/>
        <v>0</v>
      </c>
      <c r="N49" s="166">
        <f t="shared" si="15"/>
        <v>0</v>
      </c>
      <c r="O49" s="168">
        <v>0</v>
      </c>
      <c r="P49" s="166">
        <f>P50</f>
        <v>0</v>
      </c>
      <c r="Q49" s="168">
        <v>0</v>
      </c>
      <c r="R49" s="166">
        <f>R50</f>
        <v>0</v>
      </c>
      <c r="S49" s="168">
        <f>S50</f>
        <v>0</v>
      </c>
      <c r="T49" s="166">
        <f>T50</f>
        <v>0</v>
      </c>
      <c r="U49" s="168">
        <f>U50</f>
        <v>0</v>
      </c>
      <c r="V49" s="166">
        <f>V50</f>
        <v>0</v>
      </c>
      <c r="W49" s="168">
        <v>0</v>
      </c>
      <c r="X49" s="166">
        <f>X50</f>
        <v>0</v>
      </c>
      <c r="Y49" s="168">
        <v>0</v>
      </c>
      <c r="Z49" s="166">
        <f t="shared" ref="Z49" si="16">Z50</f>
        <v>0</v>
      </c>
      <c r="AA49" s="168">
        <v>0</v>
      </c>
      <c r="AB49" s="166">
        <f>AB50</f>
        <v>0</v>
      </c>
      <c r="AC49" s="168">
        <v>0</v>
      </c>
      <c r="AD49" s="166">
        <f>AD50</f>
        <v>0</v>
      </c>
      <c r="AE49" s="169"/>
      <c r="AF49" s="178" t="s">
        <v>647</v>
      </c>
      <c r="AG49" s="171"/>
      <c r="AH49" s="617"/>
    </row>
    <row r="50" spans="1:34" s="173" customFormat="1" x14ac:dyDescent="0.3">
      <c r="A50" s="172" t="s">
        <v>31</v>
      </c>
      <c r="B50" s="166">
        <f t="shared" ref="B50:J50" si="17">B51+B52+B53+B54</f>
        <v>0</v>
      </c>
      <c r="C50" s="166">
        <f t="shared" si="17"/>
        <v>0</v>
      </c>
      <c r="D50" s="166">
        <f t="shared" si="17"/>
        <v>0</v>
      </c>
      <c r="E50" s="166">
        <f>E51+E52+E53+E54</f>
        <v>0</v>
      </c>
      <c r="F50" s="166">
        <f t="shared" si="17"/>
        <v>0</v>
      </c>
      <c r="G50" s="166">
        <f t="shared" si="17"/>
        <v>0</v>
      </c>
      <c r="H50" s="166">
        <f t="shared" si="17"/>
        <v>0</v>
      </c>
      <c r="I50" s="166">
        <f t="shared" si="17"/>
        <v>0</v>
      </c>
      <c r="J50" s="166">
        <f t="shared" si="17"/>
        <v>0</v>
      </c>
      <c r="K50" s="166">
        <f>K51+K52+K53+K54</f>
        <v>0</v>
      </c>
      <c r="L50" s="166">
        <f>L51+L52+L53+L54</f>
        <v>0</v>
      </c>
      <c r="M50" s="166">
        <f>M53</f>
        <v>0</v>
      </c>
      <c r="N50" s="166">
        <f>N51+N52+N53+N54</f>
        <v>0</v>
      </c>
      <c r="O50" s="166">
        <v>0</v>
      </c>
      <c r="P50" s="166">
        <f>P51+P52+P53+P54</f>
        <v>0</v>
      </c>
      <c r="Q50" s="166">
        <v>0</v>
      </c>
      <c r="R50" s="166">
        <f>R51+R52+R53+R54</f>
        <v>0</v>
      </c>
      <c r="S50" s="166">
        <f>S51+S52+S53+S54</f>
        <v>0</v>
      </c>
      <c r="T50" s="166">
        <f>T51+T52+T53+T54</f>
        <v>0</v>
      </c>
      <c r="U50" s="166">
        <f>U51+U52+U53+U54</f>
        <v>0</v>
      </c>
      <c r="V50" s="166">
        <f>V51+V52+V53+V54</f>
        <v>0</v>
      </c>
      <c r="W50" s="166">
        <v>0</v>
      </c>
      <c r="X50" s="166">
        <f>X51+X52+X53+X54</f>
        <v>0</v>
      </c>
      <c r="Y50" s="166">
        <v>0</v>
      </c>
      <c r="Z50" s="166">
        <f t="shared" ref="Z50" si="18">Z51+Z52+Z53+Z54</f>
        <v>0</v>
      </c>
      <c r="AA50" s="166">
        <v>0</v>
      </c>
      <c r="AB50" s="166">
        <f>AB51+AB52+AB53+AB54</f>
        <v>0</v>
      </c>
      <c r="AC50" s="166">
        <v>0</v>
      </c>
      <c r="AD50" s="166">
        <f>AD51+AD52+AD53+AD54</f>
        <v>0</v>
      </c>
      <c r="AE50" s="166"/>
      <c r="AF50" s="743"/>
      <c r="AG50" s="171"/>
      <c r="AH50" s="617"/>
    </row>
    <row r="51" spans="1:34" x14ac:dyDescent="0.3">
      <c r="A51" s="174" t="s">
        <v>169</v>
      </c>
      <c r="B51" s="175">
        <f>H51+J51+L51+N51+P51+R51+T51+V51+X51+Z51+AB51+AD51</f>
        <v>0</v>
      </c>
      <c r="C51" s="175">
        <f>H51+J51</f>
        <v>0</v>
      </c>
      <c r="D51" s="181">
        <f>I51</f>
        <v>0</v>
      </c>
      <c r="E51" s="175">
        <v>0</v>
      </c>
      <c r="F51" s="175">
        <v>0</v>
      </c>
      <c r="G51" s="175">
        <v>0</v>
      </c>
      <c r="H51" s="175">
        <v>0</v>
      </c>
      <c r="I51" s="175">
        <v>0</v>
      </c>
      <c r="J51" s="175">
        <v>0</v>
      </c>
      <c r="K51" s="175">
        <v>0</v>
      </c>
      <c r="L51" s="175">
        <v>0</v>
      </c>
      <c r="M51" s="175">
        <v>0</v>
      </c>
      <c r="N51" s="175">
        <v>0</v>
      </c>
      <c r="O51" s="175">
        <v>0</v>
      </c>
      <c r="P51" s="175">
        <v>0</v>
      </c>
      <c r="Q51" s="175">
        <v>0</v>
      </c>
      <c r="R51" s="175">
        <v>0</v>
      </c>
      <c r="S51" s="175">
        <v>0</v>
      </c>
      <c r="T51" s="175">
        <v>0</v>
      </c>
      <c r="U51" s="175">
        <v>0</v>
      </c>
      <c r="V51" s="175">
        <v>0</v>
      </c>
      <c r="W51" s="175">
        <v>0</v>
      </c>
      <c r="X51" s="175">
        <v>0</v>
      </c>
      <c r="Y51" s="175">
        <v>0</v>
      </c>
      <c r="Z51" s="175">
        <v>0</v>
      </c>
      <c r="AA51" s="175">
        <v>0</v>
      </c>
      <c r="AB51" s="175">
        <v>0</v>
      </c>
      <c r="AC51" s="175">
        <v>0</v>
      </c>
      <c r="AD51" s="175">
        <v>0</v>
      </c>
      <c r="AE51" s="175"/>
      <c r="AF51" s="178"/>
      <c r="AG51" s="171"/>
      <c r="AH51" s="617"/>
    </row>
    <row r="52" spans="1:34" x14ac:dyDescent="0.3">
      <c r="A52" s="174" t="s">
        <v>32</v>
      </c>
      <c r="B52" s="175">
        <f>H52+J52+L52+N52+P52+R52+T52+V52+X52+Z52+AB52+AD52</f>
        <v>0</v>
      </c>
      <c r="C52" s="175">
        <f>H52+J52</f>
        <v>0</v>
      </c>
      <c r="D52" s="181">
        <f>I52</f>
        <v>0</v>
      </c>
      <c r="E52" s="175">
        <v>0</v>
      </c>
      <c r="F52" s="175">
        <v>0</v>
      </c>
      <c r="G52" s="175">
        <v>0</v>
      </c>
      <c r="H52" s="175">
        <v>0</v>
      </c>
      <c r="I52" s="175">
        <v>0</v>
      </c>
      <c r="J52" s="175">
        <v>0</v>
      </c>
      <c r="K52" s="175">
        <v>0</v>
      </c>
      <c r="L52" s="175">
        <v>0</v>
      </c>
      <c r="M52" s="175">
        <v>0</v>
      </c>
      <c r="N52" s="175">
        <v>0</v>
      </c>
      <c r="O52" s="175">
        <v>0</v>
      </c>
      <c r="P52" s="175">
        <v>0</v>
      </c>
      <c r="Q52" s="175">
        <v>0</v>
      </c>
      <c r="R52" s="175">
        <v>0</v>
      </c>
      <c r="S52" s="175">
        <v>0</v>
      </c>
      <c r="T52" s="175">
        <v>0</v>
      </c>
      <c r="U52" s="175">
        <v>0</v>
      </c>
      <c r="V52" s="175">
        <v>0</v>
      </c>
      <c r="W52" s="175">
        <v>0</v>
      </c>
      <c r="X52" s="175">
        <v>0</v>
      </c>
      <c r="Y52" s="175">
        <v>0</v>
      </c>
      <c r="Z52" s="175">
        <v>0</v>
      </c>
      <c r="AA52" s="175">
        <v>0</v>
      </c>
      <c r="AB52" s="175">
        <v>0</v>
      </c>
      <c r="AC52" s="175">
        <v>0</v>
      </c>
      <c r="AD52" s="175">
        <v>0</v>
      </c>
      <c r="AE52" s="175"/>
      <c r="AF52" s="178"/>
      <c r="AG52" s="171"/>
      <c r="AH52" s="617"/>
    </row>
    <row r="53" spans="1:34" x14ac:dyDescent="0.3">
      <c r="A53" s="174" t="s">
        <v>33</v>
      </c>
      <c r="B53" s="175">
        <f>H53+J53+L53+N53+P53+R53+T53+V53+X53+Z53+AB53+AD53</f>
        <v>0</v>
      </c>
      <c r="C53" s="175">
        <f>H53+J53</f>
        <v>0</v>
      </c>
      <c r="D53" s="181">
        <f>I53</f>
        <v>0</v>
      </c>
      <c r="E53" s="177">
        <f>I53</f>
        <v>0</v>
      </c>
      <c r="F53" s="177">
        <v>0</v>
      </c>
      <c r="G53" s="177">
        <v>0</v>
      </c>
      <c r="H53" s="177">
        <v>0</v>
      </c>
      <c r="I53" s="177">
        <v>0</v>
      </c>
      <c r="J53" s="177">
        <v>0</v>
      </c>
      <c r="K53" s="177">
        <v>0</v>
      </c>
      <c r="L53" s="177">
        <v>0</v>
      </c>
      <c r="M53" s="177">
        <v>0</v>
      </c>
      <c r="N53" s="177">
        <v>0</v>
      </c>
      <c r="O53" s="177">
        <v>0</v>
      </c>
      <c r="P53" s="177">
        <v>0</v>
      </c>
      <c r="Q53" s="177">
        <v>0</v>
      </c>
      <c r="R53" s="177">
        <v>0</v>
      </c>
      <c r="S53" s="177">
        <v>0</v>
      </c>
      <c r="T53" s="177">
        <v>0</v>
      </c>
      <c r="U53" s="177">
        <v>0</v>
      </c>
      <c r="V53" s="177">
        <v>0</v>
      </c>
      <c r="W53" s="177">
        <v>0</v>
      </c>
      <c r="X53" s="177">
        <v>0</v>
      </c>
      <c r="Y53" s="177">
        <v>0</v>
      </c>
      <c r="Z53" s="177">
        <v>0</v>
      </c>
      <c r="AA53" s="177">
        <v>0</v>
      </c>
      <c r="AB53" s="177">
        <v>0</v>
      </c>
      <c r="AC53" s="177">
        <v>0</v>
      </c>
      <c r="AD53" s="177">
        <v>0</v>
      </c>
      <c r="AE53" s="179"/>
      <c r="AF53" s="178"/>
      <c r="AG53" s="171"/>
      <c r="AH53" s="617"/>
    </row>
    <row r="54" spans="1:34" x14ac:dyDescent="0.3">
      <c r="A54" s="174" t="s">
        <v>221</v>
      </c>
      <c r="B54" s="175">
        <f>H54+J54+L54+N54+P54+R54+T54+V54+X54+Z54+AB54+AD54</f>
        <v>0</v>
      </c>
      <c r="C54" s="175">
        <f>H54+J54</f>
        <v>0</v>
      </c>
      <c r="D54" s="181">
        <f>I54</f>
        <v>0</v>
      </c>
      <c r="E54" s="175">
        <v>0</v>
      </c>
      <c r="F54" s="175">
        <v>0</v>
      </c>
      <c r="G54" s="175">
        <v>0</v>
      </c>
      <c r="H54" s="175">
        <v>0</v>
      </c>
      <c r="I54" s="175">
        <v>0</v>
      </c>
      <c r="J54" s="175">
        <v>0</v>
      </c>
      <c r="K54" s="175">
        <v>0</v>
      </c>
      <c r="L54" s="175">
        <v>0</v>
      </c>
      <c r="M54" s="175">
        <v>0</v>
      </c>
      <c r="N54" s="175">
        <v>0</v>
      </c>
      <c r="O54" s="175">
        <v>0</v>
      </c>
      <c r="P54" s="175">
        <v>0</v>
      </c>
      <c r="Q54" s="175">
        <v>0</v>
      </c>
      <c r="R54" s="175">
        <v>0</v>
      </c>
      <c r="S54" s="175">
        <v>0</v>
      </c>
      <c r="T54" s="175">
        <v>0</v>
      </c>
      <c r="U54" s="175">
        <v>0</v>
      </c>
      <c r="V54" s="175">
        <v>0</v>
      </c>
      <c r="W54" s="175">
        <v>0</v>
      </c>
      <c r="X54" s="175">
        <v>0</v>
      </c>
      <c r="Y54" s="175">
        <v>0</v>
      </c>
      <c r="Z54" s="175">
        <v>0</v>
      </c>
      <c r="AA54" s="175">
        <v>0</v>
      </c>
      <c r="AB54" s="175">
        <v>0</v>
      </c>
      <c r="AC54" s="175">
        <v>0</v>
      </c>
      <c r="AD54" s="175">
        <v>0</v>
      </c>
      <c r="AE54" s="175"/>
      <c r="AF54" s="178"/>
      <c r="AG54" s="171"/>
      <c r="AH54" s="617"/>
    </row>
    <row r="55" spans="1:34" s="164" customFormat="1" x14ac:dyDescent="0.3">
      <c r="A55" s="1172" t="s">
        <v>241</v>
      </c>
      <c r="B55" s="1173"/>
      <c r="C55" s="1173"/>
      <c r="D55" s="1173"/>
      <c r="E55" s="1173"/>
      <c r="F55" s="1173"/>
      <c r="G55" s="1173"/>
      <c r="H55" s="1173"/>
      <c r="I55" s="1173"/>
      <c r="J55" s="1173"/>
      <c r="K55" s="1173"/>
      <c r="L55" s="1173"/>
      <c r="M55" s="1173"/>
      <c r="N55" s="1173"/>
      <c r="O55" s="1173"/>
      <c r="P55" s="1173"/>
      <c r="Q55" s="1173"/>
      <c r="R55" s="1173"/>
      <c r="S55" s="1173"/>
      <c r="T55" s="1173"/>
      <c r="U55" s="1173"/>
      <c r="V55" s="1173"/>
      <c r="W55" s="1173"/>
      <c r="X55" s="1173"/>
      <c r="Y55" s="1173"/>
      <c r="Z55" s="1173"/>
      <c r="AA55" s="1173"/>
      <c r="AB55" s="1173"/>
      <c r="AC55" s="1173"/>
      <c r="AD55" s="1173"/>
      <c r="AE55" s="1173"/>
      <c r="AF55" s="1174"/>
      <c r="AG55" s="171"/>
      <c r="AH55" s="669"/>
    </row>
    <row r="56" spans="1:34" s="164" customFormat="1" x14ac:dyDescent="0.3">
      <c r="A56" s="1172" t="s">
        <v>54</v>
      </c>
      <c r="B56" s="1173"/>
      <c r="C56" s="1173"/>
      <c r="D56" s="1173"/>
      <c r="E56" s="1173"/>
      <c r="F56" s="1173"/>
      <c r="G56" s="1173"/>
      <c r="H56" s="1173"/>
      <c r="I56" s="1173"/>
      <c r="J56" s="1173"/>
      <c r="K56" s="1173"/>
      <c r="L56" s="1173"/>
      <c r="M56" s="1173"/>
      <c r="N56" s="1173"/>
      <c r="O56" s="1173"/>
      <c r="P56" s="1173"/>
      <c r="Q56" s="1173"/>
      <c r="R56" s="1173"/>
      <c r="S56" s="1173"/>
      <c r="T56" s="1173"/>
      <c r="U56" s="1173"/>
      <c r="V56" s="1173"/>
      <c r="W56" s="1173"/>
      <c r="X56" s="1173"/>
      <c r="Y56" s="1173"/>
      <c r="Z56" s="1173"/>
      <c r="AA56" s="1173"/>
      <c r="AB56" s="1173"/>
      <c r="AC56" s="1173"/>
      <c r="AD56" s="1173"/>
      <c r="AE56" s="1173"/>
      <c r="AF56" s="1174"/>
      <c r="AG56" s="171"/>
      <c r="AH56" s="669"/>
    </row>
    <row r="57" spans="1:34" s="173" customFormat="1" ht="56.25" x14ac:dyDescent="0.3">
      <c r="A57" s="95" t="s">
        <v>242</v>
      </c>
      <c r="B57" s="166">
        <f>B58</f>
        <v>18782.605250000001</v>
      </c>
      <c r="C57" s="166">
        <f>C58</f>
        <v>18782.605250000001</v>
      </c>
      <c r="D57" s="166">
        <f>D58</f>
        <v>17837.696</v>
      </c>
      <c r="E57" s="166">
        <f>E58</f>
        <v>17837.696</v>
      </c>
      <c r="F57" s="168">
        <f t="shared" ref="F57:AD57" si="19">F58</f>
        <v>94.969232236832539</v>
      </c>
      <c r="G57" s="168">
        <f t="shared" si="19"/>
        <v>94.969232236832539</v>
      </c>
      <c r="H57" s="166">
        <f t="shared" si="19"/>
        <v>1291.4488099999999</v>
      </c>
      <c r="I57" s="166">
        <f t="shared" si="19"/>
        <v>550.79</v>
      </c>
      <c r="J57" s="166">
        <f t="shared" si="19"/>
        <v>1460.04962</v>
      </c>
      <c r="K57" s="166">
        <f>K58</f>
        <v>1213.0620000000001</v>
      </c>
      <c r="L57" s="166">
        <f t="shared" si="19"/>
        <v>1538.2255400000001</v>
      </c>
      <c r="M57" s="166">
        <f>M58</f>
        <v>1400.625</v>
      </c>
      <c r="N57" s="166">
        <f t="shared" si="19"/>
        <v>1520</v>
      </c>
      <c r="O57" s="166">
        <f>O58</f>
        <v>1520.0149999999999</v>
      </c>
      <c r="P57" s="166">
        <f t="shared" si="19"/>
        <v>1453.73128</v>
      </c>
      <c r="Q57" s="166">
        <f>Q58</f>
        <v>1651.0249999999999</v>
      </c>
      <c r="R57" s="166">
        <f t="shared" si="19"/>
        <v>1780.222</v>
      </c>
      <c r="S57" s="166">
        <f>S58</f>
        <v>1579</v>
      </c>
      <c r="T57" s="166">
        <f t="shared" si="19"/>
        <v>1948.2619999999999</v>
      </c>
      <c r="U57" s="166">
        <f>U58</f>
        <v>1615.96</v>
      </c>
      <c r="V57" s="166">
        <f t="shared" si="19"/>
        <v>1605.2370000000001</v>
      </c>
      <c r="W57" s="166">
        <f>W58</f>
        <v>1623.67</v>
      </c>
      <c r="X57" s="166">
        <f t="shared" si="19"/>
        <v>1605.2370000000001</v>
      </c>
      <c r="Y57" s="166">
        <f>Y58</f>
        <v>1111.575</v>
      </c>
      <c r="Z57" s="166">
        <f t="shared" si="19"/>
        <v>1606.6120000000001</v>
      </c>
      <c r="AA57" s="166">
        <f>AA58</f>
        <v>1373.2749999999999</v>
      </c>
      <c r="AB57" s="166">
        <f t="shared" si="19"/>
        <v>1445.393</v>
      </c>
      <c r="AC57" s="166">
        <f>AC58</f>
        <v>1571.575</v>
      </c>
      <c r="AD57" s="166">
        <f t="shared" si="19"/>
        <v>1528.1869999999999</v>
      </c>
      <c r="AE57" s="166">
        <f>AE58</f>
        <v>2627.1239999999998</v>
      </c>
      <c r="AF57" s="743" t="s">
        <v>683</v>
      </c>
      <c r="AG57" s="171"/>
      <c r="AH57" s="617"/>
    </row>
    <row r="58" spans="1:34" s="173" customFormat="1" x14ac:dyDescent="0.3">
      <c r="A58" s="183" t="s">
        <v>31</v>
      </c>
      <c r="B58" s="166">
        <f>H58+J58+L58+N58+P58+R58+T58+V58+X58+Z58+AB58+AD58</f>
        <v>18782.605250000001</v>
      </c>
      <c r="C58" s="166">
        <f>H58+J58+L58+N58+P58+R58+T58+V58+X58+Z58+AB58+AD58</f>
        <v>18782.605250000001</v>
      </c>
      <c r="D58" s="166">
        <f>E58</f>
        <v>17837.696</v>
      </c>
      <c r="E58" s="166">
        <f>E67+E73</f>
        <v>17837.696</v>
      </c>
      <c r="F58" s="166">
        <f>F59+F60+F61+F62</f>
        <v>94.969232236832539</v>
      </c>
      <c r="G58" s="166">
        <f>E58/C58*100</f>
        <v>94.969232236832539</v>
      </c>
      <c r="H58" s="166">
        <f>H59+H60+H61+H62</f>
        <v>1291.4488099999999</v>
      </c>
      <c r="I58" s="166">
        <f>I59+I60+I61+I62</f>
        <v>550.79</v>
      </c>
      <c r="J58" s="166">
        <f t="shared" ref="J58:AB58" si="20">J59+J60+J61+J62</f>
        <v>1460.04962</v>
      </c>
      <c r="K58" s="166">
        <f>K59+K60+K61+K62</f>
        <v>1213.0620000000001</v>
      </c>
      <c r="L58" s="166">
        <f t="shared" si="20"/>
        <v>1538.2255400000001</v>
      </c>
      <c r="M58" s="166">
        <f>M61</f>
        <v>1400.625</v>
      </c>
      <c r="N58" s="166">
        <f t="shared" si="20"/>
        <v>1520</v>
      </c>
      <c r="O58" s="166">
        <f>O61</f>
        <v>1520.0149999999999</v>
      </c>
      <c r="P58" s="166">
        <f t="shared" si="20"/>
        <v>1453.73128</v>
      </c>
      <c r="Q58" s="166">
        <f>Q61</f>
        <v>1651.0249999999999</v>
      </c>
      <c r="R58" s="166">
        <f t="shared" si="20"/>
        <v>1780.222</v>
      </c>
      <c r="S58" s="166">
        <f>S61</f>
        <v>1579</v>
      </c>
      <c r="T58" s="166">
        <f t="shared" si="20"/>
        <v>1948.2619999999999</v>
      </c>
      <c r="U58" s="166">
        <f>U61</f>
        <v>1615.96</v>
      </c>
      <c r="V58" s="166">
        <f t="shared" si="20"/>
        <v>1605.2370000000001</v>
      </c>
      <c r="W58" s="166">
        <f>W61</f>
        <v>1623.67</v>
      </c>
      <c r="X58" s="166">
        <f t="shared" si="20"/>
        <v>1605.2370000000001</v>
      </c>
      <c r="Y58" s="166">
        <f>Y61</f>
        <v>1111.575</v>
      </c>
      <c r="Z58" s="166">
        <f t="shared" si="20"/>
        <v>1606.6120000000001</v>
      </c>
      <c r="AA58" s="166">
        <f>AA61</f>
        <v>1373.2749999999999</v>
      </c>
      <c r="AB58" s="166">
        <f t="shared" si="20"/>
        <v>1445.393</v>
      </c>
      <c r="AC58" s="166">
        <f>AC61</f>
        <v>1571.575</v>
      </c>
      <c r="AD58" s="166">
        <f>AD59+AD60+AD61+AD62</f>
        <v>1528.1869999999999</v>
      </c>
      <c r="AE58" s="166">
        <f>AE61</f>
        <v>2627.1239999999998</v>
      </c>
      <c r="AF58" s="743"/>
      <c r="AG58" s="171"/>
      <c r="AH58" s="617"/>
    </row>
    <row r="59" spans="1:34" x14ac:dyDescent="0.3">
      <c r="A59" s="174" t="s">
        <v>169</v>
      </c>
      <c r="B59" s="175">
        <f>H59+J59+L59+N59+P59+R59+T59+V59+X59+Z59+AB59+AD59</f>
        <v>0</v>
      </c>
      <c r="C59" s="175">
        <f>H59+J59</f>
        <v>0</v>
      </c>
      <c r="D59" s="175">
        <f>E59</f>
        <v>0</v>
      </c>
      <c r="E59" s="175">
        <v>0</v>
      </c>
      <c r="F59" s="175">
        <v>0</v>
      </c>
      <c r="G59" s="175">
        <v>0</v>
      </c>
      <c r="H59" s="175">
        <f>H65+H71</f>
        <v>0</v>
      </c>
      <c r="I59" s="175">
        <f t="shared" ref="I59:AE62" si="21">I65+I71</f>
        <v>0</v>
      </c>
      <c r="J59" s="175">
        <f t="shared" si="21"/>
        <v>0</v>
      </c>
      <c r="K59" s="175">
        <f t="shared" si="21"/>
        <v>0</v>
      </c>
      <c r="L59" s="175">
        <f t="shared" si="21"/>
        <v>0</v>
      </c>
      <c r="M59" s="175">
        <f t="shared" si="21"/>
        <v>0</v>
      </c>
      <c r="N59" s="175">
        <f t="shared" si="21"/>
        <v>0</v>
      </c>
      <c r="O59" s="175">
        <f>O65+O71</f>
        <v>0</v>
      </c>
      <c r="P59" s="175">
        <f t="shared" si="21"/>
        <v>0</v>
      </c>
      <c r="Q59" s="175">
        <f t="shared" si="21"/>
        <v>0</v>
      </c>
      <c r="R59" s="175">
        <f t="shared" si="21"/>
        <v>0</v>
      </c>
      <c r="S59" s="175">
        <f t="shared" si="21"/>
        <v>0</v>
      </c>
      <c r="T59" s="175">
        <f t="shared" si="21"/>
        <v>0</v>
      </c>
      <c r="U59" s="175">
        <f t="shared" si="21"/>
        <v>0</v>
      </c>
      <c r="V59" s="175">
        <f t="shared" si="21"/>
        <v>0</v>
      </c>
      <c r="W59" s="175">
        <f t="shared" si="21"/>
        <v>0</v>
      </c>
      <c r="X59" s="175">
        <f t="shared" si="21"/>
        <v>0</v>
      </c>
      <c r="Y59" s="175">
        <f t="shared" si="21"/>
        <v>0</v>
      </c>
      <c r="Z59" s="175">
        <f t="shared" si="21"/>
        <v>0</v>
      </c>
      <c r="AA59" s="175">
        <f t="shared" si="21"/>
        <v>0</v>
      </c>
      <c r="AB59" s="175">
        <f t="shared" si="21"/>
        <v>0</v>
      </c>
      <c r="AC59" s="175">
        <f t="shared" si="21"/>
        <v>0</v>
      </c>
      <c r="AD59" s="175">
        <f t="shared" si="21"/>
        <v>0</v>
      </c>
      <c r="AE59" s="175">
        <f t="shared" si="21"/>
        <v>0</v>
      </c>
      <c r="AF59" s="185"/>
      <c r="AG59" s="171"/>
      <c r="AH59" s="617"/>
    </row>
    <row r="60" spans="1:34" x14ac:dyDescent="0.3">
      <c r="A60" s="174" t="s">
        <v>32</v>
      </c>
      <c r="B60" s="175">
        <f>H60+J60+L60+N60+P60+R60+T60+V60+X60+Z60+AB60+AD60</f>
        <v>0</v>
      </c>
      <c r="C60" s="175">
        <f>H60+J60</f>
        <v>0</v>
      </c>
      <c r="D60" s="175">
        <f>E60</f>
        <v>0</v>
      </c>
      <c r="E60" s="175">
        <v>0</v>
      </c>
      <c r="F60" s="175">
        <v>0</v>
      </c>
      <c r="G60" s="175">
        <v>0</v>
      </c>
      <c r="H60" s="175">
        <f>H66+H72</f>
        <v>0</v>
      </c>
      <c r="I60" s="175">
        <f t="shared" ref="I60:N60" si="22">I66+I72</f>
        <v>0</v>
      </c>
      <c r="J60" s="175">
        <f t="shared" si="22"/>
        <v>0</v>
      </c>
      <c r="K60" s="175">
        <f t="shared" si="22"/>
        <v>0</v>
      </c>
      <c r="L60" s="175">
        <f t="shared" si="22"/>
        <v>0</v>
      </c>
      <c r="M60" s="175">
        <f t="shared" si="22"/>
        <v>0</v>
      </c>
      <c r="N60" s="175">
        <f t="shared" si="22"/>
        <v>0</v>
      </c>
      <c r="O60" s="175">
        <f>O66+O72</f>
        <v>0</v>
      </c>
      <c r="P60" s="175">
        <f t="shared" ref="P60:W60" si="23">P66+P72</f>
        <v>0</v>
      </c>
      <c r="Q60" s="175">
        <f t="shared" si="23"/>
        <v>0</v>
      </c>
      <c r="R60" s="175">
        <f t="shared" si="23"/>
        <v>0</v>
      </c>
      <c r="S60" s="175">
        <f t="shared" si="23"/>
        <v>0</v>
      </c>
      <c r="T60" s="175">
        <f t="shared" si="23"/>
        <v>0</v>
      </c>
      <c r="U60" s="175">
        <f t="shared" si="23"/>
        <v>0</v>
      </c>
      <c r="V60" s="175">
        <f t="shared" si="23"/>
        <v>0</v>
      </c>
      <c r="W60" s="175">
        <f t="shared" si="23"/>
        <v>0</v>
      </c>
      <c r="X60" s="175">
        <f t="shared" si="21"/>
        <v>0</v>
      </c>
      <c r="Y60" s="175">
        <f t="shared" si="21"/>
        <v>0</v>
      </c>
      <c r="Z60" s="175">
        <f t="shared" si="21"/>
        <v>0</v>
      </c>
      <c r="AA60" s="175">
        <f t="shared" si="21"/>
        <v>0</v>
      </c>
      <c r="AB60" s="175">
        <f t="shared" si="21"/>
        <v>0</v>
      </c>
      <c r="AC60" s="175">
        <f t="shared" si="21"/>
        <v>0</v>
      </c>
      <c r="AD60" s="175">
        <f t="shared" si="21"/>
        <v>0</v>
      </c>
      <c r="AE60" s="175">
        <f t="shared" si="21"/>
        <v>0</v>
      </c>
      <c r="AF60" s="185"/>
      <c r="AG60" s="171"/>
      <c r="AH60" s="617"/>
    </row>
    <row r="61" spans="1:34" x14ac:dyDescent="0.3">
      <c r="A61" s="174" t="s">
        <v>33</v>
      </c>
      <c r="B61" s="175">
        <f>H61+J61+L61+N61+P61+R61+T61+V61+X61+Z61+AB61+AD61</f>
        <v>18782.605250000001</v>
      </c>
      <c r="C61" s="175">
        <f>H61+J61+L61+N61+P61+R61+T61+V61+X61+Z61+AB61+AD61</f>
        <v>18782.605250000001</v>
      </c>
      <c r="D61" s="175">
        <f>E61</f>
        <v>17837.696</v>
      </c>
      <c r="E61" s="175">
        <f>I61+K61+M61+O61+Q61+S61+U61+W61+Y61+AA61+AC61+AE61</f>
        <v>17837.696</v>
      </c>
      <c r="F61" s="175">
        <f>E61/B61*100</f>
        <v>94.969232236832539</v>
      </c>
      <c r="G61" s="175">
        <f>E61/C61*100</f>
        <v>94.969232236832539</v>
      </c>
      <c r="H61" s="175">
        <f>H67+H73</f>
        <v>1291.4488099999999</v>
      </c>
      <c r="I61" s="175">
        <f t="shared" si="21"/>
        <v>550.79</v>
      </c>
      <c r="J61" s="175">
        <f t="shared" si="21"/>
        <v>1460.04962</v>
      </c>
      <c r="K61" s="175">
        <f t="shared" si="21"/>
        <v>1213.0620000000001</v>
      </c>
      <c r="L61" s="175">
        <f t="shared" si="21"/>
        <v>1538.2255400000001</v>
      </c>
      <c r="M61" s="175">
        <f t="shared" si="21"/>
        <v>1400.625</v>
      </c>
      <c r="N61" s="175">
        <f t="shared" si="21"/>
        <v>1520</v>
      </c>
      <c r="O61" s="175">
        <f t="shared" si="21"/>
        <v>1520.0149999999999</v>
      </c>
      <c r="P61" s="175">
        <f t="shared" si="21"/>
        <v>1453.73128</v>
      </c>
      <c r="Q61" s="175">
        <f t="shared" si="21"/>
        <v>1651.0249999999999</v>
      </c>
      <c r="R61" s="175">
        <f t="shared" si="21"/>
        <v>1780.222</v>
      </c>
      <c r="S61" s="175">
        <f t="shared" si="21"/>
        <v>1579</v>
      </c>
      <c r="T61" s="175">
        <f t="shared" si="21"/>
        <v>1948.2619999999999</v>
      </c>
      <c r="U61" s="175">
        <f t="shared" si="21"/>
        <v>1615.96</v>
      </c>
      <c r="V61" s="175">
        <f t="shared" si="21"/>
        <v>1605.2370000000001</v>
      </c>
      <c r="W61" s="175">
        <f t="shared" si="21"/>
        <v>1623.67</v>
      </c>
      <c r="X61" s="175">
        <f t="shared" si="21"/>
        <v>1605.2370000000001</v>
      </c>
      <c r="Y61" s="175">
        <f t="shared" si="21"/>
        <v>1111.575</v>
      </c>
      <c r="Z61" s="175">
        <f t="shared" si="21"/>
        <v>1606.6120000000001</v>
      </c>
      <c r="AA61" s="175">
        <f t="shared" si="21"/>
        <v>1373.2749999999999</v>
      </c>
      <c r="AB61" s="175">
        <f t="shared" si="21"/>
        <v>1445.393</v>
      </c>
      <c r="AC61" s="175">
        <f t="shared" si="21"/>
        <v>1571.575</v>
      </c>
      <c r="AD61" s="175">
        <f>AD67+AD73</f>
        <v>1528.1869999999999</v>
      </c>
      <c r="AE61" s="175">
        <f t="shared" si="21"/>
        <v>2627.1239999999998</v>
      </c>
      <c r="AF61" s="185"/>
      <c r="AG61" s="171"/>
      <c r="AH61" s="617"/>
    </row>
    <row r="62" spans="1:34" x14ac:dyDescent="0.3">
      <c r="A62" s="174" t="s">
        <v>221</v>
      </c>
      <c r="B62" s="175">
        <f>H62+J62+L62+N62+P62+R62+T62+V62+X62+Z62+AB62+AD62</f>
        <v>0</v>
      </c>
      <c r="C62" s="175">
        <f>H62+J62</f>
        <v>0</v>
      </c>
      <c r="D62" s="175">
        <f>E62</f>
        <v>0</v>
      </c>
      <c r="E62" s="175">
        <v>0</v>
      </c>
      <c r="F62" s="175">
        <v>0</v>
      </c>
      <c r="G62" s="175">
        <v>0</v>
      </c>
      <c r="H62" s="175">
        <f>H68+H74</f>
        <v>0</v>
      </c>
      <c r="I62" s="175">
        <f t="shared" si="21"/>
        <v>0</v>
      </c>
      <c r="J62" s="175">
        <f t="shared" si="21"/>
        <v>0</v>
      </c>
      <c r="K62" s="175">
        <f t="shared" si="21"/>
        <v>0</v>
      </c>
      <c r="L62" s="175">
        <f t="shared" si="21"/>
        <v>0</v>
      </c>
      <c r="M62" s="175">
        <f t="shared" si="21"/>
        <v>0</v>
      </c>
      <c r="N62" s="175">
        <f t="shared" si="21"/>
        <v>0</v>
      </c>
      <c r="O62" s="175">
        <f t="shared" si="21"/>
        <v>0</v>
      </c>
      <c r="P62" s="175">
        <f t="shared" si="21"/>
        <v>0</v>
      </c>
      <c r="Q62" s="175">
        <f t="shared" si="21"/>
        <v>0</v>
      </c>
      <c r="R62" s="175">
        <f t="shared" si="21"/>
        <v>0</v>
      </c>
      <c r="S62" s="175">
        <f t="shared" si="21"/>
        <v>0</v>
      </c>
      <c r="T62" s="175">
        <f t="shared" si="21"/>
        <v>0</v>
      </c>
      <c r="U62" s="175">
        <f t="shared" si="21"/>
        <v>0</v>
      </c>
      <c r="V62" s="175">
        <f t="shared" si="21"/>
        <v>0</v>
      </c>
      <c r="W62" s="175">
        <f t="shared" si="21"/>
        <v>0</v>
      </c>
      <c r="X62" s="175">
        <f t="shared" si="21"/>
        <v>0</v>
      </c>
      <c r="Y62" s="175">
        <f t="shared" si="21"/>
        <v>0</v>
      </c>
      <c r="Z62" s="175">
        <f t="shared" si="21"/>
        <v>0</v>
      </c>
      <c r="AA62" s="175">
        <f t="shared" si="21"/>
        <v>0</v>
      </c>
      <c r="AB62" s="175">
        <f t="shared" si="21"/>
        <v>0</v>
      </c>
      <c r="AC62" s="175">
        <f t="shared" si="21"/>
        <v>0</v>
      </c>
      <c r="AD62" s="175">
        <f t="shared" si="21"/>
        <v>0</v>
      </c>
      <c r="AE62" s="175">
        <f t="shared" si="21"/>
        <v>0</v>
      </c>
      <c r="AF62" s="185"/>
      <c r="AG62" s="171"/>
      <c r="AH62" s="617"/>
    </row>
    <row r="63" spans="1:34" ht="61.15" customHeight="1" x14ac:dyDescent="0.3">
      <c r="A63" s="186" t="s">
        <v>243</v>
      </c>
      <c r="B63" s="187"/>
      <c r="C63" s="187"/>
      <c r="D63" s="187"/>
      <c r="E63" s="188"/>
      <c r="F63" s="189"/>
      <c r="G63" s="189"/>
      <c r="H63" s="187"/>
      <c r="I63" s="188"/>
      <c r="J63" s="187"/>
      <c r="K63" s="188"/>
      <c r="L63" s="187"/>
      <c r="M63" s="188"/>
      <c r="N63" s="187"/>
      <c r="O63" s="188"/>
      <c r="P63" s="187"/>
      <c r="Q63" s="188"/>
      <c r="R63" s="187"/>
      <c r="S63" s="188"/>
      <c r="T63" s="187"/>
      <c r="U63" s="188"/>
      <c r="V63" s="187"/>
      <c r="W63" s="188"/>
      <c r="X63" s="187"/>
      <c r="Y63" s="188"/>
      <c r="Z63" s="187"/>
      <c r="AA63" s="188"/>
      <c r="AB63" s="187"/>
      <c r="AC63" s="188"/>
      <c r="AD63" s="187"/>
      <c r="AE63" s="190"/>
      <c r="AF63" s="490" t="s">
        <v>684</v>
      </c>
      <c r="AG63" s="171"/>
      <c r="AH63" s="617"/>
    </row>
    <row r="64" spans="1:34" s="687" customFormat="1" x14ac:dyDescent="0.3">
      <c r="A64" s="686" t="s">
        <v>31</v>
      </c>
      <c r="B64" s="637">
        <f>B65+B66+B67+B68</f>
        <v>1926.5992500000002</v>
      </c>
      <c r="C64" s="637">
        <f>C65+C66+C67+C68</f>
        <v>1926.5992500000002</v>
      </c>
      <c r="D64" s="637">
        <f>D65+D66+D67+D68</f>
        <v>1661.5559999999998</v>
      </c>
      <c r="E64" s="637">
        <f>E65+E66+E67+E68</f>
        <v>1661.5559999999998</v>
      </c>
      <c r="F64" s="637">
        <f>E64/B64*100</f>
        <v>86.242948553000815</v>
      </c>
      <c r="G64" s="637">
        <f>E64/C64*100</f>
        <v>86.242948553000815</v>
      </c>
      <c r="H64" s="637">
        <f>H65+H66+H67+H68</f>
        <v>70.140249999999995</v>
      </c>
      <c r="I64" s="637">
        <f>I67</f>
        <v>70.14</v>
      </c>
      <c r="J64" s="637">
        <f>J65+J66+J67+J68</f>
        <v>279.5</v>
      </c>
      <c r="K64" s="637">
        <f>K67</f>
        <v>82.662000000000006</v>
      </c>
      <c r="L64" s="637">
        <f>L65+L66+L67+L68</f>
        <v>144.19999999999999</v>
      </c>
      <c r="M64" s="637">
        <f>M67</f>
        <v>144.67500000000001</v>
      </c>
      <c r="N64" s="637">
        <f>N65+N66+N67+N68</f>
        <v>144.19999999999999</v>
      </c>
      <c r="O64" s="637">
        <f>O67</f>
        <v>144.67500000000001</v>
      </c>
      <c r="P64" s="637">
        <f>P65+P66+P67+P68</f>
        <v>144.19999999999999</v>
      </c>
      <c r="Q64" s="637">
        <f>Q67</f>
        <v>239.92500000000001</v>
      </c>
      <c r="R64" s="637">
        <f>R65+R66+R67+R68</f>
        <v>144.19999999999999</v>
      </c>
      <c r="S64" s="637">
        <f>S67</f>
        <v>100</v>
      </c>
      <c r="T64" s="637">
        <f>T65+T66+T67+T68</f>
        <v>144.19999999999999</v>
      </c>
      <c r="U64" s="637">
        <f>U67</f>
        <v>82.66</v>
      </c>
      <c r="V64" s="637">
        <f>V65+V66+V67+V68</f>
        <v>144.19999999999999</v>
      </c>
      <c r="W64" s="637">
        <f>W67</f>
        <v>144.66999999999999</v>
      </c>
      <c r="X64" s="637">
        <f>X65+X66+X67+X68</f>
        <v>144.19999999999999</v>
      </c>
      <c r="Y64" s="637">
        <f>Y67</f>
        <v>144.67500000000001</v>
      </c>
      <c r="Z64" s="637">
        <f>Z65+Z66+Z67+Z68</f>
        <v>144.19999999999999</v>
      </c>
      <c r="AA64" s="637">
        <f>AA67</f>
        <v>144.67500000000001</v>
      </c>
      <c r="AB64" s="637">
        <f>AB65+AB66+AB67+AB68</f>
        <v>144.19999999999999</v>
      </c>
      <c r="AC64" s="637">
        <f>AC67</f>
        <v>144.67500000000001</v>
      </c>
      <c r="AD64" s="637">
        <f>AD67</f>
        <v>279.15899999999999</v>
      </c>
      <c r="AE64" s="637">
        <f>AE67</f>
        <v>218.124</v>
      </c>
      <c r="AF64" s="682"/>
      <c r="AG64" s="683"/>
      <c r="AH64" s="684"/>
    </row>
    <row r="65" spans="1:35" x14ac:dyDescent="0.3">
      <c r="A65" s="195" t="s">
        <v>169</v>
      </c>
      <c r="B65" s="187">
        <f>H65+J65+L65+N65+P65+R65+T65+V65+X65+Z65+AB65+AD65</f>
        <v>0</v>
      </c>
      <c r="C65" s="187">
        <f>H65+J65</f>
        <v>0</v>
      </c>
      <c r="D65" s="187">
        <f t="shared" ref="D65:D82" si="24">E65</f>
        <v>0</v>
      </c>
      <c r="E65" s="187">
        <v>0</v>
      </c>
      <c r="F65" s="189">
        <v>0</v>
      </c>
      <c r="G65" s="189">
        <v>0</v>
      </c>
      <c r="H65" s="187">
        <v>0</v>
      </c>
      <c r="I65" s="187">
        <v>0</v>
      </c>
      <c r="J65" s="187">
        <v>0</v>
      </c>
      <c r="K65" s="187">
        <v>0</v>
      </c>
      <c r="L65" s="187">
        <v>0</v>
      </c>
      <c r="M65" s="187">
        <v>0</v>
      </c>
      <c r="N65" s="187">
        <v>0</v>
      </c>
      <c r="O65" s="187">
        <v>0</v>
      </c>
      <c r="P65" s="187">
        <v>0</v>
      </c>
      <c r="Q65" s="187">
        <v>0</v>
      </c>
      <c r="R65" s="187">
        <v>0</v>
      </c>
      <c r="S65" s="187">
        <v>0</v>
      </c>
      <c r="T65" s="187">
        <v>0</v>
      </c>
      <c r="U65" s="187">
        <v>0</v>
      </c>
      <c r="V65" s="187">
        <v>0</v>
      </c>
      <c r="W65" s="187">
        <v>0</v>
      </c>
      <c r="X65" s="187">
        <v>0</v>
      </c>
      <c r="Y65" s="187">
        <v>0</v>
      </c>
      <c r="Z65" s="187">
        <v>0</v>
      </c>
      <c r="AA65" s="187">
        <v>0</v>
      </c>
      <c r="AB65" s="187">
        <v>0</v>
      </c>
      <c r="AC65" s="187">
        <v>0</v>
      </c>
      <c r="AD65" s="187">
        <v>0</v>
      </c>
      <c r="AE65" s="187">
        <v>0</v>
      </c>
      <c r="AF65" s="191"/>
      <c r="AG65" s="171"/>
      <c r="AH65" s="617"/>
    </row>
    <row r="66" spans="1:35" x14ac:dyDescent="0.3">
      <c r="A66" s="195" t="s">
        <v>32</v>
      </c>
      <c r="B66" s="187">
        <f>H66+J66+L66+N66+P66+R66+T66+V66+X66+Z66+AB66+AD66</f>
        <v>0</v>
      </c>
      <c r="C66" s="187">
        <f>H66+J66</f>
        <v>0</v>
      </c>
      <c r="D66" s="187">
        <f t="shared" si="24"/>
        <v>0</v>
      </c>
      <c r="E66" s="187">
        <v>0</v>
      </c>
      <c r="F66" s="189">
        <v>0</v>
      </c>
      <c r="G66" s="189">
        <v>0</v>
      </c>
      <c r="H66" s="187">
        <v>0</v>
      </c>
      <c r="I66" s="187">
        <v>0</v>
      </c>
      <c r="J66" s="187">
        <v>0</v>
      </c>
      <c r="K66" s="187">
        <v>0</v>
      </c>
      <c r="L66" s="187">
        <v>0</v>
      </c>
      <c r="M66" s="187">
        <v>0</v>
      </c>
      <c r="N66" s="187">
        <v>0</v>
      </c>
      <c r="O66" s="187">
        <v>0</v>
      </c>
      <c r="P66" s="187">
        <v>0</v>
      </c>
      <c r="Q66" s="187">
        <v>0</v>
      </c>
      <c r="R66" s="187">
        <v>0</v>
      </c>
      <c r="S66" s="187">
        <v>0</v>
      </c>
      <c r="T66" s="187">
        <v>0</v>
      </c>
      <c r="U66" s="187">
        <v>0</v>
      </c>
      <c r="V66" s="187">
        <v>0</v>
      </c>
      <c r="W66" s="187">
        <v>0</v>
      </c>
      <c r="X66" s="187">
        <v>0</v>
      </c>
      <c r="Y66" s="187">
        <v>0</v>
      </c>
      <c r="Z66" s="187">
        <v>0</v>
      </c>
      <c r="AA66" s="187">
        <v>0</v>
      </c>
      <c r="AB66" s="187">
        <v>0</v>
      </c>
      <c r="AC66" s="187">
        <v>0</v>
      </c>
      <c r="AD66" s="187">
        <v>0</v>
      </c>
      <c r="AE66" s="187">
        <v>0</v>
      </c>
      <c r="AF66" s="191"/>
      <c r="AG66" s="171"/>
      <c r="AH66" s="617"/>
    </row>
    <row r="67" spans="1:35" s="615" customFormat="1" x14ac:dyDescent="0.3">
      <c r="A67" s="680" t="s">
        <v>33</v>
      </c>
      <c r="B67" s="638">
        <f>H67+J67+L67+N67+P67+R67+T67+V67+X67+Z67+AB67+AD67</f>
        <v>1926.5992500000002</v>
      </c>
      <c r="C67" s="638">
        <f>H67+J67+L67+N67+P67+R67+T67+V67+X67+Z67+AB67+AD67</f>
        <v>1926.5992500000002</v>
      </c>
      <c r="D67" s="685">
        <f>E67</f>
        <v>1661.5559999999998</v>
      </c>
      <c r="E67" s="681">
        <f>I67+K67+M67+O67+Q67+S67+U67+W67+Y67+AA67+AC67+AE67</f>
        <v>1661.5559999999998</v>
      </c>
      <c r="F67" s="638">
        <v>0</v>
      </c>
      <c r="G67" s="638">
        <v>0</v>
      </c>
      <c r="H67" s="638">
        <v>70.140249999999995</v>
      </c>
      <c r="I67" s="638">
        <v>70.14</v>
      </c>
      <c r="J67" s="638">
        <v>279.5</v>
      </c>
      <c r="K67" s="638">
        <v>82.662000000000006</v>
      </c>
      <c r="L67" s="638">
        <v>144.19999999999999</v>
      </c>
      <c r="M67" s="638">
        <v>144.67500000000001</v>
      </c>
      <c r="N67" s="638">
        <v>144.19999999999999</v>
      </c>
      <c r="O67" s="638">
        <v>144.67500000000001</v>
      </c>
      <c r="P67" s="638">
        <v>144.19999999999999</v>
      </c>
      <c r="Q67" s="188">
        <v>239.92500000000001</v>
      </c>
      <c r="R67" s="638">
        <v>144.19999999999999</v>
      </c>
      <c r="S67" s="638">
        <v>100</v>
      </c>
      <c r="T67" s="638">
        <v>144.19999999999999</v>
      </c>
      <c r="U67" s="638">
        <v>82.66</v>
      </c>
      <c r="V67" s="638">
        <v>144.19999999999999</v>
      </c>
      <c r="W67" s="638">
        <v>144.66999999999999</v>
      </c>
      <c r="X67" s="638">
        <v>144.19999999999999</v>
      </c>
      <c r="Y67" s="638">
        <v>144.67500000000001</v>
      </c>
      <c r="Z67" s="638">
        <v>144.19999999999999</v>
      </c>
      <c r="AA67" s="638">
        <v>144.67500000000001</v>
      </c>
      <c r="AB67" s="638">
        <v>144.19999999999999</v>
      </c>
      <c r="AC67" s="638">
        <v>144.67500000000001</v>
      </c>
      <c r="AD67" s="638">
        <v>279.15899999999999</v>
      </c>
      <c r="AE67" s="638">
        <v>218.124</v>
      </c>
      <c r="AF67" s="682"/>
      <c r="AG67" s="683"/>
      <c r="AH67" s="684"/>
      <c r="AI67" s="684"/>
    </row>
    <row r="68" spans="1:35" x14ac:dyDescent="0.3">
      <c r="A68" s="195" t="s">
        <v>221</v>
      </c>
      <c r="B68" s="187">
        <f>H68+J68+L68+N68+P68+R68+T68+V68+X68+Z68+AB68+AD68</f>
        <v>0</v>
      </c>
      <c r="C68" s="187">
        <f>H68+J68</f>
        <v>0</v>
      </c>
      <c r="D68" s="187">
        <f t="shared" si="24"/>
        <v>0</v>
      </c>
      <c r="E68" s="187">
        <v>0</v>
      </c>
      <c r="F68" s="189">
        <v>0</v>
      </c>
      <c r="G68" s="189">
        <v>0</v>
      </c>
      <c r="H68" s="187">
        <v>0</v>
      </c>
      <c r="I68" s="187">
        <v>0</v>
      </c>
      <c r="J68" s="187">
        <v>0</v>
      </c>
      <c r="K68" s="187">
        <v>0</v>
      </c>
      <c r="L68" s="187">
        <v>0</v>
      </c>
      <c r="M68" s="187">
        <v>0</v>
      </c>
      <c r="N68" s="187">
        <v>0</v>
      </c>
      <c r="O68" s="187">
        <v>0</v>
      </c>
      <c r="P68" s="187">
        <v>0</v>
      </c>
      <c r="Q68" s="187">
        <v>0</v>
      </c>
      <c r="R68" s="187">
        <v>0</v>
      </c>
      <c r="S68" s="187">
        <v>0</v>
      </c>
      <c r="T68" s="187">
        <v>0</v>
      </c>
      <c r="U68" s="187">
        <v>0</v>
      </c>
      <c r="V68" s="187">
        <v>0</v>
      </c>
      <c r="W68" s="187">
        <v>0</v>
      </c>
      <c r="X68" s="187">
        <v>0</v>
      </c>
      <c r="Y68" s="187">
        <v>0</v>
      </c>
      <c r="Z68" s="187">
        <v>0</v>
      </c>
      <c r="AA68" s="187">
        <v>0</v>
      </c>
      <c r="AB68" s="187">
        <v>0</v>
      </c>
      <c r="AC68" s="187">
        <v>0</v>
      </c>
      <c r="AD68" s="187">
        <v>0</v>
      </c>
      <c r="AE68" s="187">
        <v>0</v>
      </c>
      <c r="AF68" s="191"/>
      <c r="AG68" s="171"/>
      <c r="AH68" s="617"/>
    </row>
    <row r="69" spans="1:35" ht="77.45" customHeight="1" x14ac:dyDescent="0.3">
      <c r="A69" s="798" t="s">
        <v>547</v>
      </c>
      <c r="B69" s="189"/>
      <c r="C69" s="187"/>
      <c r="D69" s="188"/>
      <c r="E69" s="189"/>
      <c r="F69" s="189"/>
      <c r="G69" s="187"/>
      <c r="H69" s="188"/>
      <c r="I69" s="187"/>
      <c r="J69" s="188"/>
      <c r="K69" s="188"/>
      <c r="L69" s="187"/>
      <c r="M69" s="188"/>
      <c r="N69" s="187"/>
      <c r="O69" s="188"/>
      <c r="P69" s="187"/>
      <c r="Q69" s="188"/>
      <c r="R69" s="187"/>
      <c r="S69" s="188"/>
      <c r="T69" s="187"/>
      <c r="U69" s="188"/>
      <c r="V69" s="187"/>
      <c r="W69" s="188"/>
      <c r="X69" s="187"/>
      <c r="Y69" s="188"/>
      <c r="Z69" s="187"/>
      <c r="AA69" s="188"/>
      <c r="AB69" s="187"/>
      <c r="AC69" s="188"/>
      <c r="AD69" s="187"/>
      <c r="AE69" s="190"/>
      <c r="AF69" s="191"/>
      <c r="AG69" s="171"/>
      <c r="AH69" s="617"/>
    </row>
    <row r="70" spans="1:35" s="173" customFormat="1" ht="73.900000000000006" customHeight="1" x14ac:dyDescent="0.3">
      <c r="A70" s="192" t="s">
        <v>31</v>
      </c>
      <c r="B70" s="637">
        <f>B71+B72+B73+B74</f>
        <v>16856.005999999998</v>
      </c>
      <c r="C70" s="193">
        <f>C71+C72+C73+C74</f>
        <v>1926.5992500000002</v>
      </c>
      <c r="D70" s="637">
        <f>D71+D72+D73+D74</f>
        <v>16176.14</v>
      </c>
      <c r="E70" s="193">
        <f>E71+E72+E73+E74</f>
        <v>16176.14</v>
      </c>
      <c r="F70" s="194">
        <f>F71+F72+F73+F74</f>
        <v>95.966624596597811</v>
      </c>
      <c r="G70" s="194">
        <f>E70/C70*100</f>
        <v>839.62142100906544</v>
      </c>
      <c r="H70" s="194">
        <f>H71+H72+H73+H74</f>
        <v>1221.3085599999999</v>
      </c>
      <c r="I70" s="194">
        <f>I71+I72+I73+I74</f>
        <v>480.65</v>
      </c>
      <c r="J70" s="193">
        <f>J71+J72+J73+J74</f>
        <v>1180.54962</v>
      </c>
      <c r="K70" s="193">
        <v>1130.3900000000001</v>
      </c>
      <c r="L70" s="193">
        <f>L71+L72+L73+L74</f>
        <v>1394.0255400000001</v>
      </c>
      <c r="M70" s="637">
        <f>M73</f>
        <v>1255.95</v>
      </c>
      <c r="N70" s="193">
        <f>N71+N72+N73+N74</f>
        <v>1375.8</v>
      </c>
      <c r="O70" s="193">
        <f>O73</f>
        <v>1375.34</v>
      </c>
      <c r="P70" s="193">
        <f>P71+P72+P73+P74</f>
        <v>1309.5312799999999</v>
      </c>
      <c r="Q70" s="193">
        <f>Q73</f>
        <v>1411.1</v>
      </c>
      <c r="R70" s="193">
        <f>R71+R72+R73+R74</f>
        <v>1636.0219999999999</v>
      </c>
      <c r="S70" s="193">
        <f>S73</f>
        <v>1479</v>
      </c>
      <c r="T70" s="193">
        <f>T71+T72+T73+T74</f>
        <v>1804.0619999999999</v>
      </c>
      <c r="U70" s="193">
        <f>U73</f>
        <v>1533.3</v>
      </c>
      <c r="V70" s="193">
        <f>V71+V72+V73+V74</f>
        <v>1461.037</v>
      </c>
      <c r="W70" s="193">
        <f>W73</f>
        <v>1479</v>
      </c>
      <c r="X70" s="193">
        <f>X71+X72+X73+X74</f>
        <v>1461.037</v>
      </c>
      <c r="Y70" s="193">
        <f>Y73</f>
        <v>966.9</v>
      </c>
      <c r="Z70" s="193">
        <f>Z71+Z72+Z73+Z74</f>
        <v>1462.412</v>
      </c>
      <c r="AA70" s="193">
        <f>AA73</f>
        <v>1228.5999999999999</v>
      </c>
      <c r="AB70" s="193">
        <f>AB71+AB72+AB73+AB74</f>
        <v>1301.193</v>
      </c>
      <c r="AC70" s="193">
        <f>AC73</f>
        <v>1426.9</v>
      </c>
      <c r="AD70" s="193">
        <f>AD71+AD72+AD73+AD74</f>
        <v>1249.028</v>
      </c>
      <c r="AE70" s="193">
        <f>AE73</f>
        <v>2409</v>
      </c>
      <c r="AF70" s="490" t="s">
        <v>663</v>
      </c>
      <c r="AG70" s="171"/>
      <c r="AH70" s="617"/>
    </row>
    <row r="71" spans="1:35" x14ac:dyDescent="0.3">
      <c r="A71" s="195" t="s">
        <v>169</v>
      </c>
      <c r="B71" s="187">
        <f>H71+J71+L71+N71+P71+R71+T71+V71+X71+Z71+AB71+AD71</f>
        <v>0</v>
      </c>
      <c r="C71" s="187">
        <f>H71+J71</f>
        <v>0</v>
      </c>
      <c r="D71" s="187">
        <f t="shared" si="24"/>
        <v>0</v>
      </c>
      <c r="E71" s="187">
        <v>0</v>
      </c>
      <c r="F71" s="189">
        <v>0</v>
      </c>
      <c r="G71" s="189">
        <v>0</v>
      </c>
      <c r="H71" s="187">
        <v>0</v>
      </c>
      <c r="I71" s="188">
        <v>0</v>
      </c>
      <c r="J71" s="187">
        <v>0</v>
      </c>
      <c r="K71" s="187">
        <v>0</v>
      </c>
      <c r="L71" s="187">
        <v>0</v>
      </c>
      <c r="M71" s="638">
        <v>0</v>
      </c>
      <c r="N71" s="187">
        <v>0</v>
      </c>
      <c r="O71" s="187">
        <v>0</v>
      </c>
      <c r="P71" s="187">
        <v>0</v>
      </c>
      <c r="Q71" s="187">
        <v>0</v>
      </c>
      <c r="R71" s="187">
        <v>0</v>
      </c>
      <c r="S71" s="187">
        <v>0</v>
      </c>
      <c r="T71" s="187">
        <v>0</v>
      </c>
      <c r="U71" s="187">
        <v>0</v>
      </c>
      <c r="V71" s="187">
        <v>0</v>
      </c>
      <c r="W71" s="949">
        <v>0</v>
      </c>
      <c r="X71" s="949">
        <v>0</v>
      </c>
      <c r="Y71" s="949">
        <v>0</v>
      </c>
      <c r="Z71" s="949">
        <v>0</v>
      </c>
      <c r="AA71" s="187">
        <v>0</v>
      </c>
      <c r="AB71" s="187">
        <v>0</v>
      </c>
      <c r="AC71" s="187">
        <v>0</v>
      </c>
      <c r="AD71" s="187">
        <v>0</v>
      </c>
      <c r="AE71" s="187">
        <v>0</v>
      </c>
      <c r="AF71" s="191"/>
      <c r="AG71" s="171"/>
      <c r="AH71" s="617"/>
    </row>
    <row r="72" spans="1:35" x14ac:dyDescent="0.3">
      <c r="A72" s="195" t="s">
        <v>32</v>
      </c>
      <c r="B72" s="187">
        <f>H72+J72+L72+N72+P72+R72+T72+V72+X72+Z72+AB72+AD72</f>
        <v>0</v>
      </c>
      <c r="C72" s="187">
        <f>H72+J72</f>
        <v>0</v>
      </c>
      <c r="D72" s="187">
        <f t="shared" si="24"/>
        <v>0</v>
      </c>
      <c r="E72" s="187">
        <v>0</v>
      </c>
      <c r="F72" s="189">
        <v>0</v>
      </c>
      <c r="G72" s="189">
        <v>0</v>
      </c>
      <c r="H72" s="187">
        <v>0</v>
      </c>
      <c r="I72" s="188">
        <v>0</v>
      </c>
      <c r="J72" s="187">
        <v>0</v>
      </c>
      <c r="K72" s="187">
        <v>0</v>
      </c>
      <c r="L72" s="187">
        <v>0</v>
      </c>
      <c r="M72" s="638">
        <v>0</v>
      </c>
      <c r="N72" s="187">
        <v>0</v>
      </c>
      <c r="O72" s="187">
        <v>0</v>
      </c>
      <c r="P72" s="187">
        <v>0</v>
      </c>
      <c r="Q72" s="187">
        <v>0</v>
      </c>
      <c r="R72" s="187">
        <v>0</v>
      </c>
      <c r="S72" s="187">
        <v>0</v>
      </c>
      <c r="T72" s="187">
        <v>0</v>
      </c>
      <c r="U72" s="187">
        <v>0</v>
      </c>
      <c r="V72" s="187">
        <v>0</v>
      </c>
      <c r="W72" s="949">
        <v>0</v>
      </c>
      <c r="X72" s="949">
        <v>0</v>
      </c>
      <c r="Y72" s="949">
        <v>0</v>
      </c>
      <c r="Z72" s="949">
        <v>0</v>
      </c>
      <c r="AA72" s="187">
        <v>0</v>
      </c>
      <c r="AB72" s="187">
        <v>0</v>
      </c>
      <c r="AC72" s="187">
        <v>0</v>
      </c>
      <c r="AD72" s="187">
        <v>0</v>
      </c>
      <c r="AE72" s="187">
        <v>0</v>
      </c>
      <c r="AF72" s="191"/>
      <c r="AG72" s="171"/>
      <c r="AH72" s="617"/>
    </row>
    <row r="73" spans="1:35" s="615" customFormat="1" ht="25.15" customHeight="1" x14ac:dyDescent="0.3">
      <c r="A73" s="680" t="s">
        <v>33</v>
      </c>
      <c r="B73" s="638">
        <f>H73+J73+L73+N73+P73+R73+T73+V73+X73+Z73+AB73+AD73</f>
        <v>16856.005999999998</v>
      </c>
      <c r="C73" s="638">
        <f>C67</f>
        <v>1926.5992500000002</v>
      </c>
      <c r="D73" s="638">
        <f>E73</f>
        <v>16176.14</v>
      </c>
      <c r="E73" s="638">
        <f>I73+K73+M73+O73+Q73+S73+U73+W73+Y73+AA73+AC73+AE73</f>
        <v>16176.14</v>
      </c>
      <c r="F73" s="638">
        <f>E73/B73*100</f>
        <v>95.966624596597811</v>
      </c>
      <c r="G73" s="638">
        <f>E73/C73*100</f>
        <v>839.62142100906544</v>
      </c>
      <c r="H73" s="187">
        <v>1221.3085599999999</v>
      </c>
      <c r="I73" s="187">
        <v>480.65</v>
      </c>
      <c r="J73" s="187">
        <v>1180.54962</v>
      </c>
      <c r="K73" s="187">
        <v>1130.4000000000001</v>
      </c>
      <c r="L73" s="187">
        <v>1394.0255400000001</v>
      </c>
      <c r="M73" s="187">
        <v>1255.95</v>
      </c>
      <c r="N73" s="187">
        <v>1375.8</v>
      </c>
      <c r="O73" s="187">
        <v>1375.34</v>
      </c>
      <c r="P73" s="187">
        <v>1309.5312799999999</v>
      </c>
      <c r="Q73" s="187">
        <v>1411.1</v>
      </c>
      <c r="R73" s="187">
        <v>1636.0219999999999</v>
      </c>
      <c r="S73" s="187">
        <v>1479</v>
      </c>
      <c r="T73" s="638">
        <v>1804.0619999999999</v>
      </c>
      <c r="U73" s="638">
        <v>1533.3</v>
      </c>
      <c r="V73" s="638">
        <v>1461.037</v>
      </c>
      <c r="W73" s="950">
        <v>1479</v>
      </c>
      <c r="X73" s="950">
        <v>1461.037</v>
      </c>
      <c r="Y73" s="950">
        <v>966.9</v>
      </c>
      <c r="Z73" s="950">
        <v>1462.412</v>
      </c>
      <c r="AA73" s="638">
        <v>1228.5999999999999</v>
      </c>
      <c r="AB73" s="763">
        <v>1301.193</v>
      </c>
      <c r="AC73" s="638">
        <v>1426.9</v>
      </c>
      <c r="AD73" s="638">
        <v>1249.028</v>
      </c>
      <c r="AE73" s="638">
        <v>2409</v>
      </c>
      <c r="AF73" s="682"/>
      <c r="AG73" s="683"/>
      <c r="AH73" s="684"/>
    </row>
    <row r="74" spans="1:35" x14ac:dyDescent="0.3">
      <c r="A74" s="195" t="s">
        <v>221</v>
      </c>
      <c r="B74" s="187">
        <f>H74+J74+L74+N74+P74+R74+T74+V74+X74+Z74+AB74+AD74</f>
        <v>0</v>
      </c>
      <c r="C74" s="187">
        <f>H74+J74</f>
        <v>0</v>
      </c>
      <c r="D74" s="187">
        <f t="shared" si="24"/>
        <v>0</v>
      </c>
      <c r="E74" s="187">
        <v>0</v>
      </c>
      <c r="F74" s="189">
        <v>0</v>
      </c>
      <c r="G74" s="189">
        <v>0</v>
      </c>
      <c r="H74" s="187">
        <v>0</v>
      </c>
      <c r="I74" s="188">
        <v>0</v>
      </c>
      <c r="J74" s="187">
        <v>0</v>
      </c>
      <c r="K74" s="187">
        <v>0</v>
      </c>
      <c r="L74" s="187">
        <v>0</v>
      </c>
      <c r="M74" s="638">
        <v>0</v>
      </c>
      <c r="N74" s="187">
        <v>0</v>
      </c>
      <c r="O74" s="187">
        <v>0</v>
      </c>
      <c r="P74" s="187">
        <v>0</v>
      </c>
      <c r="Q74" s="187">
        <v>0</v>
      </c>
      <c r="R74" s="187">
        <v>0</v>
      </c>
      <c r="S74" s="187">
        <v>0</v>
      </c>
      <c r="T74" s="187">
        <v>0</v>
      </c>
      <c r="U74" s="187">
        <v>0</v>
      </c>
      <c r="V74" s="187">
        <v>0</v>
      </c>
      <c r="W74" s="949">
        <v>0</v>
      </c>
      <c r="X74" s="949">
        <v>0</v>
      </c>
      <c r="Y74" s="949">
        <v>0</v>
      </c>
      <c r="Z74" s="949">
        <v>0</v>
      </c>
      <c r="AA74" s="187">
        <v>0</v>
      </c>
      <c r="AB74" s="187">
        <v>0</v>
      </c>
      <c r="AC74" s="187">
        <v>0</v>
      </c>
      <c r="AD74" s="187">
        <v>0</v>
      </c>
      <c r="AE74" s="187">
        <v>0</v>
      </c>
      <c r="AF74" s="191"/>
      <c r="AG74" s="171"/>
      <c r="AH74" s="617"/>
    </row>
    <row r="75" spans="1:35" s="164" customFormat="1" x14ac:dyDescent="0.3">
      <c r="A75" s="1175" t="s">
        <v>244</v>
      </c>
      <c r="B75" s="1173"/>
      <c r="C75" s="1173"/>
      <c r="D75" s="1173"/>
      <c r="E75" s="1173"/>
      <c r="F75" s="1173"/>
      <c r="G75" s="1173"/>
      <c r="H75" s="1173"/>
      <c r="I75" s="1173"/>
      <c r="J75" s="1173"/>
      <c r="K75" s="1173"/>
      <c r="L75" s="1173"/>
      <c r="M75" s="1173"/>
      <c r="N75" s="1173"/>
      <c r="O75" s="1173"/>
      <c r="P75" s="1173"/>
      <c r="Q75" s="1173"/>
      <c r="R75" s="1173"/>
      <c r="S75" s="1173"/>
      <c r="T75" s="1173"/>
      <c r="U75" s="1173"/>
      <c r="V75" s="1173"/>
      <c r="W75" s="1173"/>
      <c r="X75" s="1173"/>
      <c r="Y75" s="1173"/>
      <c r="Z75" s="1173"/>
      <c r="AA75" s="1173"/>
      <c r="AB75" s="1173"/>
      <c r="AC75" s="1173"/>
      <c r="AD75" s="1173"/>
      <c r="AE75" s="1173"/>
      <c r="AF75" s="1174"/>
      <c r="AG75" s="171"/>
      <c r="AH75" s="669"/>
    </row>
    <row r="76" spans="1:35" s="164" customFormat="1" x14ac:dyDescent="0.3">
      <c r="A76" s="1172" t="s">
        <v>54</v>
      </c>
      <c r="B76" s="1173"/>
      <c r="C76" s="1173"/>
      <c r="D76" s="1173"/>
      <c r="E76" s="1173"/>
      <c r="F76" s="1173"/>
      <c r="G76" s="1173"/>
      <c r="H76" s="1173"/>
      <c r="I76" s="1173"/>
      <c r="J76" s="1173"/>
      <c r="K76" s="1173"/>
      <c r="L76" s="1173"/>
      <c r="M76" s="1173"/>
      <c r="N76" s="1173"/>
      <c r="O76" s="1173"/>
      <c r="P76" s="1173"/>
      <c r="Q76" s="1173"/>
      <c r="R76" s="1173"/>
      <c r="S76" s="1173"/>
      <c r="T76" s="1173"/>
      <c r="U76" s="1173"/>
      <c r="V76" s="1173"/>
      <c r="W76" s="1173"/>
      <c r="X76" s="1173"/>
      <c r="Y76" s="1173"/>
      <c r="Z76" s="1173"/>
      <c r="AA76" s="1173"/>
      <c r="AB76" s="1173"/>
      <c r="AC76" s="1173"/>
      <c r="AD76" s="1173"/>
      <c r="AE76" s="1173"/>
      <c r="AF76" s="1174"/>
      <c r="AG76" s="171"/>
      <c r="AH76" s="669"/>
    </row>
    <row r="77" spans="1:35" s="173" customFormat="1" ht="56.25" x14ac:dyDescent="0.3">
      <c r="A77" s="198" t="s">
        <v>245</v>
      </c>
      <c r="B77" s="166">
        <f>B78</f>
        <v>27062.498</v>
      </c>
      <c r="C77" s="166">
        <f>C78</f>
        <v>27062.498</v>
      </c>
      <c r="D77" s="166">
        <f>D78</f>
        <v>26371.557000000001</v>
      </c>
      <c r="E77" s="168">
        <f>E78</f>
        <v>26371.557000000001</v>
      </c>
      <c r="F77" s="166">
        <v>0</v>
      </c>
      <c r="G77" s="166">
        <v>0</v>
      </c>
      <c r="H77" s="166">
        <f t="shared" ref="H77:O77" si="25">H78</f>
        <v>3549.9159999999997</v>
      </c>
      <c r="I77" s="168">
        <f t="shared" si="25"/>
        <v>1704.848</v>
      </c>
      <c r="J77" s="166">
        <f t="shared" si="25"/>
        <v>2293.0390000000002</v>
      </c>
      <c r="K77" s="168">
        <f t="shared" si="25"/>
        <v>2351.4690000000001</v>
      </c>
      <c r="L77" s="166">
        <f t="shared" si="25"/>
        <v>1823.9069999999999</v>
      </c>
      <c r="M77" s="168">
        <f t="shared" si="25"/>
        <v>1933.69</v>
      </c>
      <c r="N77" s="166">
        <f t="shared" si="25"/>
        <v>2676.9009999999998</v>
      </c>
      <c r="O77" s="168">
        <f t="shared" si="25"/>
        <v>1813.9850000000001</v>
      </c>
      <c r="P77" s="166">
        <f t="shared" ref="P77:V77" si="26">P78</f>
        <v>2857.8879999999999</v>
      </c>
      <c r="Q77" s="168">
        <f t="shared" si="26"/>
        <v>2116.4899999999998</v>
      </c>
      <c r="R77" s="166">
        <f t="shared" si="26"/>
        <v>1824.0070000000001</v>
      </c>
      <c r="S77" s="168">
        <f t="shared" si="26"/>
        <v>2711.9949999999999</v>
      </c>
      <c r="T77" s="166">
        <f t="shared" si="26"/>
        <v>2713.6010000000001</v>
      </c>
      <c r="U77" s="168">
        <f t="shared" si="26"/>
        <v>2108.8849999999998</v>
      </c>
      <c r="V77" s="166">
        <f t="shared" si="26"/>
        <v>2336.3429999999998</v>
      </c>
      <c r="W77" s="168">
        <f t="shared" ref="W77:AB77" si="27">W78</f>
        <v>2142.8240000000001</v>
      </c>
      <c r="X77" s="166">
        <f t="shared" si="27"/>
        <v>1825.2840000000001</v>
      </c>
      <c r="Y77" s="168">
        <f t="shared" si="27"/>
        <v>1353.3000000000002</v>
      </c>
      <c r="Z77" s="166">
        <f t="shared" si="27"/>
        <v>2356.8530000000001</v>
      </c>
      <c r="AA77" s="168">
        <f t="shared" si="27"/>
        <v>1759.8409999999999</v>
      </c>
      <c r="AB77" s="166">
        <f t="shared" si="27"/>
        <v>1646.4840000000002</v>
      </c>
      <c r="AC77" s="168">
        <f>AC78</f>
        <v>1479.2640000000001</v>
      </c>
      <c r="AD77" s="166">
        <f>AD78</f>
        <v>1158.2750000000001</v>
      </c>
      <c r="AE77" s="169"/>
      <c r="AF77" s="743"/>
      <c r="AG77" s="171"/>
      <c r="AH77" s="617"/>
    </row>
    <row r="78" spans="1:35" s="173" customFormat="1" x14ac:dyDescent="0.3">
      <c r="A78" s="183" t="s">
        <v>31</v>
      </c>
      <c r="B78" s="166">
        <f>B79+B80+B81+B82</f>
        <v>27062.498</v>
      </c>
      <c r="C78" s="166">
        <f>C79+C80+C81+C82</f>
        <v>27062.498</v>
      </c>
      <c r="D78" s="166">
        <f>D79+D80+D81+D82</f>
        <v>26371.557000000001</v>
      </c>
      <c r="E78" s="166">
        <f>E79+E80+E81+E82</f>
        <v>26371.557000000001</v>
      </c>
      <c r="F78" s="166">
        <f>F79+F80+F81+F82</f>
        <v>97.376186990152746</v>
      </c>
      <c r="G78" s="166">
        <f>E78/C78*100</f>
        <v>97.446869095380634</v>
      </c>
      <c r="H78" s="166">
        <f t="shared" ref="H78:N78" si="28">H79+H80+H81+H82</f>
        <v>3549.9159999999997</v>
      </c>
      <c r="I78" s="166">
        <f t="shared" si="28"/>
        <v>1704.848</v>
      </c>
      <c r="J78" s="166">
        <f t="shared" si="28"/>
        <v>2293.0390000000002</v>
      </c>
      <c r="K78" s="166">
        <f t="shared" si="28"/>
        <v>2351.4690000000001</v>
      </c>
      <c r="L78" s="166">
        <f t="shared" si="28"/>
        <v>1823.9069999999999</v>
      </c>
      <c r="M78" s="166">
        <f t="shared" si="28"/>
        <v>1933.69</v>
      </c>
      <c r="N78" s="166">
        <f t="shared" si="28"/>
        <v>2676.9009999999998</v>
      </c>
      <c r="O78" s="166">
        <f>O79+O80+O81+O82</f>
        <v>1813.9850000000001</v>
      </c>
      <c r="P78" s="166">
        <f>P79+P80+P81+P82</f>
        <v>2857.8879999999999</v>
      </c>
      <c r="Q78" s="166">
        <f>Q79+Q80+Q81+Q82</f>
        <v>2116.4899999999998</v>
      </c>
      <c r="R78" s="166">
        <f t="shared" ref="R78:V78" si="29">R79+R80+R81+R82</f>
        <v>1824.0070000000001</v>
      </c>
      <c r="S78" s="166">
        <f t="shared" si="29"/>
        <v>2711.9949999999999</v>
      </c>
      <c r="T78" s="166">
        <f t="shared" si="29"/>
        <v>2713.6010000000001</v>
      </c>
      <c r="U78" s="166">
        <f t="shared" si="29"/>
        <v>2108.8849999999998</v>
      </c>
      <c r="V78" s="166">
        <f t="shared" si="29"/>
        <v>2336.3429999999998</v>
      </c>
      <c r="W78" s="166">
        <f>W79+W80+W81+W82</f>
        <v>2142.8240000000001</v>
      </c>
      <c r="X78" s="166">
        <f>X79+X80+X81+X82</f>
        <v>1825.2840000000001</v>
      </c>
      <c r="Y78" s="166">
        <f>Y81</f>
        <v>1353.3000000000002</v>
      </c>
      <c r="Z78" s="166">
        <f>Z79+Z80+Z81+Z82</f>
        <v>2356.8530000000001</v>
      </c>
      <c r="AA78" s="166">
        <f>AA79+AA80+AA81+AA82</f>
        <v>1759.8409999999999</v>
      </c>
      <c r="AB78" s="166">
        <f>AB79+AB80+AB81+AB82</f>
        <v>1646.4840000000002</v>
      </c>
      <c r="AC78" s="166">
        <f>AC79+AC80+AC81+AC82</f>
        <v>1479.2640000000001</v>
      </c>
      <c r="AD78" s="166">
        <f>AD79+AD80+AD81+AD82</f>
        <v>1158.2750000000001</v>
      </c>
      <c r="AE78" s="166"/>
      <c r="AF78" s="170"/>
      <c r="AG78" s="171"/>
      <c r="AH78" s="617"/>
    </row>
    <row r="79" spans="1:35" x14ac:dyDescent="0.3">
      <c r="A79" s="174" t="s">
        <v>169</v>
      </c>
      <c r="B79" s="175">
        <f>H79+J79+L79+N79+P79+R79+T79+V79+X79+Z79+AB79+AD79</f>
        <v>0</v>
      </c>
      <c r="C79" s="175">
        <f>H79+J79</f>
        <v>0</v>
      </c>
      <c r="D79" s="175">
        <f t="shared" si="24"/>
        <v>0</v>
      </c>
      <c r="E79" s="175">
        <v>0</v>
      </c>
      <c r="F79" s="175">
        <v>0</v>
      </c>
      <c r="G79" s="175">
        <v>0</v>
      </c>
      <c r="H79" s="175">
        <f t="shared" ref="H79:AE79" si="30">H85+H91+H97</f>
        <v>0</v>
      </c>
      <c r="I79" s="175">
        <f t="shared" si="30"/>
        <v>0</v>
      </c>
      <c r="J79" s="175">
        <f t="shared" si="30"/>
        <v>0</v>
      </c>
      <c r="K79" s="175">
        <f t="shared" si="30"/>
        <v>0</v>
      </c>
      <c r="L79" s="175">
        <f t="shared" si="30"/>
        <v>0</v>
      </c>
      <c r="M79" s="175">
        <f t="shared" si="30"/>
        <v>0</v>
      </c>
      <c r="N79" s="175">
        <f t="shared" si="30"/>
        <v>0</v>
      </c>
      <c r="O79" s="175">
        <f t="shared" si="30"/>
        <v>0</v>
      </c>
      <c r="P79" s="175">
        <f t="shared" si="30"/>
        <v>0</v>
      </c>
      <c r="Q79" s="175">
        <f t="shared" si="30"/>
        <v>0</v>
      </c>
      <c r="R79" s="175">
        <f t="shared" si="30"/>
        <v>0</v>
      </c>
      <c r="S79" s="175">
        <f t="shared" si="30"/>
        <v>0</v>
      </c>
      <c r="T79" s="175">
        <f t="shared" si="30"/>
        <v>0</v>
      </c>
      <c r="U79" s="175">
        <f t="shared" si="30"/>
        <v>0</v>
      </c>
      <c r="V79" s="175">
        <f t="shared" si="30"/>
        <v>0</v>
      </c>
      <c r="W79" s="175">
        <f t="shared" si="30"/>
        <v>0</v>
      </c>
      <c r="X79" s="175">
        <f t="shared" si="30"/>
        <v>0</v>
      </c>
      <c r="Y79" s="175">
        <f t="shared" si="30"/>
        <v>0</v>
      </c>
      <c r="Z79" s="175">
        <f t="shared" si="30"/>
        <v>0</v>
      </c>
      <c r="AA79" s="175">
        <f t="shared" si="30"/>
        <v>0</v>
      </c>
      <c r="AB79" s="175">
        <f t="shared" si="30"/>
        <v>0</v>
      </c>
      <c r="AC79" s="175">
        <v>0</v>
      </c>
      <c r="AD79" s="175">
        <f t="shared" si="30"/>
        <v>0</v>
      </c>
      <c r="AE79" s="175">
        <f t="shared" si="30"/>
        <v>0</v>
      </c>
      <c r="AF79" s="178"/>
      <c r="AG79" s="171"/>
      <c r="AH79" s="617"/>
    </row>
    <row r="80" spans="1:35" x14ac:dyDescent="0.3">
      <c r="A80" s="174" t="s">
        <v>32</v>
      </c>
      <c r="B80" s="175">
        <f>H80+J80+L80+N80+P80+R80+T80+V80+X80+Z80+AB80+AD80</f>
        <v>728.87599999999998</v>
      </c>
      <c r="C80" s="175">
        <f>P80+V80</f>
        <v>728.87599999999998</v>
      </c>
      <c r="D80" s="175">
        <f t="shared" si="24"/>
        <v>728.88</v>
      </c>
      <c r="E80" s="175">
        <f>Q80+W80</f>
        <v>728.88</v>
      </c>
      <c r="F80" s="175">
        <v>0</v>
      </c>
      <c r="G80" s="175">
        <v>0</v>
      </c>
      <c r="H80" s="175">
        <f t="shared" ref="H80:AE80" si="31">H86+H92+H98</f>
        <v>0</v>
      </c>
      <c r="I80" s="175">
        <f t="shared" si="31"/>
        <v>0</v>
      </c>
      <c r="J80" s="175">
        <f t="shared" si="31"/>
        <v>0</v>
      </c>
      <c r="K80" s="175">
        <f t="shared" si="31"/>
        <v>0</v>
      </c>
      <c r="L80" s="175">
        <f t="shared" si="31"/>
        <v>0</v>
      </c>
      <c r="M80" s="175">
        <f t="shared" si="31"/>
        <v>0</v>
      </c>
      <c r="N80" s="175">
        <f t="shared" si="31"/>
        <v>0</v>
      </c>
      <c r="O80" s="175">
        <f>R82</f>
        <v>0</v>
      </c>
      <c r="P80" s="175">
        <f t="shared" si="31"/>
        <v>728.87599999999998</v>
      </c>
      <c r="Q80" s="175">
        <f>Q86+Q92+Q98</f>
        <v>728.88</v>
      </c>
      <c r="R80" s="175">
        <f t="shared" si="31"/>
        <v>0</v>
      </c>
      <c r="S80" s="175">
        <f t="shared" si="31"/>
        <v>0</v>
      </c>
      <c r="T80" s="175">
        <f t="shared" si="31"/>
        <v>0</v>
      </c>
      <c r="U80" s="175">
        <f t="shared" si="31"/>
        <v>0</v>
      </c>
      <c r="V80" s="175">
        <v>0</v>
      </c>
      <c r="W80" s="175">
        <f>W86+W92+W98</f>
        <v>0</v>
      </c>
      <c r="X80" s="175">
        <f t="shared" si="31"/>
        <v>0</v>
      </c>
      <c r="Y80" s="175">
        <f t="shared" si="31"/>
        <v>0</v>
      </c>
      <c r="Z80" s="175">
        <f t="shared" si="31"/>
        <v>0</v>
      </c>
      <c r="AA80" s="175">
        <v>0</v>
      </c>
      <c r="AB80" s="175">
        <f t="shared" si="31"/>
        <v>0</v>
      </c>
      <c r="AC80" s="175">
        <v>0</v>
      </c>
      <c r="AD80" s="175">
        <f t="shared" si="31"/>
        <v>0</v>
      </c>
      <c r="AE80" s="175">
        <f t="shared" si="31"/>
        <v>0</v>
      </c>
      <c r="AF80" s="178"/>
      <c r="AG80" s="171"/>
      <c r="AH80" s="617"/>
    </row>
    <row r="81" spans="1:34" x14ac:dyDescent="0.3">
      <c r="A81" s="174" t="s">
        <v>33</v>
      </c>
      <c r="B81" s="175">
        <f>B87+B93+B99</f>
        <v>26333.621999999999</v>
      </c>
      <c r="C81" s="175">
        <f>C87+C93+C99</f>
        <v>26333.621999999999</v>
      </c>
      <c r="D81" s="175">
        <f>E81</f>
        <v>25642.677</v>
      </c>
      <c r="E81" s="893">
        <f>E87+E93+E99</f>
        <v>25642.677</v>
      </c>
      <c r="F81" s="175">
        <f>E81/B81*100</f>
        <v>97.376186990152746</v>
      </c>
      <c r="G81" s="175">
        <v>0</v>
      </c>
      <c r="H81" s="175">
        <f>H87+H93+H99</f>
        <v>3549.9159999999997</v>
      </c>
      <c r="I81" s="175">
        <f t="shared" ref="H81:O82" si="32">I87+I93+I99</f>
        <v>1704.848</v>
      </c>
      <c r="J81" s="175">
        <f t="shared" si="32"/>
        <v>2293.0390000000002</v>
      </c>
      <c r="K81" s="175">
        <f t="shared" si="32"/>
        <v>2351.4690000000001</v>
      </c>
      <c r="L81" s="175">
        <f t="shared" si="32"/>
        <v>1823.9069999999999</v>
      </c>
      <c r="M81" s="175">
        <f t="shared" si="32"/>
        <v>1933.69</v>
      </c>
      <c r="N81" s="175">
        <f t="shared" si="32"/>
        <v>2676.9009999999998</v>
      </c>
      <c r="O81" s="175">
        <f t="shared" si="32"/>
        <v>1813.9850000000001</v>
      </c>
      <c r="P81" s="175">
        <f>P87+P93+P99</f>
        <v>2129.0119999999997</v>
      </c>
      <c r="Q81" s="175">
        <f>Q88+Q94+Q99</f>
        <v>1387.61</v>
      </c>
      <c r="R81" s="175">
        <f t="shared" ref="R81:AE81" si="33">R87+R93+R99</f>
        <v>1824.0070000000001</v>
      </c>
      <c r="S81" s="175">
        <f t="shared" si="33"/>
        <v>2711.9949999999999</v>
      </c>
      <c r="T81" s="175">
        <f t="shared" si="33"/>
        <v>2713.6010000000001</v>
      </c>
      <c r="U81" s="175">
        <f t="shared" si="33"/>
        <v>2108.8849999999998</v>
      </c>
      <c r="V81" s="175">
        <f t="shared" si="33"/>
        <v>2336.3429999999998</v>
      </c>
      <c r="W81" s="175">
        <f>W87+W93+W99</f>
        <v>2142.8240000000001</v>
      </c>
      <c r="X81" s="175">
        <f t="shared" si="33"/>
        <v>1825.2840000000001</v>
      </c>
      <c r="Y81" s="175">
        <f t="shared" si="33"/>
        <v>1353.3000000000002</v>
      </c>
      <c r="Z81" s="175">
        <f t="shared" si="33"/>
        <v>2356.8530000000001</v>
      </c>
      <c r="AA81" s="175">
        <f t="shared" si="33"/>
        <v>1759.8409999999999</v>
      </c>
      <c r="AB81" s="175">
        <f t="shared" si="33"/>
        <v>1646.4840000000002</v>
      </c>
      <c r="AC81" s="175">
        <f t="shared" si="33"/>
        <v>1479.2640000000001</v>
      </c>
      <c r="AD81" s="175">
        <f t="shared" si="33"/>
        <v>1158.2750000000001</v>
      </c>
      <c r="AE81" s="175">
        <f t="shared" si="33"/>
        <v>3850.9629999999997</v>
      </c>
      <c r="AF81" s="178"/>
      <c r="AG81" s="171"/>
      <c r="AH81" s="617"/>
    </row>
    <row r="82" spans="1:34" x14ac:dyDescent="0.3">
      <c r="A82" s="174" t="s">
        <v>221</v>
      </c>
      <c r="B82" s="175">
        <f>H82+J82+L82+N82+P82+R82+T82+V82+X82+Z82+AB82+AD82</f>
        <v>0</v>
      </c>
      <c r="C82" s="175">
        <f>H82+J82</f>
        <v>0</v>
      </c>
      <c r="D82" s="175">
        <f t="shared" si="24"/>
        <v>0</v>
      </c>
      <c r="E82" s="175">
        <v>0</v>
      </c>
      <c r="F82" s="175">
        <v>0</v>
      </c>
      <c r="G82" s="175">
        <v>0</v>
      </c>
      <c r="H82" s="175">
        <f t="shared" si="32"/>
        <v>0</v>
      </c>
      <c r="I82" s="175">
        <f t="shared" si="32"/>
        <v>0</v>
      </c>
      <c r="J82" s="175">
        <f t="shared" si="32"/>
        <v>0</v>
      </c>
      <c r="K82" s="175">
        <f t="shared" si="32"/>
        <v>0</v>
      </c>
      <c r="L82" s="175">
        <f t="shared" si="32"/>
        <v>0</v>
      </c>
      <c r="M82" s="175">
        <f t="shared" si="32"/>
        <v>0</v>
      </c>
      <c r="N82" s="175">
        <f t="shared" si="32"/>
        <v>0</v>
      </c>
      <c r="O82" s="175">
        <f t="shared" si="32"/>
        <v>0</v>
      </c>
      <c r="P82" s="175">
        <f>P88+P94+P100</f>
        <v>0</v>
      </c>
      <c r="Q82" s="175">
        <v>0</v>
      </c>
      <c r="R82" s="175">
        <f>R88+R94+R100</f>
        <v>0</v>
      </c>
      <c r="S82" s="175">
        <v>0</v>
      </c>
      <c r="T82" s="175">
        <f t="shared" ref="T82:AE82" si="34">T88+T94+T100</f>
        <v>0</v>
      </c>
      <c r="U82" s="175">
        <f t="shared" si="34"/>
        <v>0</v>
      </c>
      <c r="V82" s="175">
        <f t="shared" si="34"/>
        <v>0</v>
      </c>
      <c r="W82" s="175">
        <f>W88+W94+W100</f>
        <v>0</v>
      </c>
      <c r="X82" s="175">
        <f t="shared" si="34"/>
        <v>0</v>
      </c>
      <c r="Y82" s="175">
        <f t="shared" si="34"/>
        <v>0</v>
      </c>
      <c r="Z82" s="175">
        <f t="shared" si="34"/>
        <v>0</v>
      </c>
      <c r="AA82" s="175">
        <f t="shared" si="34"/>
        <v>0</v>
      </c>
      <c r="AB82" s="175">
        <f t="shared" si="34"/>
        <v>0</v>
      </c>
      <c r="AC82" s="175">
        <f t="shared" si="34"/>
        <v>0</v>
      </c>
      <c r="AD82" s="175">
        <f t="shared" si="34"/>
        <v>0</v>
      </c>
      <c r="AE82" s="175">
        <f t="shared" si="34"/>
        <v>0</v>
      </c>
      <c r="AF82" s="178"/>
      <c r="AG82" s="171"/>
      <c r="AH82" s="617"/>
    </row>
    <row r="83" spans="1:34" ht="56.25" x14ac:dyDescent="0.3">
      <c r="A83" s="186" t="s">
        <v>246</v>
      </c>
      <c r="B83" s="187"/>
      <c r="C83" s="187"/>
      <c r="D83" s="187"/>
      <c r="E83" s="188"/>
      <c r="F83" s="189"/>
      <c r="G83" s="189"/>
      <c r="H83" s="187"/>
      <c r="I83" s="188"/>
      <c r="J83" s="187"/>
      <c r="K83" s="188"/>
      <c r="L83" s="187"/>
      <c r="M83" s="188"/>
      <c r="N83" s="187"/>
      <c r="O83" s="188"/>
      <c r="P83" s="187"/>
      <c r="Q83" s="188"/>
      <c r="R83" s="187"/>
      <c r="S83" s="188"/>
      <c r="T83" s="187"/>
      <c r="U83" s="188"/>
      <c r="V83" s="187"/>
      <c r="W83" s="188"/>
      <c r="X83" s="187"/>
      <c r="Y83" s="188"/>
      <c r="Z83" s="187"/>
      <c r="AA83" s="188"/>
      <c r="AB83" s="187"/>
      <c r="AC83" s="188"/>
      <c r="AD83" s="187"/>
      <c r="AE83" s="190"/>
      <c r="AF83" s="191"/>
      <c r="AG83" s="171"/>
      <c r="AH83" s="617"/>
    </row>
    <row r="84" spans="1:34" s="173" customFormat="1" ht="93" customHeight="1" x14ac:dyDescent="0.3">
      <c r="A84" s="192" t="s">
        <v>31</v>
      </c>
      <c r="B84" s="193">
        <f>B85+B86+B87+B88</f>
        <v>4979.5579999999991</v>
      </c>
      <c r="C84" s="193">
        <f>C85+C86+C87+C88</f>
        <v>4979.5579999999991</v>
      </c>
      <c r="D84" s="193">
        <f>D85+D86+D87+D88</f>
        <v>4712.5</v>
      </c>
      <c r="E84" s="193">
        <f>E85+E86+E87+E88</f>
        <v>4712.5</v>
      </c>
      <c r="F84" s="194">
        <f>E84/B84*100</f>
        <v>94.636913557388041</v>
      </c>
      <c r="G84" s="194">
        <f>E84/C84*100</f>
        <v>94.636913557388041</v>
      </c>
      <c r="H84" s="193">
        <f>H85+H86+H87+H88</f>
        <v>969.53499999999997</v>
      </c>
      <c r="I84" s="193">
        <f>I85+I86+I87+I88</f>
        <v>452.28100000000001</v>
      </c>
      <c r="J84" s="193">
        <f>J85+J86+J87+J88</f>
        <v>600.06700000000001</v>
      </c>
      <c r="K84" s="193">
        <v>602.96100000000001</v>
      </c>
      <c r="L84" s="193">
        <f>L85+L86+L87+L88</f>
        <v>430.63799999999998</v>
      </c>
      <c r="M84" s="193">
        <f>M87</f>
        <v>360.17099999999999</v>
      </c>
      <c r="N84" s="193">
        <f t="shared" ref="N84:AD84" si="35">N85+N86+N87+N88</f>
        <v>595.66499999999996</v>
      </c>
      <c r="O84" s="193">
        <f t="shared" si="35"/>
        <v>353.04899999999998</v>
      </c>
      <c r="P84" s="193">
        <f t="shared" si="35"/>
        <v>500.59899999999999</v>
      </c>
      <c r="Q84" s="193">
        <f t="shared" si="35"/>
        <v>586.83300000000008</v>
      </c>
      <c r="R84" s="193">
        <f t="shared" si="35"/>
        <v>356.61500000000001</v>
      </c>
      <c r="S84" s="193">
        <f t="shared" si="35"/>
        <v>469.791</v>
      </c>
      <c r="T84" s="193">
        <f t="shared" si="35"/>
        <v>489.43</v>
      </c>
      <c r="U84" s="193">
        <f t="shared" si="35"/>
        <v>188.416</v>
      </c>
      <c r="V84" s="193">
        <f>V85+V86+V87+V88</f>
        <v>434.483</v>
      </c>
      <c r="W84" s="193">
        <f t="shared" si="35"/>
        <v>284.31900000000002</v>
      </c>
      <c r="X84" s="193">
        <f>X85+X86+X87+X88</f>
        <v>342.99200000000002</v>
      </c>
      <c r="Y84" s="193">
        <f>Y85+Y86+Y87+Y88</f>
        <v>225.11</v>
      </c>
      <c r="Z84" s="193">
        <f t="shared" si="35"/>
        <v>259.53399999999999</v>
      </c>
      <c r="AA84" s="193">
        <f>AA85+AA86+AA87+AA88</f>
        <v>280.39999999999998</v>
      </c>
      <c r="AB84" s="193">
        <f t="shared" si="35"/>
        <v>0</v>
      </c>
      <c r="AC84" s="193">
        <f>AC85+AC86+AC87+AC88</f>
        <v>326.76499999999999</v>
      </c>
      <c r="AD84" s="193">
        <f t="shared" si="35"/>
        <v>0</v>
      </c>
      <c r="AE84" s="193">
        <f>AE87</f>
        <v>582.404</v>
      </c>
      <c r="AF84" s="490" t="s">
        <v>685</v>
      </c>
      <c r="AG84" s="171"/>
      <c r="AH84" s="617"/>
    </row>
    <row r="85" spans="1:34" x14ac:dyDescent="0.3">
      <c r="A85" s="195" t="s">
        <v>169</v>
      </c>
      <c r="B85" s="187">
        <f>H85+J85+L85+N85+P85+R85+T85+V85+X85+Z85+AB85+AD85</f>
        <v>0</v>
      </c>
      <c r="C85" s="187">
        <f>H85+J85</f>
        <v>0</v>
      </c>
      <c r="D85" s="187">
        <f>E85</f>
        <v>0</v>
      </c>
      <c r="E85" s="187">
        <v>0</v>
      </c>
      <c r="F85" s="189">
        <v>0</v>
      </c>
      <c r="G85" s="189">
        <v>0</v>
      </c>
      <c r="H85" s="187">
        <v>0</v>
      </c>
      <c r="I85" s="187">
        <v>0</v>
      </c>
      <c r="J85" s="187">
        <v>0</v>
      </c>
      <c r="K85" s="187">
        <v>0</v>
      </c>
      <c r="L85" s="187">
        <v>0</v>
      </c>
      <c r="M85" s="187">
        <v>0</v>
      </c>
      <c r="N85" s="187">
        <v>0</v>
      </c>
      <c r="O85" s="187">
        <v>0</v>
      </c>
      <c r="P85" s="187">
        <v>0</v>
      </c>
      <c r="Q85" s="187">
        <v>0</v>
      </c>
      <c r="R85" s="187">
        <v>0</v>
      </c>
      <c r="S85" s="187">
        <v>0</v>
      </c>
      <c r="T85" s="187">
        <v>0</v>
      </c>
      <c r="U85" s="187">
        <v>0</v>
      </c>
      <c r="V85" s="187">
        <v>0</v>
      </c>
      <c r="W85" s="187">
        <v>0</v>
      </c>
      <c r="X85" s="187">
        <v>0</v>
      </c>
      <c r="Y85" s="187">
        <v>0</v>
      </c>
      <c r="Z85" s="187">
        <v>0</v>
      </c>
      <c r="AA85" s="187">
        <v>0</v>
      </c>
      <c r="AB85" s="187">
        <v>0</v>
      </c>
      <c r="AC85" s="187">
        <v>0</v>
      </c>
      <c r="AD85" s="187">
        <v>0</v>
      </c>
      <c r="AE85" s="187">
        <v>0</v>
      </c>
      <c r="AF85" s="191"/>
      <c r="AG85" s="171"/>
      <c r="AH85" s="617"/>
    </row>
    <row r="86" spans="1:34" x14ac:dyDescent="0.3">
      <c r="A86" s="195" t="s">
        <v>32</v>
      </c>
      <c r="B86" s="187">
        <f>H86+J86+L86+N86+P86+R86+T86+V86+X86+Z86+AB86+AD86</f>
        <v>76</v>
      </c>
      <c r="C86" s="187">
        <f>P86+V86</f>
        <v>76</v>
      </c>
      <c r="D86" s="187">
        <f>E86</f>
        <v>76</v>
      </c>
      <c r="E86" s="187">
        <f>Q86+W86</f>
        <v>76</v>
      </c>
      <c r="F86" s="189">
        <v>100</v>
      </c>
      <c r="G86" s="189">
        <v>100</v>
      </c>
      <c r="H86" s="187">
        <v>0</v>
      </c>
      <c r="I86" s="187">
        <v>0</v>
      </c>
      <c r="J86" s="187">
        <v>0</v>
      </c>
      <c r="K86" s="187">
        <v>0</v>
      </c>
      <c r="L86" s="187">
        <v>0</v>
      </c>
      <c r="M86" s="187">
        <v>0</v>
      </c>
      <c r="N86" s="187">
        <v>0</v>
      </c>
      <c r="O86" s="187">
        <v>0</v>
      </c>
      <c r="P86" s="187">
        <v>76</v>
      </c>
      <c r="Q86" s="187">
        <v>76</v>
      </c>
      <c r="R86" s="187">
        <v>0</v>
      </c>
      <c r="S86" s="187">
        <v>0</v>
      </c>
      <c r="T86" s="187">
        <v>0</v>
      </c>
      <c r="U86" s="187">
        <v>0</v>
      </c>
      <c r="V86" s="187">
        <v>0</v>
      </c>
      <c r="W86" s="187">
        <v>0</v>
      </c>
      <c r="X86" s="187">
        <v>0</v>
      </c>
      <c r="Y86" s="187">
        <v>0</v>
      </c>
      <c r="Z86" s="187">
        <v>0</v>
      </c>
      <c r="AA86" s="187">
        <v>0</v>
      </c>
      <c r="AB86" s="187">
        <v>0</v>
      </c>
      <c r="AC86" s="187">
        <v>0</v>
      </c>
      <c r="AD86" s="187">
        <v>0</v>
      </c>
      <c r="AE86" s="187">
        <v>0</v>
      </c>
      <c r="AF86" s="191"/>
      <c r="AG86" s="171"/>
      <c r="AH86" s="617"/>
    </row>
    <row r="87" spans="1:34" s="615" customFormat="1" x14ac:dyDescent="0.3">
      <c r="A87" s="680" t="s">
        <v>33</v>
      </c>
      <c r="B87" s="638">
        <f>H87+J87+L87+N87+P87+R87+T87+V87+X87+Z87+AB87+AD87</f>
        <v>4903.5579999999991</v>
      </c>
      <c r="C87" s="638">
        <f>H87+J87+L87+N87+P87+R87+T87+V87+X87+Z87+AB87+AD87</f>
        <v>4903.5579999999991</v>
      </c>
      <c r="D87" s="685">
        <f>E87</f>
        <v>4636.5</v>
      </c>
      <c r="E87" s="681">
        <f>I87+K87+M87+O87+Q87+S87+U87+W87+Y87+AA87+AC87+AE87</f>
        <v>4636.5</v>
      </c>
      <c r="F87" s="638">
        <v>0</v>
      </c>
      <c r="G87" s="638">
        <f>E87/C87*100</f>
        <v>94.553791349057164</v>
      </c>
      <c r="H87" s="638">
        <v>969.53499999999997</v>
      </c>
      <c r="I87" s="638">
        <v>452.28100000000001</v>
      </c>
      <c r="J87" s="638">
        <v>600.06700000000001</v>
      </c>
      <c r="K87" s="638">
        <v>602.96100000000001</v>
      </c>
      <c r="L87" s="638">
        <v>430.63799999999998</v>
      </c>
      <c r="M87" s="638">
        <v>360.17099999999999</v>
      </c>
      <c r="N87" s="638">
        <v>595.66499999999996</v>
      </c>
      <c r="O87" s="638">
        <v>353.04899999999998</v>
      </c>
      <c r="P87" s="638">
        <v>424.59899999999999</v>
      </c>
      <c r="Q87" s="638">
        <v>510.83300000000003</v>
      </c>
      <c r="R87" s="638">
        <v>356.61500000000001</v>
      </c>
      <c r="S87" s="638">
        <v>469.791</v>
      </c>
      <c r="T87" s="638">
        <v>489.43</v>
      </c>
      <c r="U87" s="638">
        <v>188.416</v>
      </c>
      <c r="V87" s="638">
        <v>434.483</v>
      </c>
      <c r="W87" s="638">
        <v>284.31900000000002</v>
      </c>
      <c r="X87" s="638">
        <v>342.99200000000002</v>
      </c>
      <c r="Y87" s="638">
        <v>225.11</v>
      </c>
      <c r="Z87" s="638">
        <v>259.53399999999999</v>
      </c>
      <c r="AA87" s="638">
        <v>280.39999999999998</v>
      </c>
      <c r="AB87" s="638">
        <v>0</v>
      </c>
      <c r="AC87" s="638">
        <v>326.76499999999999</v>
      </c>
      <c r="AD87" s="638">
        <v>0</v>
      </c>
      <c r="AE87" s="638">
        <v>582.404</v>
      </c>
      <c r="AF87" s="682"/>
      <c r="AG87" s="683"/>
      <c r="AH87" s="684"/>
    </row>
    <row r="88" spans="1:34" x14ac:dyDescent="0.3">
      <c r="A88" s="195" t="s">
        <v>221</v>
      </c>
      <c r="B88" s="187">
        <f>H88+J88+L88+N88+P88+R88+T88+V88+X88+Z88+AB88+AD88</f>
        <v>0</v>
      </c>
      <c r="C88" s="187">
        <f>H88+J88</f>
        <v>0</v>
      </c>
      <c r="D88" s="187">
        <f>E88</f>
        <v>0</v>
      </c>
      <c r="E88" s="187">
        <v>0</v>
      </c>
      <c r="F88" s="189">
        <v>0</v>
      </c>
      <c r="G88" s="189">
        <v>0</v>
      </c>
      <c r="H88" s="187">
        <v>0</v>
      </c>
      <c r="I88" s="187">
        <v>0</v>
      </c>
      <c r="J88" s="187">
        <v>0</v>
      </c>
      <c r="K88" s="187">
        <v>0</v>
      </c>
      <c r="L88" s="187">
        <v>0</v>
      </c>
      <c r="M88" s="187">
        <v>0</v>
      </c>
      <c r="N88" s="187">
        <v>0</v>
      </c>
      <c r="O88" s="187">
        <v>0</v>
      </c>
      <c r="P88" s="187">
        <v>0</v>
      </c>
      <c r="Q88" s="187">
        <v>0</v>
      </c>
      <c r="R88" s="187">
        <v>0</v>
      </c>
      <c r="S88" s="187">
        <v>0</v>
      </c>
      <c r="T88" s="187">
        <v>0</v>
      </c>
      <c r="U88" s="187">
        <v>0</v>
      </c>
      <c r="V88" s="187">
        <v>0</v>
      </c>
      <c r="W88" s="187">
        <v>0</v>
      </c>
      <c r="X88" s="187">
        <v>0</v>
      </c>
      <c r="Y88" s="187">
        <v>0</v>
      </c>
      <c r="Z88" s="187">
        <v>0</v>
      </c>
      <c r="AA88" s="187">
        <v>0</v>
      </c>
      <c r="AB88" s="187">
        <v>0</v>
      </c>
      <c r="AC88" s="187">
        <v>0</v>
      </c>
      <c r="AD88" s="187">
        <v>0</v>
      </c>
      <c r="AE88" s="187">
        <v>0</v>
      </c>
      <c r="AF88" s="191"/>
      <c r="AG88" s="171"/>
      <c r="AH88" s="617"/>
    </row>
    <row r="89" spans="1:34" ht="40.15" customHeight="1" x14ac:dyDescent="0.3">
      <c r="A89" s="186" t="s">
        <v>247</v>
      </c>
      <c r="B89" s="187"/>
      <c r="C89" s="187"/>
      <c r="D89" s="187"/>
      <c r="E89" s="188"/>
      <c r="F89" s="189"/>
      <c r="G89" s="189"/>
      <c r="H89" s="187"/>
      <c r="I89" s="188"/>
      <c r="J89" s="187"/>
      <c r="K89" s="188"/>
      <c r="L89" s="187"/>
      <c r="M89" s="188"/>
      <c r="N89" s="187"/>
      <c r="O89" s="188"/>
      <c r="P89" s="187"/>
      <c r="Q89" s="188"/>
      <c r="R89" s="187"/>
      <c r="S89" s="188"/>
      <c r="T89" s="187"/>
      <c r="U89" s="188"/>
      <c r="V89" s="187"/>
      <c r="W89" s="188"/>
      <c r="X89" s="187"/>
      <c r="Y89" s="188"/>
      <c r="Z89" s="187"/>
      <c r="AA89" s="188"/>
      <c r="AB89" s="187"/>
      <c r="AC89" s="188"/>
      <c r="AD89" s="187"/>
      <c r="AE89" s="190"/>
      <c r="AF89" s="191"/>
      <c r="AG89" s="171"/>
      <c r="AH89" s="617"/>
    </row>
    <row r="90" spans="1:34" s="173" customFormat="1" ht="99.6" customHeight="1" x14ac:dyDescent="0.3">
      <c r="A90" s="192" t="s">
        <v>31</v>
      </c>
      <c r="B90" s="193">
        <f>B91+B93+B92+B94</f>
        <v>3555.5569999999998</v>
      </c>
      <c r="C90" s="193">
        <f>C91+C93+C92+C94</f>
        <v>3555.5569999999998</v>
      </c>
      <c r="D90" s="193">
        <f>D91+D93+D92+D94</f>
        <v>3441.1109999999999</v>
      </c>
      <c r="E90" s="193">
        <f>E91+E93+E92+E94</f>
        <v>3441.1109999999999</v>
      </c>
      <c r="F90" s="194">
        <f>F91+F93+F94</f>
        <v>96.637317022578102</v>
      </c>
      <c r="G90" s="194">
        <f>E90/C90*100</f>
        <v>96.781207557634431</v>
      </c>
      <c r="H90" s="193">
        <f>H91+H92+H93+H94</f>
        <v>512.93100000000004</v>
      </c>
      <c r="I90" s="193">
        <f>I91+I92+I93+I94</f>
        <v>205.011</v>
      </c>
      <c r="J90" s="193">
        <f>J91+J92+J93+J94</f>
        <v>308.41800000000001</v>
      </c>
      <c r="K90" s="193">
        <f>K93</f>
        <v>264.72800000000001</v>
      </c>
      <c r="L90" s="193">
        <f>L91+L92+L93+L94</f>
        <v>245.05500000000001</v>
      </c>
      <c r="M90" s="193">
        <f>M93</f>
        <v>267.84399999999999</v>
      </c>
      <c r="N90" s="193">
        <f>N91+N92+N93+N94</f>
        <v>360.76100000000002</v>
      </c>
      <c r="O90" s="193">
        <f>O93</f>
        <v>212.29400000000001</v>
      </c>
      <c r="P90" s="193">
        <f>P93+P92</f>
        <v>431.99400000000003</v>
      </c>
      <c r="Q90" s="193">
        <f>Q93+Q92</f>
        <v>685.17</v>
      </c>
      <c r="R90" s="193">
        <f>R91+R92+R93+R94</f>
        <v>245.05500000000001</v>
      </c>
      <c r="S90" s="193">
        <f>S93+S92</f>
        <v>246.28899999999999</v>
      </c>
      <c r="T90" s="193">
        <f>T91+T92+T93+T94</f>
        <v>360.76100000000002</v>
      </c>
      <c r="U90" s="193">
        <f>U93+U92</f>
        <v>209.13900000000001</v>
      </c>
      <c r="V90" s="193">
        <f>V91+V92+V93+V94</f>
        <v>317.76</v>
      </c>
      <c r="W90" s="193">
        <f>W93</f>
        <v>202.36699999999999</v>
      </c>
      <c r="X90" s="193">
        <f>X91+X92+X93+X94</f>
        <v>245.95500000000001</v>
      </c>
      <c r="Y90" s="193">
        <f>Y93</f>
        <v>167.875</v>
      </c>
      <c r="Z90" s="193">
        <f>Z91+Z92+Z93+Z94</f>
        <v>361.06099999999998</v>
      </c>
      <c r="AA90" s="193">
        <f>AA93</f>
        <v>235.755</v>
      </c>
      <c r="AB90" s="193">
        <f>AB91+AB92+AB93+AB94</f>
        <v>165.80600000000001</v>
      </c>
      <c r="AC90" s="193">
        <f>AC93</f>
        <v>181.20500000000001</v>
      </c>
      <c r="AD90" s="193">
        <v>0</v>
      </c>
      <c r="AE90" s="193">
        <f>AE93</f>
        <v>563.43399999999997</v>
      </c>
      <c r="AF90" s="679" t="s">
        <v>686</v>
      </c>
      <c r="AG90" s="171"/>
      <c r="AH90" s="617"/>
    </row>
    <row r="91" spans="1:34" x14ac:dyDescent="0.3">
      <c r="A91" s="195" t="s">
        <v>169</v>
      </c>
      <c r="B91" s="187">
        <f>H91+J91+L91+N91+P91+R91+T91+V91+X91+Z91+AB91+AD91</f>
        <v>0</v>
      </c>
      <c r="C91" s="187">
        <f>H91+J91</f>
        <v>0</v>
      </c>
      <c r="D91" s="187">
        <f>E91</f>
        <v>0</v>
      </c>
      <c r="E91" s="187">
        <v>0</v>
      </c>
      <c r="F91" s="189">
        <v>0</v>
      </c>
      <c r="G91" s="189">
        <v>0</v>
      </c>
      <c r="H91" s="187">
        <v>0</v>
      </c>
      <c r="I91" s="187">
        <v>0</v>
      </c>
      <c r="J91" s="187">
        <v>0</v>
      </c>
      <c r="K91" s="187">
        <v>0</v>
      </c>
      <c r="L91" s="187">
        <v>0</v>
      </c>
      <c r="M91" s="187">
        <v>0</v>
      </c>
      <c r="N91" s="187">
        <v>0</v>
      </c>
      <c r="O91" s="187">
        <v>0</v>
      </c>
      <c r="P91" s="187">
        <v>0</v>
      </c>
      <c r="Q91" s="187">
        <v>0</v>
      </c>
      <c r="R91" s="187">
        <v>0</v>
      </c>
      <c r="S91" s="187">
        <v>0</v>
      </c>
      <c r="T91" s="187">
        <v>0</v>
      </c>
      <c r="U91" s="187">
        <v>0</v>
      </c>
      <c r="V91" s="187">
        <v>0</v>
      </c>
      <c r="W91" s="187">
        <v>0</v>
      </c>
      <c r="X91" s="187">
        <v>0</v>
      </c>
      <c r="Y91" s="187">
        <v>0</v>
      </c>
      <c r="Z91" s="187">
        <v>0</v>
      </c>
      <c r="AA91" s="187">
        <v>0</v>
      </c>
      <c r="AB91" s="187">
        <v>0</v>
      </c>
      <c r="AC91" s="187">
        <v>0</v>
      </c>
      <c r="AD91" s="187">
        <v>0</v>
      </c>
      <c r="AE91" s="187">
        <v>0</v>
      </c>
      <c r="AF91" s="191"/>
      <c r="AG91" s="171"/>
      <c r="AH91" s="617"/>
    </row>
    <row r="92" spans="1:34" ht="39.6" customHeight="1" x14ac:dyDescent="0.3">
      <c r="A92" s="195" t="s">
        <v>32</v>
      </c>
      <c r="B92" s="638">
        <f>P92+V92</f>
        <v>151.995</v>
      </c>
      <c r="C92" s="638">
        <f>P92+V92</f>
        <v>151.995</v>
      </c>
      <c r="D92" s="685">
        <f>E92</f>
        <v>152</v>
      </c>
      <c r="E92" s="681">
        <f>Q92+W92</f>
        <v>152</v>
      </c>
      <c r="F92" s="638">
        <v>100</v>
      </c>
      <c r="G92" s="638">
        <v>100</v>
      </c>
      <c r="H92" s="187">
        <v>0</v>
      </c>
      <c r="I92" s="187">
        <v>0</v>
      </c>
      <c r="J92" s="187">
        <v>0</v>
      </c>
      <c r="K92" s="187">
        <v>0</v>
      </c>
      <c r="L92" s="187">
        <v>0</v>
      </c>
      <c r="M92" s="187">
        <v>0</v>
      </c>
      <c r="N92" s="187">
        <v>0</v>
      </c>
      <c r="O92" s="187">
        <v>0</v>
      </c>
      <c r="P92" s="638">
        <v>151.995</v>
      </c>
      <c r="Q92" s="638">
        <v>152</v>
      </c>
      <c r="R92" s="187">
        <v>0</v>
      </c>
      <c r="S92" s="187">
        <v>0</v>
      </c>
      <c r="T92" s="187">
        <v>0</v>
      </c>
      <c r="U92" s="187">
        <v>0</v>
      </c>
      <c r="V92" s="187">
        <v>0</v>
      </c>
      <c r="W92" s="187">
        <v>0</v>
      </c>
      <c r="X92" s="187">
        <v>0</v>
      </c>
      <c r="Y92" s="187">
        <v>0</v>
      </c>
      <c r="Z92" s="187">
        <v>0</v>
      </c>
      <c r="AA92" s="187">
        <v>0</v>
      </c>
      <c r="AB92" s="187">
        <v>0</v>
      </c>
      <c r="AC92" s="187">
        <v>0</v>
      </c>
      <c r="AD92" s="187">
        <v>0</v>
      </c>
      <c r="AE92" s="187">
        <v>0</v>
      </c>
      <c r="AF92" s="191"/>
      <c r="AG92" s="171"/>
      <c r="AH92" s="617"/>
    </row>
    <row r="93" spans="1:34" s="615" customFormat="1" x14ac:dyDescent="0.3">
      <c r="A93" s="680" t="s">
        <v>33</v>
      </c>
      <c r="B93" s="638">
        <f>H93+J93+L93+N93+P93+R93+T93+V93+X93+Z93+AB93+AD93</f>
        <v>3403.5619999999999</v>
      </c>
      <c r="C93" s="638">
        <f>H93+J93+L93+N93+P93+R93+T93+V93+X93+Z93+AB93+AD93</f>
        <v>3403.5619999999999</v>
      </c>
      <c r="D93" s="685">
        <f>E93</f>
        <v>3289.1109999999999</v>
      </c>
      <c r="E93" s="681">
        <f>I93+K93+M93+O93+Q93+S93+U93+W93+Y93+AA93+AC93+AE93</f>
        <v>3289.1109999999999</v>
      </c>
      <c r="F93" s="638">
        <f>E93/B93*100</f>
        <v>96.637317022578102</v>
      </c>
      <c r="G93" s="638">
        <f>E93/C93*100</f>
        <v>96.637317022578102</v>
      </c>
      <c r="H93" s="638">
        <v>512.93100000000004</v>
      </c>
      <c r="I93" s="638">
        <v>205.011</v>
      </c>
      <c r="J93" s="638">
        <v>308.41800000000001</v>
      </c>
      <c r="K93" s="638">
        <v>264.72800000000001</v>
      </c>
      <c r="L93" s="638">
        <v>245.05500000000001</v>
      </c>
      <c r="M93" s="638">
        <v>267.84399999999999</v>
      </c>
      <c r="N93" s="638">
        <v>360.76100000000002</v>
      </c>
      <c r="O93" s="638">
        <v>212.29400000000001</v>
      </c>
      <c r="P93" s="638">
        <v>279.99900000000002</v>
      </c>
      <c r="Q93" s="638">
        <v>533.16999999999996</v>
      </c>
      <c r="R93" s="638">
        <v>245.05500000000001</v>
      </c>
      <c r="S93" s="638">
        <v>246.28899999999999</v>
      </c>
      <c r="T93" s="638">
        <v>360.76100000000002</v>
      </c>
      <c r="U93" s="638">
        <v>209.13900000000001</v>
      </c>
      <c r="V93" s="638">
        <v>317.76</v>
      </c>
      <c r="W93" s="638">
        <v>202.36699999999999</v>
      </c>
      <c r="X93" s="638">
        <v>245.95500000000001</v>
      </c>
      <c r="Y93" s="638">
        <v>167.875</v>
      </c>
      <c r="Z93" s="638">
        <v>361.06099999999998</v>
      </c>
      <c r="AA93" s="638">
        <v>235.755</v>
      </c>
      <c r="AB93" s="638">
        <v>165.80600000000001</v>
      </c>
      <c r="AC93" s="638">
        <v>181.20500000000001</v>
      </c>
      <c r="AD93" s="638">
        <v>0</v>
      </c>
      <c r="AE93" s="638">
        <v>563.43399999999997</v>
      </c>
      <c r="AF93" s="799"/>
      <c r="AG93" s="683"/>
      <c r="AH93" s="684"/>
    </row>
    <row r="94" spans="1:34" x14ac:dyDescent="0.3">
      <c r="A94" s="195" t="s">
        <v>221</v>
      </c>
      <c r="B94" s="187">
        <f>H94+J94+L94+N94+P94+R94+T94+V94+X94+Z94+AB94+AD94</f>
        <v>0</v>
      </c>
      <c r="C94" s="187">
        <f>H94+J94</f>
        <v>0</v>
      </c>
      <c r="D94" s="187">
        <v>0</v>
      </c>
      <c r="E94" s="187">
        <v>0</v>
      </c>
      <c r="F94" s="189">
        <v>0</v>
      </c>
      <c r="G94" s="189">
        <v>0</v>
      </c>
      <c r="H94" s="187">
        <v>0</v>
      </c>
      <c r="I94" s="187">
        <v>0</v>
      </c>
      <c r="J94" s="187">
        <v>0</v>
      </c>
      <c r="K94" s="187">
        <v>0</v>
      </c>
      <c r="L94" s="187">
        <v>0</v>
      </c>
      <c r="M94" s="187">
        <v>0</v>
      </c>
      <c r="N94" s="187">
        <v>0</v>
      </c>
      <c r="O94" s="187">
        <v>0</v>
      </c>
      <c r="P94" s="187">
        <v>0</v>
      </c>
      <c r="Q94" s="187">
        <v>0</v>
      </c>
      <c r="R94" s="187">
        <v>0</v>
      </c>
      <c r="S94" s="187">
        <v>0</v>
      </c>
      <c r="T94" s="187">
        <v>0</v>
      </c>
      <c r="U94" s="187">
        <v>0</v>
      </c>
      <c r="V94" s="187">
        <v>0</v>
      </c>
      <c r="W94" s="187">
        <v>0</v>
      </c>
      <c r="X94" s="187">
        <v>0</v>
      </c>
      <c r="Y94" s="187">
        <v>0</v>
      </c>
      <c r="Z94" s="187">
        <v>0</v>
      </c>
      <c r="AA94" s="187">
        <v>0</v>
      </c>
      <c r="AB94" s="187">
        <v>0</v>
      </c>
      <c r="AC94" s="187">
        <v>0</v>
      </c>
      <c r="AD94" s="187">
        <v>0</v>
      </c>
      <c r="AE94" s="187">
        <v>0</v>
      </c>
      <c r="AF94" s="191"/>
      <c r="AG94" s="171"/>
      <c r="AH94" s="617"/>
    </row>
    <row r="95" spans="1:34" ht="35.450000000000003" customHeight="1" x14ac:dyDescent="0.3">
      <c r="A95" s="186" t="s">
        <v>248</v>
      </c>
      <c r="B95" s="187"/>
      <c r="C95" s="187"/>
      <c r="D95" s="187"/>
      <c r="E95" s="188"/>
      <c r="F95" s="189"/>
      <c r="G95" s="189"/>
      <c r="H95" s="187"/>
      <c r="I95" s="188"/>
      <c r="J95" s="187"/>
      <c r="K95" s="188"/>
      <c r="L95" s="187"/>
      <c r="M95" s="188"/>
      <c r="N95" s="187"/>
      <c r="O95" s="188"/>
      <c r="P95" s="187"/>
      <c r="Q95" s="188"/>
      <c r="R95" s="187"/>
      <c r="S95" s="188"/>
      <c r="T95" s="187"/>
      <c r="U95" s="188"/>
      <c r="V95" s="187"/>
      <c r="W95" s="188"/>
      <c r="X95" s="187"/>
      <c r="Y95" s="188"/>
      <c r="Z95" s="187"/>
      <c r="AA95" s="188"/>
      <c r="AB95" s="187"/>
      <c r="AC95" s="188"/>
      <c r="AD95" s="187"/>
      <c r="AE95" s="190"/>
      <c r="AF95" s="191"/>
      <c r="AG95" s="171"/>
      <c r="AH95" s="617"/>
    </row>
    <row r="96" spans="1:34" s="173" customFormat="1" ht="45.6" customHeight="1" x14ac:dyDescent="0.3">
      <c r="A96" s="192" t="s">
        <v>31</v>
      </c>
      <c r="B96" s="193">
        <f>B97+B98+B99+B100</f>
        <v>18527.383000000002</v>
      </c>
      <c r="C96" s="193">
        <f>C97+C98+C99+C100</f>
        <v>18527.383000000002</v>
      </c>
      <c r="D96" s="193">
        <f>D97+D98+D99+D100</f>
        <v>18217.946</v>
      </c>
      <c r="E96" s="193">
        <f>E97+E98+E99+E100</f>
        <v>18217.946</v>
      </c>
      <c r="F96" s="194">
        <f>F97+F99+F100</f>
        <v>98.283438461882383</v>
      </c>
      <c r="G96" s="194">
        <f>E96/C96*100</f>
        <v>98.329839675684354</v>
      </c>
      <c r="H96" s="193">
        <f>H97+H98+H99+H100</f>
        <v>2067.4499999999998</v>
      </c>
      <c r="I96" s="193">
        <f>I97+I98+I99+I100</f>
        <v>1047.556</v>
      </c>
      <c r="J96" s="193">
        <f>J97+J98+J99+J100</f>
        <v>1384.5540000000001</v>
      </c>
      <c r="K96" s="193">
        <f>K99</f>
        <v>1483.78</v>
      </c>
      <c r="L96" s="193">
        <f>L97+L98+L99+L100</f>
        <v>1148.2139999999999</v>
      </c>
      <c r="M96" s="193">
        <f>M99</f>
        <v>1305.675</v>
      </c>
      <c r="N96" s="193">
        <f>N97+N98+N99+N100</f>
        <v>1720.4749999999999</v>
      </c>
      <c r="O96" s="193">
        <f>O99</f>
        <v>1248.6420000000001</v>
      </c>
      <c r="P96" s="193">
        <f>P99+P98</f>
        <v>1925.2950000000001</v>
      </c>
      <c r="Q96" s="193">
        <v>1888.4939999999999</v>
      </c>
      <c r="R96" s="193">
        <f>R97+R98+R99+R100</f>
        <v>1222.337</v>
      </c>
      <c r="S96" s="193">
        <f>S99</f>
        <v>1995.915</v>
      </c>
      <c r="T96" s="193">
        <f>T97+T98+T99+T100</f>
        <v>1863.41</v>
      </c>
      <c r="U96" s="193">
        <f>U99</f>
        <v>1711.33</v>
      </c>
      <c r="V96" s="193">
        <f>V99</f>
        <v>1584.1</v>
      </c>
      <c r="W96" s="193">
        <f>W99</f>
        <v>1656.1379999999999</v>
      </c>
      <c r="X96" s="193">
        <f>X97+X98+X99+X100</f>
        <v>1236.337</v>
      </c>
      <c r="Y96" s="193">
        <f>Y99</f>
        <v>960.31500000000005</v>
      </c>
      <c r="Z96" s="193">
        <f>Z97+Z98+Z99+Z100</f>
        <v>1736.258</v>
      </c>
      <c r="AA96" s="193">
        <f>AA99</f>
        <v>1243.6859999999999</v>
      </c>
      <c r="AB96" s="193">
        <f>AB97+AB98+AB99+AB100</f>
        <v>1480.6780000000001</v>
      </c>
      <c r="AC96" s="193">
        <f>AC99</f>
        <v>971.29399999999998</v>
      </c>
      <c r="AD96" s="193">
        <f>AD97+AD98+AD99+AD100</f>
        <v>1158.2750000000001</v>
      </c>
      <c r="AE96" s="193">
        <f>AE99</f>
        <v>2705.125</v>
      </c>
      <c r="AF96" s="191"/>
      <c r="AG96" s="171"/>
      <c r="AH96" s="617"/>
    </row>
    <row r="97" spans="1:35" x14ac:dyDescent="0.3">
      <c r="A97" s="195" t="s">
        <v>169</v>
      </c>
      <c r="B97" s="187">
        <f>H97+J97+L97+N97+P97+R97+T97+V97+X97+Z97+AB97+AD97</f>
        <v>0</v>
      </c>
      <c r="C97" s="187">
        <f>H97+J97</f>
        <v>0</v>
      </c>
      <c r="D97" s="187">
        <f>E97</f>
        <v>0</v>
      </c>
      <c r="E97" s="187">
        <v>0</v>
      </c>
      <c r="F97" s="189">
        <v>0</v>
      </c>
      <c r="G97" s="189">
        <v>0</v>
      </c>
      <c r="H97" s="187">
        <v>0</v>
      </c>
      <c r="I97" s="187">
        <v>0</v>
      </c>
      <c r="J97" s="187">
        <v>0</v>
      </c>
      <c r="K97" s="187">
        <v>0</v>
      </c>
      <c r="L97" s="187">
        <v>0</v>
      </c>
      <c r="M97" s="187">
        <v>0</v>
      </c>
      <c r="N97" s="187">
        <v>0</v>
      </c>
      <c r="O97" s="187">
        <v>0</v>
      </c>
      <c r="P97" s="187">
        <v>0</v>
      </c>
      <c r="Q97" s="187">
        <v>0</v>
      </c>
      <c r="R97" s="187">
        <v>0</v>
      </c>
      <c r="S97" s="187">
        <v>0</v>
      </c>
      <c r="T97" s="187">
        <v>0</v>
      </c>
      <c r="U97" s="187">
        <v>0</v>
      </c>
      <c r="V97" s="187">
        <v>0</v>
      </c>
      <c r="W97" s="187">
        <v>0</v>
      </c>
      <c r="X97" s="187">
        <v>0</v>
      </c>
      <c r="Y97" s="187">
        <v>0</v>
      </c>
      <c r="Z97" s="187">
        <v>0</v>
      </c>
      <c r="AA97" s="187">
        <v>0</v>
      </c>
      <c r="AB97" s="187">
        <v>0</v>
      </c>
      <c r="AC97" s="187">
        <v>0</v>
      </c>
      <c r="AD97" s="187">
        <v>0</v>
      </c>
      <c r="AE97" s="187">
        <v>0</v>
      </c>
      <c r="AF97" s="191"/>
      <c r="AG97" s="171"/>
      <c r="AH97" s="617"/>
    </row>
    <row r="98" spans="1:35" ht="58.9" customHeight="1" x14ac:dyDescent="0.3">
      <c r="A98" s="195" t="s">
        <v>32</v>
      </c>
      <c r="B98" s="187">
        <f>P98</f>
        <v>500.88099999999997</v>
      </c>
      <c r="C98" s="187">
        <f>P98+V98</f>
        <v>500.88099999999997</v>
      </c>
      <c r="D98" s="187">
        <f>E98</f>
        <v>500.88</v>
      </c>
      <c r="E98" s="187">
        <f>Q98</f>
        <v>500.88</v>
      </c>
      <c r="F98" s="638">
        <v>100</v>
      </c>
      <c r="G98" s="638">
        <v>100</v>
      </c>
      <c r="H98" s="187">
        <v>0</v>
      </c>
      <c r="I98" s="187">
        <v>0</v>
      </c>
      <c r="J98" s="187">
        <v>0</v>
      </c>
      <c r="K98" s="187">
        <v>0</v>
      </c>
      <c r="L98" s="187">
        <v>0</v>
      </c>
      <c r="M98" s="187">
        <v>0</v>
      </c>
      <c r="N98" s="187">
        <v>0</v>
      </c>
      <c r="O98" s="187">
        <v>0</v>
      </c>
      <c r="P98" s="638">
        <v>500.88099999999997</v>
      </c>
      <c r="Q98" s="638">
        <v>500.88</v>
      </c>
      <c r="R98" s="187">
        <v>0</v>
      </c>
      <c r="S98" s="187">
        <v>0</v>
      </c>
      <c r="T98" s="187">
        <v>0</v>
      </c>
      <c r="U98" s="187">
        <v>0</v>
      </c>
      <c r="V98" s="187">
        <v>0</v>
      </c>
      <c r="W98" s="187">
        <v>0</v>
      </c>
      <c r="X98" s="187">
        <v>0</v>
      </c>
      <c r="Y98" s="187">
        <v>0</v>
      </c>
      <c r="Z98" s="187">
        <v>0</v>
      </c>
      <c r="AA98" s="187" t="s">
        <v>463</v>
      </c>
      <c r="AB98" s="187">
        <v>0</v>
      </c>
      <c r="AC98" s="187" t="s">
        <v>463</v>
      </c>
      <c r="AD98" s="187">
        <v>0</v>
      </c>
      <c r="AE98" s="187">
        <v>0</v>
      </c>
      <c r="AF98" s="191"/>
      <c r="AG98" s="171"/>
      <c r="AH98" s="617"/>
    </row>
    <row r="99" spans="1:35" s="615" customFormat="1" ht="41.45" customHeight="1" x14ac:dyDescent="0.3">
      <c r="A99" s="680" t="s">
        <v>33</v>
      </c>
      <c r="B99" s="837">
        <f>H99+J99+L99+N99+P99+R99+T99+V99+X99+Z99+AB99+AD99</f>
        <v>18026.502</v>
      </c>
      <c r="C99" s="837">
        <f>H99+J99+L99+N99+P99+R99+T99+V99+X99+Z99+AB99+AD99</f>
        <v>18026.502</v>
      </c>
      <c r="D99" s="187">
        <f>E99</f>
        <v>17717.065999999999</v>
      </c>
      <c r="E99" s="837">
        <f>I99+K99+M99+O99+Q99+S99+U99+W99+Y99+AA99+AC99+AE99</f>
        <v>17717.065999999999</v>
      </c>
      <c r="F99" s="187">
        <f>E99/B99*100</f>
        <v>98.283438461882383</v>
      </c>
      <c r="G99" s="187">
        <f>E99/C99*100</f>
        <v>98.283438461882383</v>
      </c>
      <c r="H99" s="187">
        <v>2067.4499999999998</v>
      </c>
      <c r="I99" s="187">
        <v>1047.556</v>
      </c>
      <c r="J99" s="187">
        <v>1384.5540000000001</v>
      </c>
      <c r="K99" s="187">
        <v>1483.78</v>
      </c>
      <c r="L99" s="187">
        <v>1148.2139999999999</v>
      </c>
      <c r="M99" s="187">
        <v>1305.675</v>
      </c>
      <c r="N99" s="187">
        <v>1720.4749999999999</v>
      </c>
      <c r="O99" s="187">
        <v>1248.6420000000001</v>
      </c>
      <c r="P99" s="187">
        <v>1424.414</v>
      </c>
      <c r="Q99" s="187">
        <v>1387.61</v>
      </c>
      <c r="R99" s="187">
        <v>1222.337</v>
      </c>
      <c r="S99" s="187">
        <v>1995.915</v>
      </c>
      <c r="T99" s="187">
        <v>1863.41</v>
      </c>
      <c r="U99" s="187">
        <v>1711.33</v>
      </c>
      <c r="V99" s="187">
        <v>1584.1</v>
      </c>
      <c r="W99" s="187">
        <v>1656.1379999999999</v>
      </c>
      <c r="X99" s="187">
        <v>1236.337</v>
      </c>
      <c r="Y99" s="187">
        <v>960.31500000000005</v>
      </c>
      <c r="Z99" s="187">
        <v>1736.258</v>
      </c>
      <c r="AA99" s="187">
        <v>1243.6859999999999</v>
      </c>
      <c r="AB99" s="187">
        <v>1480.6780000000001</v>
      </c>
      <c r="AC99" s="638">
        <v>971.29399999999998</v>
      </c>
      <c r="AD99" s="638">
        <v>1158.2750000000001</v>
      </c>
      <c r="AE99" s="638">
        <v>2705.125</v>
      </c>
      <c r="AF99" s="490" t="s">
        <v>687</v>
      </c>
      <c r="AG99" s="683"/>
      <c r="AH99" s="684"/>
    </row>
    <row r="100" spans="1:35" ht="58.9" customHeight="1" x14ac:dyDescent="0.3">
      <c r="A100" s="195" t="s">
        <v>221</v>
      </c>
      <c r="B100" s="187">
        <f>H100+J100+L100+N100+P100+R100+T100+V100+X100+Z100+AB100+AD100</f>
        <v>0</v>
      </c>
      <c r="C100" s="187">
        <f>H100+J100</f>
        <v>0</v>
      </c>
      <c r="D100" s="187">
        <f>E100</f>
        <v>0</v>
      </c>
      <c r="E100" s="187">
        <v>0</v>
      </c>
      <c r="F100" s="189">
        <v>0</v>
      </c>
      <c r="G100" s="189">
        <v>0</v>
      </c>
      <c r="H100" s="187">
        <v>0</v>
      </c>
      <c r="I100" s="187">
        <v>0</v>
      </c>
      <c r="J100" s="187">
        <v>0</v>
      </c>
      <c r="K100" s="187">
        <v>0</v>
      </c>
      <c r="L100" s="187">
        <v>0</v>
      </c>
      <c r="M100" s="187">
        <v>0</v>
      </c>
      <c r="N100" s="187">
        <v>0</v>
      </c>
      <c r="O100" s="187">
        <v>0</v>
      </c>
      <c r="P100" s="187">
        <v>0</v>
      </c>
      <c r="Q100" s="187">
        <v>0</v>
      </c>
      <c r="R100" s="187">
        <v>0</v>
      </c>
      <c r="S100" s="187" t="s">
        <v>463</v>
      </c>
      <c r="T100" s="187">
        <v>0</v>
      </c>
      <c r="U100" s="187">
        <v>0</v>
      </c>
      <c r="V100" s="187">
        <v>0</v>
      </c>
      <c r="W100" s="187">
        <v>0</v>
      </c>
      <c r="X100" s="187">
        <v>0</v>
      </c>
      <c r="Y100" s="187">
        <v>0</v>
      </c>
      <c r="Z100" s="187">
        <v>0</v>
      </c>
      <c r="AA100" s="187">
        <v>0</v>
      </c>
      <c r="AB100" s="187">
        <v>0</v>
      </c>
      <c r="AC100" s="187">
        <v>0</v>
      </c>
      <c r="AD100" s="187">
        <v>0</v>
      </c>
      <c r="AE100" s="187">
        <v>0</v>
      </c>
      <c r="AF100" s="191"/>
      <c r="AG100" s="171"/>
      <c r="AH100" s="617"/>
    </row>
    <row r="101" spans="1:35" s="173" customFormat="1" x14ac:dyDescent="0.3">
      <c r="A101" s="144" t="s">
        <v>233</v>
      </c>
      <c r="B101" s="202">
        <f>B102+B103+B104+B105</f>
        <v>53860.403249999996</v>
      </c>
      <c r="C101" s="202">
        <f>C102+C103+C104+C105</f>
        <v>53860.403249999996</v>
      </c>
      <c r="D101" s="202">
        <f>D104+D103</f>
        <v>51860.852999999996</v>
      </c>
      <c r="E101" s="202">
        <f>E102+E103+E104+E105</f>
        <v>51860.852999999996</v>
      </c>
      <c r="F101" s="202">
        <f>F104</f>
        <v>100.00054879019203</v>
      </c>
      <c r="G101" s="202">
        <f>G104</f>
        <v>96.236595570476467</v>
      </c>
      <c r="H101" s="202">
        <f>H102+H103+H104+H105</f>
        <v>10203.864809999999</v>
      </c>
      <c r="I101" s="202">
        <f>I104</f>
        <v>7618.1379999999999</v>
      </c>
      <c r="J101" s="202">
        <f>J102+J103+J104+J105</f>
        <v>3753.0886200000004</v>
      </c>
      <c r="K101" s="202">
        <f>K104</f>
        <v>3564.5309999999999</v>
      </c>
      <c r="L101" s="202">
        <f>L102+L103+L104+L105</f>
        <v>3362.1325400000001</v>
      </c>
      <c r="M101" s="202">
        <f>M104</f>
        <v>3334.3150000000001</v>
      </c>
      <c r="N101" s="202">
        <f t="shared" ref="N101:T101" si="36">N102+N103+N104+N105</f>
        <v>4196.9009999999998</v>
      </c>
      <c r="O101" s="202">
        <f t="shared" si="36"/>
        <v>3334</v>
      </c>
      <c r="P101" s="202">
        <f t="shared" si="36"/>
        <v>4311.6192799999999</v>
      </c>
      <c r="Q101" s="202">
        <f t="shared" si="36"/>
        <v>3767.5149999999999</v>
      </c>
      <c r="R101" s="202">
        <f t="shared" si="36"/>
        <v>3604.2290000000003</v>
      </c>
      <c r="S101" s="202">
        <f t="shared" si="36"/>
        <v>4290.9949999999999</v>
      </c>
      <c r="T101" s="202">
        <f t="shared" si="36"/>
        <v>4661.8630000000003</v>
      </c>
      <c r="U101" s="202">
        <f>U104</f>
        <v>3724.8449999999998</v>
      </c>
      <c r="V101" s="202">
        <f>V102+V103+V104+V105</f>
        <v>5378.88</v>
      </c>
      <c r="W101" s="202">
        <f>W104</f>
        <v>5203.7939999999999</v>
      </c>
      <c r="X101" s="202">
        <f>X102+X103+X104+X105</f>
        <v>3546.0210000000002</v>
      </c>
      <c r="Y101" s="202">
        <f>Y104</f>
        <v>2464.875</v>
      </c>
      <c r="Z101" s="202">
        <f>Z102+Z103+Z104+Z105</f>
        <v>3963.4650000000001</v>
      </c>
      <c r="AA101" s="202">
        <f>AA104</f>
        <v>3133.116</v>
      </c>
      <c r="AB101" s="202">
        <f>AB102+AB103+AB104+AB105</f>
        <v>4091.8770000000004</v>
      </c>
      <c r="AC101" s="202">
        <f>AC104</f>
        <v>3050.8389999999999</v>
      </c>
      <c r="AD101" s="202">
        <f>AD102+AD103+AD104+AD105</f>
        <v>2786.462</v>
      </c>
      <c r="AE101" s="202"/>
      <c r="AF101" s="203"/>
      <c r="AG101" s="171"/>
      <c r="AH101" s="617"/>
    </row>
    <row r="102" spans="1:35" s="173" customFormat="1" ht="34.15" customHeight="1" x14ac:dyDescent="0.3">
      <c r="A102" s="146" t="s">
        <v>169</v>
      </c>
      <c r="B102" s="204">
        <f t="shared" ref="B102:AE102" si="37">B13+B45+B51+B59+B79</f>
        <v>0</v>
      </c>
      <c r="C102" s="204">
        <f t="shared" si="37"/>
        <v>0</v>
      </c>
      <c r="D102" s="204">
        <f t="shared" si="37"/>
        <v>0</v>
      </c>
      <c r="E102" s="204">
        <f t="shared" si="37"/>
        <v>0</v>
      </c>
      <c r="F102" s="204">
        <f t="shared" si="37"/>
        <v>0</v>
      </c>
      <c r="G102" s="204">
        <f t="shared" si="37"/>
        <v>0</v>
      </c>
      <c r="H102" s="204">
        <f t="shared" si="37"/>
        <v>0</v>
      </c>
      <c r="I102" s="204">
        <f t="shared" si="37"/>
        <v>0</v>
      </c>
      <c r="J102" s="204">
        <f t="shared" si="37"/>
        <v>0</v>
      </c>
      <c r="K102" s="204">
        <f t="shared" si="37"/>
        <v>0</v>
      </c>
      <c r="L102" s="204">
        <f t="shared" si="37"/>
        <v>0</v>
      </c>
      <c r="M102" s="204">
        <f t="shared" si="37"/>
        <v>0</v>
      </c>
      <c r="N102" s="204">
        <f t="shared" si="37"/>
        <v>0</v>
      </c>
      <c r="O102" s="204">
        <f t="shared" si="37"/>
        <v>0</v>
      </c>
      <c r="P102" s="204">
        <f t="shared" si="37"/>
        <v>0</v>
      </c>
      <c r="Q102" s="204">
        <f t="shared" si="37"/>
        <v>0</v>
      </c>
      <c r="R102" s="204">
        <f t="shared" si="37"/>
        <v>0</v>
      </c>
      <c r="S102" s="204">
        <f t="shared" si="37"/>
        <v>0</v>
      </c>
      <c r="T102" s="204">
        <f t="shared" si="37"/>
        <v>0</v>
      </c>
      <c r="U102" s="204">
        <f t="shared" si="37"/>
        <v>0</v>
      </c>
      <c r="V102" s="204">
        <f>V86+V92+V98</f>
        <v>0</v>
      </c>
      <c r="W102" s="204">
        <f t="shared" si="37"/>
        <v>0</v>
      </c>
      <c r="X102" s="204">
        <f t="shared" si="37"/>
        <v>0</v>
      </c>
      <c r="Y102" s="204">
        <f t="shared" si="37"/>
        <v>0</v>
      </c>
      <c r="Z102" s="204">
        <f t="shared" si="37"/>
        <v>0</v>
      </c>
      <c r="AA102" s="204">
        <f t="shared" si="37"/>
        <v>0</v>
      </c>
      <c r="AB102" s="204">
        <f t="shared" si="37"/>
        <v>0</v>
      </c>
      <c r="AC102" s="204">
        <f t="shared" si="37"/>
        <v>0</v>
      </c>
      <c r="AD102" s="204">
        <f t="shared" si="37"/>
        <v>0</v>
      </c>
      <c r="AE102" s="204">
        <f t="shared" si="37"/>
        <v>0</v>
      </c>
      <c r="AF102" s="205"/>
      <c r="AG102" s="171"/>
      <c r="AH102" s="617"/>
    </row>
    <row r="103" spans="1:35" s="173" customFormat="1" ht="63.6" customHeight="1" x14ac:dyDescent="0.3">
      <c r="A103" s="146" t="s">
        <v>32</v>
      </c>
      <c r="B103" s="204">
        <f>B86+B92+B98</f>
        <v>728.87599999999998</v>
      </c>
      <c r="C103" s="204">
        <f>C14+C46+C52+C60+C80</f>
        <v>728.87599999999998</v>
      </c>
      <c r="D103" s="204">
        <f>D14+D46+D52+D60+D80</f>
        <v>728.88</v>
      </c>
      <c r="E103" s="204">
        <f>E14+E46+E52+E60+E80</f>
        <v>728.88</v>
      </c>
      <c r="F103" s="204">
        <f t="shared" ref="F103:F110" si="38">IFERROR(E103/B103*100,0)</f>
        <v>100.00054879019203</v>
      </c>
      <c r="G103" s="204">
        <f>IFERROR(E103/C103*100,0)</f>
        <v>100.00054879019203</v>
      </c>
      <c r="H103" s="204">
        <f t="shared" ref="H103:AE103" si="39">H14+H46+H52+H60+H80</f>
        <v>0</v>
      </c>
      <c r="I103" s="204">
        <f t="shared" si="39"/>
        <v>0</v>
      </c>
      <c r="J103" s="204">
        <f t="shared" si="39"/>
        <v>0</v>
      </c>
      <c r="K103" s="204">
        <f t="shared" si="39"/>
        <v>0</v>
      </c>
      <c r="L103" s="204">
        <f t="shared" si="39"/>
        <v>0</v>
      </c>
      <c r="M103" s="204">
        <f t="shared" si="39"/>
        <v>0</v>
      </c>
      <c r="N103" s="204">
        <f t="shared" si="39"/>
        <v>0</v>
      </c>
      <c r="O103" s="204">
        <f t="shared" si="39"/>
        <v>0</v>
      </c>
      <c r="P103" s="204">
        <f t="shared" si="39"/>
        <v>728.87599999999998</v>
      </c>
      <c r="Q103" s="204">
        <f>Q14+Q46+Q52+Q60+Q80</f>
        <v>728.88</v>
      </c>
      <c r="R103" s="204">
        <f t="shared" si="39"/>
        <v>0</v>
      </c>
      <c r="S103" s="204">
        <f t="shared" si="39"/>
        <v>0</v>
      </c>
      <c r="T103" s="204">
        <f t="shared" si="39"/>
        <v>0</v>
      </c>
      <c r="U103" s="204">
        <f t="shared" si="39"/>
        <v>0</v>
      </c>
      <c r="V103" s="204">
        <f t="shared" si="39"/>
        <v>0</v>
      </c>
      <c r="W103" s="204">
        <f t="shared" si="39"/>
        <v>0</v>
      </c>
      <c r="X103" s="204">
        <f t="shared" si="39"/>
        <v>0</v>
      </c>
      <c r="Y103" s="204">
        <f t="shared" si="39"/>
        <v>0</v>
      </c>
      <c r="Z103" s="204">
        <f t="shared" si="39"/>
        <v>0</v>
      </c>
      <c r="AA103" s="204">
        <f t="shared" si="39"/>
        <v>0</v>
      </c>
      <c r="AB103" s="204">
        <f t="shared" si="39"/>
        <v>0</v>
      </c>
      <c r="AC103" s="204">
        <f t="shared" si="39"/>
        <v>0</v>
      </c>
      <c r="AD103" s="204">
        <f t="shared" si="39"/>
        <v>0</v>
      </c>
      <c r="AE103" s="204">
        <f t="shared" si="39"/>
        <v>0</v>
      </c>
      <c r="AF103" s="206"/>
      <c r="AG103" s="171"/>
      <c r="AH103" s="617"/>
    </row>
    <row r="104" spans="1:35" s="173" customFormat="1" x14ac:dyDescent="0.3">
      <c r="A104" s="146" t="s">
        <v>33</v>
      </c>
      <c r="B104" s="204">
        <f>B15+B47+B61+B81</f>
        <v>53131.527249999999</v>
      </c>
      <c r="C104" s="204">
        <f>C15+C47+C53+C61+C81</f>
        <v>53131.527249999999</v>
      </c>
      <c r="D104" s="204">
        <f>D15+D47+D61+D81</f>
        <v>51131.972999999998</v>
      </c>
      <c r="E104" s="204">
        <f>E15+E47+E53+E61+E81</f>
        <v>51131.972999999998</v>
      </c>
      <c r="F104" s="204">
        <f>F105+F107+F108</f>
        <v>100.00054879019203</v>
      </c>
      <c r="G104" s="204">
        <f>E104/C104*100</f>
        <v>96.236595570476467</v>
      </c>
      <c r="H104" s="204">
        <f>H105+H106+H107+H108</f>
        <v>10203.864809999999</v>
      </c>
      <c r="I104" s="204">
        <f>I15+I47+I61+I81</f>
        <v>7618.1379999999999</v>
      </c>
      <c r="J104" s="204">
        <f t="shared" ref="J104:AE104" si="40">J15+J47+J53+J61+J81</f>
        <v>3753.0886200000004</v>
      </c>
      <c r="K104" s="204">
        <f t="shared" si="40"/>
        <v>3564.5309999999999</v>
      </c>
      <c r="L104" s="204">
        <f>L15+L47+L53+L61+L81</f>
        <v>3362.1325400000001</v>
      </c>
      <c r="M104" s="204">
        <f t="shared" si="40"/>
        <v>3334.3150000000001</v>
      </c>
      <c r="N104" s="204">
        <f t="shared" si="40"/>
        <v>4196.9009999999998</v>
      </c>
      <c r="O104" s="204">
        <f t="shared" si="40"/>
        <v>3334</v>
      </c>
      <c r="P104" s="204">
        <f t="shared" si="40"/>
        <v>3582.7432799999997</v>
      </c>
      <c r="Q104" s="204">
        <f>Q15+Q47+Q53+Q61+Q81</f>
        <v>3038.6349999999998</v>
      </c>
      <c r="R104" s="204">
        <f t="shared" si="40"/>
        <v>3604.2290000000003</v>
      </c>
      <c r="S104" s="204">
        <f t="shared" si="40"/>
        <v>4290.9949999999999</v>
      </c>
      <c r="T104" s="204">
        <f t="shared" si="40"/>
        <v>4661.8630000000003</v>
      </c>
      <c r="U104" s="204">
        <f t="shared" si="40"/>
        <v>3724.8449999999998</v>
      </c>
      <c r="V104" s="204">
        <f t="shared" si="40"/>
        <v>5378.88</v>
      </c>
      <c r="W104" s="204">
        <f t="shared" si="40"/>
        <v>5203.7939999999999</v>
      </c>
      <c r="X104" s="204">
        <f t="shared" si="40"/>
        <v>3546.0210000000002</v>
      </c>
      <c r="Y104" s="204">
        <f t="shared" si="40"/>
        <v>2464.875</v>
      </c>
      <c r="Z104" s="204">
        <f t="shared" si="40"/>
        <v>3963.4650000000001</v>
      </c>
      <c r="AA104" s="204">
        <f t="shared" si="40"/>
        <v>3133.116</v>
      </c>
      <c r="AB104" s="204">
        <f t="shared" si="40"/>
        <v>4091.8770000000004</v>
      </c>
      <c r="AC104" s="204">
        <f t="shared" si="40"/>
        <v>3050.8389999999999</v>
      </c>
      <c r="AD104" s="204">
        <f t="shared" si="40"/>
        <v>2786.462</v>
      </c>
      <c r="AE104" s="204">
        <f t="shared" si="40"/>
        <v>7329.8869999999997</v>
      </c>
      <c r="AF104" s="206"/>
      <c r="AG104" s="171"/>
      <c r="AH104" s="617"/>
    </row>
    <row r="105" spans="1:35" s="173" customFormat="1" ht="52.9" customHeight="1" x14ac:dyDescent="0.3">
      <c r="A105" s="148" t="s">
        <v>221</v>
      </c>
      <c r="B105" s="204">
        <f>B16+B48+B54+B62+B82</f>
        <v>0</v>
      </c>
      <c r="C105" s="204">
        <f>C16+C48+C54+C62+C82</f>
        <v>0</v>
      </c>
      <c r="D105" s="204">
        <f>D16+D48+D54+D62+D82</f>
        <v>0</v>
      </c>
      <c r="E105" s="204">
        <f>E16+E48+E54+E62+E82</f>
        <v>0</v>
      </c>
      <c r="F105" s="204">
        <f t="shared" si="38"/>
        <v>0</v>
      </c>
      <c r="G105" s="204">
        <f>IFERROR(E105/C105*100,0)</f>
        <v>0</v>
      </c>
      <c r="H105" s="204">
        <f>H16+H48+H54+H62+H82</f>
        <v>0</v>
      </c>
      <c r="I105" s="204">
        <f>I16+I48+I54+I62+I82</f>
        <v>0</v>
      </c>
      <c r="J105" s="204">
        <f t="shared" ref="J105:AE105" si="41">J16+J48+J54+J62+J82</f>
        <v>0</v>
      </c>
      <c r="K105" s="204">
        <f t="shared" si="41"/>
        <v>0</v>
      </c>
      <c r="L105" s="204">
        <f t="shared" si="41"/>
        <v>0</v>
      </c>
      <c r="M105" s="204">
        <f t="shared" si="41"/>
        <v>0</v>
      </c>
      <c r="N105" s="204">
        <f t="shared" si="41"/>
        <v>0</v>
      </c>
      <c r="O105" s="204">
        <f t="shared" si="41"/>
        <v>0</v>
      </c>
      <c r="P105" s="204">
        <f t="shared" si="41"/>
        <v>0</v>
      </c>
      <c r="Q105" s="204">
        <v>0</v>
      </c>
      <c r="R105" s="204">
        <f t="shared" si="41"/>
        <v>0</v>
      </c>
      <c r="S105" s="204">
        <f t="shared" si="41"/>
        <v>0</v>
      </c>
      <c r="T105" s="204">
        <f t="shared" si="41"/>
        <v>0</v>
      </c>
      <c r="U105" s="204">
        <f t="shared" si="41"/>
        <v>0</v>
      </c>
      <c r="V105" s="204">
        <f t="shared" si="41"/>
        <v>0</v>
      </c>
      <c r="W105" s="204">
        <f t="shared" si="41"/>
        <v>0</v>
      </c>
      <c r="X105" s="204">
        <f>X16+X48+X54+X62+X82</f>
        <v>0</v>
      </c>
      <c r="Y105" s="204">
        <f t="shared" si="41"/>
        <v>0</v>
      </c>
      <c r="Z105" s="204">
        <f t="shared" si="41"/>
        <v>0</v>
      </c>
      <c r="AA105" s="204">
        <f t="shared" si="41"/>
        <v>0</v>
      </c>
      <c r="AB105" s="204">
        <f t="shared" si="41"/>
        <v>0</v>
      </c>
      <c r="AC105" s="204">
        <f t="shared" si="41"/>
        <v>0</v>
      </c>
      <c r="AD105" s="204">
        <f t="shared" si="41"/>
        <v>0</v>
      </c>
      <c r="AE105" s="204">
        <f t="shared" si="41"/>
        <v>0</v>
      </c>
      <c r="AF105" s="206"/>
      <c r="AG105" s="171"/>
      <c r="AH105" s="617"/>
    </row>
    <row r="106" spans="1:35" s="173" customFormat="1" ht="45" customHeight="1" x14ac:dyDescent="0.3">
      <c r="A106" s="144" t="s">
        <v>64</v>
      </c>
      <c r="B106" s="202">
        <f>B107+B108+B109+B110</f>
        <v>53860.403249999996</v>
      </c>
      <c r="C106" s="202">
        <f>C107+C108+C109+C110</f>
        <v>53860.403249999988</v>
      </c>
      <c r="D106" s="202">
        <f>D109+D103</f>
        <v>51860.852999999996</v>
      </c>
      <c r="E106" s="202">
        <f>E108+E109</f>
        <v>51860.852999999996</v>
      </c>
      <c r="F106" s="202">
        <f>E106/B106*100</f>
        <v>96.287531972757748</v>
      </c>
      <c r="G106" s="202">
        <f>G109</f>
        <v>96.236595570476481</v>
      </c>
      <c r="H106" s="202">
        <f>H107+H108+H109+H110</f>
        <v>10203.864809999999</v>
      </c>
      <c r="I106" s="202">
        <f>I109</f>
        <v>7618.1379999999999</v>
      </c>
      <c r="J106" s="202">
        <f>J107+J108+J109+J110</f>
        <v>3753.0886200000004</v>
      </c>
      <c r="K106" s="202">
        <f>K109</f>
        <v>3564.5309999999999</v>
      </c>
      <c r="L106" s="202">
        <f>L107+L108+L109+L110</f>
        <v>3362.1325400000001</v>
      </c>
      <c r="M106" s="202">
        <f>M109</f>
        <v>3334.3150000000001</v>
      </c>
      <c r="N106" s="202">
        <f>N107+N108+N109+N110</f>
        <v>4196.9009999999998</v>
      </c>
      <c r="O106" s="202">
        <f>O109</f>
        <v>3334</v>
      </c>
      <c r="P106" s="202">
        <f>P107+P108+P109+P110</f>
        <v>4311.6192799999999</v>
      </c>
      <c r="Q106" s="202">
        <f>Q109</f>
        <v>3038.6349999999998</v>
      </c>
      <c r="R106" s="202">
        <f>R107+R108+R109+R110</f>
        <v>3604.2290000000003</v>
      </c>
      <c r="S106" s="202">
        <f>S109</f>
        <v>4290.9949999999999</v>
      </c>
      <c r="T106" s="202">
        <f>T107+T108+T109+T110</f>
        <v>4661.8630000000003</v>
      </c>
      <c r="U106" s="202">
        <f>U109</f>
        <v>3724.8449999999998</v>
      </c>
      <c r="V106" s="202">
        <f>V107+V108+V109+V110</f>
        <v>5378.88</v>
      </c>
      <c r="W106" s="202">
        <f>W109</f>
        <v>5203.7939999999999</v>
      </c>
      <c r="X106" s="202">
        <f>X107+X108+X109+X110</f>
        <v>3546.0210000000002</v>
      </c>
      <c r="Y106" s="202">
        <f>Y109</f>
        <v>2464.875</v>
      </c>
      <c r="Z106" s="202">
        <f>Z107+Z108+Z109+Z110</f>
        <v>3963.4650000000001</v>
      </c>
      <c r="AA106" s="202">
        <f>AA109</f>
        <v>3133.116</v>
      </c>
      <c r="AB106" s="202">
        <f>AB107+AB108+AB109+AB110</f>
        <v>4091.8770000000004</v>
      </c>
      <c r="AC106" s="202">
        <f>AC109</f>
        <v>3050.8389999999999</v>
      </c>
      <c r="AD106" s="202">
        <f>AD107+AD108+AD109+AD110</f>
        <v>2786.462</v>
      </c>
      <c r="AE106" s="202"/>
      <c r="AF106" s="203"/>
      <c r="AG106" s="171"/>
      <c r="AH106" s="617"/>
    </row>
    <row r="107" spans="1:35" s="173" customFormat="1" ht="56.45" customHeight="1" x14ac:dyDescent="0.3">
      <c r="A107" s="146" t="s">
        <v>169</v>
      </c>
      <c r="B107" s="204">
        <f t="shared" ref="B107:E108" si="42">B13+B45+B51+B59+B79</f>
        <v>0</v>
      </c>
      <c r="C107" s="204">
        <f t="shared" si="42"/>
        <v>0</v>
      </c>
      <c r="D107" s="204">
        <f t="shared" si="42"/>
        <v>0</v>
      </c>
      <c r="E107" s="204">
        <f t="shared" si="42"/>
        <v>0</v>
      </c>
      <c r="F107" s="204">
        <f t="shared" si="38"/>
        <v>0</v>
      </c>
      <c r="G107" s="204" t="s">
        <v>463</v>
      </c>
      <c r="H107" s="204">
        <f t="shared" ref="H107:AE107" si="43">H13+H45+H51+H59+H79</f>
        <v>0</v>
      </c>
      <c r="I107" s="204">
        <f t="shared" si="43"/>
        <v>0</v>
      </c>
      <c r="J107" s="204">
        <f t="shared" si="43"/>
        <v>0</v>
      </c>
      <c r="K107" s="204">
        <f t="shared" si="43"/>
        <v>0</v>
      </c>
      <c r="L107" s="204">
        <f t="shared" si="43"/>
        <v>0</v>
      </c>
      <c r="M107" s="204">
        <f t="shared" si="43"/>
        <v>0</v>
      </c>
      <c r="N107" s="204">
        <f t="shared" si="43"/>
        <v>0</v>
      </c>
      <c r="O107" s="204">
        <f t="shared" si="43"/>
        <v>0</v>
      </c>
      <c r="P107" s="204">
        <f t="shared" si="43"/>
        <v>0</v>
      </c>
      <c r="Q107" s="204">
        <v>0</v>
      </c>
      <c r="R107" s="204">
        <f t="shared" si="43"/>
        <v>0</v>
      </c>
      <c r="S107" s="204">
        <f t="shared" si="43"/>
        <v>0</v>
      </c>
      <c r="T107" s="204">
        <f t="shared" si="43"/>
        <v>0</v>
      </c>
      <c r="U107" s="204">
        <f t="shared" si="43"/>
        <v>0</v>
      </c>
      <c r="V107" s="204">
        <f>V80</f>
        <v>0</v>
      </c>
      <c r="W107" s="204">
        <f t="shared" si="43"/>
        <v>0</v>
      </c>
      <c r="X107" s="204">
        <f t="shared" si="43"/>
        <v>0</v>
      </c>
      <c r="Y107" s="204">
        <f t="shared" si="43"/>
        <v>0</v>
      </c>
      <c r="Z107" s="204">
        <f t="shared" si="43"/>
        <v>0</v>
      </c>
      <c r="AA107" s="204">
        <f t="shared" si="43"/>
        <v>0</v>
      </c>
      <c r="AB107" s="204">
        <f t="shared" si="43"/>
        <v>0</v>
      </c>
      <c r="AC107" s="204">
        <f t="shared" si="43"/>
        <v>0</v>
      </c>
      <c r="AD107" s="204">
        <f t="shared" si="43"/>
        <v>0</v>
      </c>
      <c r="AE107" s="204">
        <f t="shared" si="43"/>
        <v>0</v>
      </c>
      <c r="AF107" s="205"/>
      <c r="AG107" s="171"/>
      <c r="AH107" s="617"/>
    </row>
    <row r="108" spans="1:35" s="173" customFormat="1" ht="61.15" customHeight="1" x14ac:dyDescent="0.3">
      <c r="A108" s="146" t="s">
        <v>32</v>
      </c>
      <c r="B108" s="204">
        <f>B14+B46+B66+B80</f>
        <v>728.87599999999998</v>
      </c>
      <c r="C108" s="204">
        <f t="shared" si="42"/>
        <v>728.87599999999998</v>
      </c>
      <c r="D108" s="204">
        <f t="shared" si="42"/>
        <v>728.88</v>
      </c>
      <c r="E108" s="204">
        <f>E14+E46+E52+E60+E80</f>
        <v>728.88</v>
      </c>
      <c r="F108" s="204">
        <f t="shared" si="38"/>
        <v>100.00054879019203</v>
      </c>
      <c r="G108" s="204">
        <f>IFERROR(E108/C108*100,0)</f>
        <v>100.00054879019203</v>
      </c>
      <c r="H108" s="204">
        <f t="shared" ref="H108:AE108" si="44">H14+H46+H52+H60+H80</f>
        <v>0</v>
      </c>
      <c r="I108" s="204">
        <f t="shared" si="44"/>
        <v>0</v>
      </c>
      <c r="J108" s="204">
        <f t="shared" si="44"/>
        <v>0</v>
      </c>
      <c r="K108" s="204">
        <f t="shared" si="44"/>
        <v>0</v>
      </c>
      <c r="L108" s="204">
        <f t="shared" si="44"/>
        <v>0</v>
      </c>
      <c r="M108" s="204">
        <f t="shared" si="44"/>
        <v>0</v>
      </c>
      <c r="N108" s="204">
        <f t="shared" si="44"/>
        <v>0</v>
      </c>
      <c r="O108" s="204">
        <f t="shared" si="44"/>
        <v>0</v>
      </c>
      <c r="P108" s="204">
        <f t="shared" si="44"/>
        <v>728.87599999999998</v>
      </c>
      <c r="Q108" s="204">
        <f t="shared" si="44"/>
        <v>728.88</v>
      </c>
      <c r="R108" s="204">
        <f t="shared" si="44"/>
        <v>0</v>
      </c>
      <c r="S108" s="204">
        <f t="shared" si="44"/>
        <v>0</v>
      </c>
      <c r="T108" s="204">
        <f t="shared" si="44"/>
        <v>0</v>
      </c>
      <c r="U108" s="204">
        <f t="shared" si="44"/>
        <v>0</v>
      </c>
      <c r="V108" s="204">
        <f t="shared" si="44"/>
        <v>0</v>
      </c>
      <c r="W108" s="204">
        <f t="shared" si="44"/>
        <v>0</v>
      </c>
      <c r="X108" s="204">
        <f t="shared" si="44"/>
        <v>0</v>
      </c>
      <c r="Y108" s="204">
        <f t="shared" si="44"/>
        <v>0</v>
      </c>
      <c r="Z108" s="204">
        <f t="shared" si="44"/>
        <v>0</v>
      </c>
      <c r="AA108" s="204">
        <f t="shared" si="44"/>
        <v>0</v>
      </c>
      <c r="AB108" s="204">
        <f t="shared" si="44"/>
        <v>0</v>
      </c>
      <c r="AC108" s="204">
        <f t="shared" si="44"/>
        <v>0</v>
      </c>
      <c r="AD108" s="204">
        <f t="shared" si="44"/>
        <v>0</v>
      </c>
      <c r="AE108" s="204">
        <f t="shared" si="44"/>
        <v>0</v>
      </c>
      <c r="AF108" s="206"/>
      <c r="AG108" s="171"/>
      <c r="AH108" s="617"/>
    </row>
    <row r="109" spans="1:35" s="173" customFormat="1" ht="46.9" customHeight="1" x14ac:dyDescent="0.3">
      <c r="A109" s="146" t="s">
        <v>33</v>
      </c>
      <c r="B109" s="204">
        <f>B15+B47+B53+B61+B81</f>
        <v>53131.527249999999</v>
      </c>
      <c r="C109" s="204">
        <f>H109+J109+L109+N109+P109+R109+T109+V109+X109+Z109+AB109+AD109</f>
        <v>53131.527249999992</v>
      </c>
      <c r="D109" s="204">
        <f>D15+D47+D53+D61+D81</f>
        <v>51131.972999999998</v>
      </c>
      <c r="E109" s="204">
        <f>E15+E47+E53+E61+E81</f>
        <v>51131.972999999998</v>
      </c>
      <c r="F109" s="204">
        <f>E109/B109*100</f>
        <v>96.236595570476467</v>
      </c>
      <c r="G109" s="204">
        <f>E109/C109*100</f>
        <v>96.236595570476481</v>
      </c>
      <c r="H109" s="204">
        <f t="shared" ref="H109:AE109" si="45">H15+H47+H53+H61+H81</f>
        <v>10203.864809999999</v>
      </c>
      <c r="I109" s="204">
        <f t="shared" si="45"/>
        <v>7618.1379999999999</v>
      </c>
      <c r="J109" s="204">
        <f t="shared" si="45"/>
        <v>3753.0886200000004</v>
      </c>
      <c r="K109" s="204">
        <f t="shared" si="45"/>
        <v>3564.5309999999999</v>
      </c>
      <c r="L109" s="204">
        <f t="shared" si="45"/>
        <v>3362.1325400000001</v>
      </c>
      <c r="M109" s="204">
        <f t="shared" si="45"/>
        <v>3334.3150000000001</v>
      </c>
      <c r="N109" s="204">
        <f t="shared" si="45"/>
        <v>4196.9009999999998</v>
      </c>
      <c r="O109" s="204">
        <f t="shared" si="45"/>
        <v>3334</v>
      </c>
      <c r="P109" s="204">
        <f t="shared" si="45"/>
        <v>3582.7432799999997</v>
      </c>
      <c r="Q109" s="204">
        <f t="shared" si="45"/>
        <v>3038.6349999999998</v>
      </c>
      <c r="R109" s="204">
        <f t="shared" si="45"/>
        <v>3604.2290000000003</v>
      </c>
      <c r="S109" s="204">
        <f t="shared" si="45"/>
        <v>4290.9949999999999</v>
      </c>
      <c r="T109" s="204">
        <f t="shared" si="45"/>
        <v>4661.8630000000003</v>
      </c>
      <c r="U109" s="204">
        <f t="shared" si="45"/>
        <v>3724.8449999999998</v>
      </c>
      <c r="V109" s="204">
        <f t="shared" si="45"/>
        <v>5378.88</v>
      </c>
      <c r="W109" s="204">
        <f t="shared" si="45"/>
        <v>5203.7939999999999</v>
      </c>
      <c r="X109" s="204">
        <f t="shared" si="45"/>
        <v>3546.0210000000002</v>
      </c>
      <c r="Y109" s="204">
        <f t="shared" si="45"/>
        <v>2464.875</v>
      </c>
      <c r="Z109" s="204">
        <f t="shared" si="45"/>
        <v>3963.4650000000001</v>
      </c>
      <c r="AA109" s="204">
        <f t="shared" si="45"/>
        <v>3133.116</v>
      </c>
      <c r="AB109" s="204">
        <f t="shared" si="45"/>
        <v>4091.8770000000004</v>
      </c>
      <c r="AC109" s="204">
        <f t="shared" si="45"/>
        <v>3050.8389999999999</v>
      </c>
      <c r="AD109" s="204">
        <f t="shared" si="45"/>
        <v>2786.462</v>
      </c>
      <c r="AE109" s="204">
        <f t="shared" si="45"/>
        <v>7329.8869999999997</v>
      </c>
      <c r="AF109" s="205"/>
      <c r="AG109" s="171"/>
      <c r="AH109" s="617"/>
    </row>
    <row r="110" spans="1:35" s="173" customFormat="1" ht="38.450000000000003" customHeight="1" x14ac:dyDescent="0.3">
      <c r="A110" s="148" t="s">
        <v>221</v>
      </c>
      <c r="B110" s="204">
        <f>B16+B48+B54+B62+B82</f>
        <v>0</v>
      </c>
      <c r="C110" s="204">
        <f>C16+C48+C54+C62+C82</f>
        <v>0</v>
      </c>
      <c r="D110" s="204">
        <f>D16+D48+D54+D62+D82</f>
        <v>0</v>
      </c>
      <c r="E110" s="204">
        <f>E16+E48+E54+E62+E82</f>
        <v>0</v>
      </c>
      <c r="F110" s="204">
        <f t="shared" si="38"/>
        <v>0</v>
      </c>
      <c r="G110" s="204">
        <f>IFERROR(E110/C110*100,0)</f>
        <v>0</v>
      </c>
      <c r="H110" s="204">
        <f t="shared" ref="H110:AE110" si="46">H16+H48+H54+H62+H82</f>
        <v>0</v>
      </c>
      <c r="I110" s="204">
        <f t="shared" si="46"/>
        <v>0</v>
      </c>
      <c r="J110" s="204">
        <f t="shared" si="46"/>
        <v>0</v>
      </c>
      <c r="K110" s="204">
        <f t="shared" si="46"/>
        <v>0</v>
      </c>
      <c r="L110" s="204">
        <f t="shared" si="46"/>
        <v>0</v>
      </c>
      <c r="M110" s="204">
        <f t="shared" si="46"/>
        <v>0</v>
      </c>
      <c r="N110" s="204">
        <f t="shared" si="46"/>
        <v>0</v>
      </c>
      <c r="O110" s="204">
        <f t="shared" si="46"/>
        <v>0</v>
      </c>
      <c r="P110" s="204">
        <f t="shared" si="46"/>
        <v>0</v>
      </c>
      <c r="Q110" s="204">
        <f>Q16+Q48+Q54+Q62+Q81</f>
        <v>1387.61</v>
      </c>
      <c r="R110" s="204">
        <f t="shared" si="46"/>
        <v>0</v>
      </c>
      <c r="S110" s="204">
        <f t="shared" si="46"/>
        <v>0</v>
      </c>
      <c r="T110" s="204">
        <f t="shared" si="46"/>
        <v>0</v>
      </c>
      <c r="U110" s="204">
        <f t="shared" si="46"/>
        <v>0</v>
      </c>
      <c r="V110" s="204">
        <f t="shared" si="46"/>
        <v>0</v>
      </c>
      <c r="W110" s="204">
        <f t="shared" si="46"/>
        <v>0</v>
      </c>
      <c r="X110" s="204">
        <f t="shared" si="46"/>
        <v>0</v>
      </c>
      <c r="Y110" s="204">
        <f t="shared" si="46"/>
        <v>0</v>
      </c>
      <c r="Z110" s="204">
        <f t="shared" si="46"/>
        <v>0</v>
      </c>
      <c r="AA110" s="204">
        <f t="shared" si="46"/>
        <v>0</v>
      </c>
      <c r="AB110" s="204">
        <f t="shared" si="46"/>
        <v>0</v>
      </c>
      <c r="AC110" s="204">
        <f t="shared" si="46"/>
        <v>0</v>
      </c>
      <c r="AD110" s="204">
        <f t="shared" si="46"/>
        <v>0</v>
      </c>
      <c r="AE110" s="204">
        <f t="shared" si="46"/>
        <v>0</v>
      </c>
      <c r="AF110" s="206"/>
      <c r="AG110" s="171"/>
      <c r="AH110" s="617"/>
    </row>
    <row r="111" spans="1:35" s="155" customFormat="1" x14ac:dyDescent="0.3">
      <c r="B111" s="171"/>
      <c r="C111" s="683"/>
      <c r="D111" s="171"/>
      <c r="E111" s="171"/>
      <c r="F111" s="171"/>
      <c r="G111" s="171"/>
      <c r="H111" s="171"/>
      <c r="I111" s="171"/>
      <c r="J111" s="171"/>
      <c r="K111" s="171"/>
      <c r="L111" s="171"/>
      <c r="M111" s="171"/>
      <c r="N111" s="171"/>
      <c r="O111" s="171"/>
      <c r="P111" s="171"/>
      <c r="Q111" s="171"/>
      <c r="R111" s="171"/>
      <c r="S111" s="171"/>
      <c r="T111" s="171"/>
      <c r="U111" s="171"/>
      <c r="V111" s="171"/>
      <c r="W111" s="171"/>
      <c r="X111" s="171"/>
      <c r="Y111" s="171"/>
      <c r="Z111" s="171"/>
      <c r="AA111" s="171"/>
      <c r="AB111" s="171"/>
      <c r="AC111" s="171"/>
      <c r="AD111" s="171"/>
      <c r="AE111" s="171"/>
      <c r="AG111" s="171"/>
      <c r="AI111" s="171"/>
    </row>
    <row r="112" spans="1:35" s="155" customFormat="1" x14ac:dyDescent="0.3">
      <c r="B112" s="171"/>
      <c r="AH112" s="744"/>
      <c r="AI112" s="745"/>
    </row>
    <row r="113" spans="1:31" x14ac:dyDescent="0.3">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1"/>
      <c r="AE113" s="151"/>
    </row>
    <row r="114" spans="1:31" x14ac:dyDescent="0.3">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c r="AE114" s="151"/>
    </row>
    <row r="115" spans="1:31" x14ac:dyDescent="0.3">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c r="AE115" s="151"/>
    </row>
    <row r="116" spans="1:31" x14ac:dyDescent="0.3">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c r="AE116" s="151"/>
    </row>
    <row r="120" spans="1:31" ht="26.25" x14ac:dyDescent="0.4">
      <c r="A120" s="762"/>
      <c r="B120" s="762"/>
      <c r="C120" s="762"/>
      <c r="D120" s="762"/>
      <c r="E120" s="762"/>
      <c r="F120" s="762"/>
      <c r="G120" s="762"/>
      <c r="H120" s="762"/>
      <c r="I120" s="762"/>
      <c r="J120" s="762"/>
      <c r="K120" s="762"/>
      <c r="L120" s="762"/>
      <c r="M120" s="762"/>
      <c r="N120" s="762"/>
      <c r="O120" s="762"/>
      <c r="P120" s="762"/>
      <c r="Q120" s="762"/>
      <c r="R120" s="762"/>
      <c r="S120" s="762"/>
      <c r="T120" s="762"/>
      <c r="U120" s="762"/>
    </row>
    <row r="168" spans="6:6" x14ac:dyDescent="0.3">
      <c r="F168" s="10">
        <v>0</v>
      </c>
    </row>
  </sheetData>
  <customSheetViews>
    <customSheetView guid="{7C130984-112A-4861-AA43-E2940708E3DC}" scale="75" state="hidden">
      <pane xSplit="2" ySplit="10" topLeftCell="C11" activePane="bottomRight" state="frozen"/>
      <selection pane="bottomRight" activeCell="AF23" sqref="AF23"/>
      <pageMargins left="0.7" right="0.7" top="0.75" bottom="0.75" header="0.3" footer="0.3"/>
      <pageSetup paperSize="9" orientation="portrait" r:id="rId1"/>
    </customSheetView>
    <customSheetView guid="{533DC55B-6AD4-4674-9488-685EF2039F3E}" scale="75" state="hidden">
      <pane xSplit="2" ySplit="10" topLeftCell="C11" activePane="bottomRight" state="frozen"/>
      <selection pane="bottomRight" activeCell="AF23" sqref="AF23"/>
      <pageMargins left="0.7" right="0.7" top="0.75" bottom="0.75" header="0.3" footer="0.3"/>
      <pageSetup paperSize="9" orientation="portrait" r:id="rId2"/>
    </customSheetView>
    <customSheetView guid="{09C3E205-981E-4A4E-BE89-8B7044192060}" scale="75">
      <pane xSplit="2" ySplit="10" topLeftCell="C11" activePane="bottomRight" state="frozen"/>
      <selection pane="bottomRight" activeCell="AF23" sqref="AF23"/>
      <pageMargins left="0.7" right="0.7" top="0.75" bottom="0.75" header="0.3" footer="0.3"/>
      <pageSetup paperSize="9" orientation="portrait" r:id="rId3"/>
    </customSheetView>
    <customSheetView guid="{B1BF08D1-D416-4B47-ADD0-4F59132DC9E8}" scale="75">
      <pane xSplit="2" ySplit="10" topLeftCell="C11" activePane="bottomRight" state="frozen"/>
      <selection pane="bottomRight" activeCell="AF23" sqref="AF23"/>
      <pageMargins left="0.7" right="0.7" top="0.75" bottom="0.75" header="0.3" footer="0.3"/>
      <pageSetup paperSize="9" orientation="portrait" r:id="rId4"/>
    </customSheetView>
    <customSheetView guid="{4F41B9CC-959D-442C-80B0-1F0DB2C76D27}" scale="75">
      <pane xSplit="2" ySplit="9" topLeftCell="AF23" activePane="bottomRight" state="frozen"/>
      <selection pane="bottomRight" activeCell="AF23" sqref="AF23"/>
      <pageMargins left="0.7" right="0.7" top="0.75" bottom="0.75" header="0.3" footer="0.3"/>
      <pageSetup paperSize="9" orientation="portrait" r:id="rId5"/>
    </customSheetView>
    <customSheetView guid="{84867370-1F3E-4368-AF79-FBCE46FFFE92}" scale="50">
      <pane xSplit="2" ySplit="10" topLeftCell="C104" activePane="bottomRight" state="frozen"/>
      <selection pane="bottomRight" activeCell="L104" sqref="L104"/>
      <pageMargins left="0.7" right="0.7" top="0.75" bottom="0.75" header="0.3" footer="0.3"/>
      <pageSetup paperSize="9" orientation="portrait" r:id="rId6"/>
    </customSheetView>
    <customSheetView guid="{E508E171-4ED9-4B07-84DF-DA28C60E1969}" scale="50">
      <pane xSplit="2" ySplit="10" topLeftCell="C104" activePane="bottomRight" state="frozen"/>
      <selection pane="bottomRight" activeCell="L104" sqref="L104"/>
      <pageMargins left="0.7" right="0.7" top="0.75" bottom="0.75" header="0.3" footer="0.3"/>
      <pageSetup paperSize="9" orientation="portrait" r:id="rId7"/>
    </customSheetView>
    <customSheetView guid="{602C8EDB-B9EF-4C85-B0D5-0558C3A0ABAB}" scale="50">
      <pane xSplit="2" ySplit="10" topLeftCell="C23" activePane="bottomRight" state="frozen"/>
      <selection pane="bottomRight" activeCell="L18" sqref="L18"/>
      <pageMargins left="0.7" right="0.7" top="0.75" bottom="0.75" header="0.3" footer="0.3"/>
      <pageSetup paperSize="9" orientation="portrait" r:id="rId8"/>
    </customSheetView>
    <customSheetView guid="{84B3377A-1CDD-4881-99FA-112F8B470D6F}" scale="50">
      <pane xSplit="2" ySplit="10" topLeftCell="C23" activePane="bottomRight" state="frozen"/>
      <selection pane="bottomRight" activeCell="L18" sqref="L18"/>
      <pageMargins left="0.7" right="0.7" top="0.75" bottom="0.75" header="0.3" footer="0.3"/>
      <pageSetup paperSize="9" orientation="portrait" r:id="rId9"/>
    </customSheetView>
    <customSheetView guid="{87218168-6C8E-4D5B-A5E5-DCCC26803AA3}" scale="50">
      <pane xSplit="2" ySplit="10" topLeftCell="C23" activePane="bottomRight" state="frozen"/>
      <selection pane="bottomRight" activeCell="L18" sqref="L18"/>
      <pageMargins left="0.7" right="0.7" top="0.75" bottom="0.75" header="0.3" footer="0.3"/>
      <pageSetup paperSize="9" orientation="portrait" r:id="rId10"/>
    </customSheetView>
    <customSheetView guid="{6A602CB8-B24C-4ED4-B378-B27354BE0A1A}" scale="50">
      <pane xSplit="2" ySplit="10" topLeftCell="V23" activePane="bottomRight" state="frozen"/>
      <selection pane="bottomRight" activeCell="AF6" sqref="AF6:AF7"/>
      <pageMargins left="0.7" right="0.7" top="0.75" bottom="0.75" header="0.3" footer="0.3"/>
      <pageSetup paperSize="9" orientation="portrait" r:id="rId11"/>
    </customSheetView>
    <customSheetView guid="{D01FA037-9AEC-4167-ADB8-2F327C01ECE6}" scale="50">
      <pane xSplit="2" ySplit="10" topLeftCell="I92" activePane="bottomRight" state="frozen"/>
      <selection pane="bottomRight" activeCell="AF99" sqref="AF99"/>
      <pageMargins left="0.7" right="0.7" top="0.75" bottom="0.75" header="0.3" footer="0.3"/>
      <pageSetup paperSize="9" orientation="portrait" r:id="rId12"/>
    </customSheetView>
    <customSheetView guid="{74870EE6-26B9-40F7-9DC9-260EF16D8959}" scale="50">
      <pane xSplit="2" ySplit="10" topLeftCell="I92" activePane="bottomRight" state="frozen"/>
      <selection pane="bottomRight" activeCell="AF99" sqref="AF99"/>
      <pageMargins left="0.7" right="0.7" top="0.75" bottom="0.75" header="0.3" footer="0.3"/>
      <pageSetup paperSize="9" orientation="portrait" r:id="rId13"/>
    </customSheetView>
    <customSheetView guid="{7226EA2B-7866-416F-9240-410CC1BF0336}" scale="50">
      <pane xSplit="2" ySplit="10" topLeftCell="I92" activePane="bottomRight" state="frozen"/>
      <selection pane="bottomRight" activeCell="AF99" sqref="AF99"/>
      <pageMargins left="0.7" right="0.7" top="0.75" bottom="0.75" header="0.3" footer="0.3"/>
      <pageSetup paperSize="9" orientation="portrait" r:id="rId14"/>
    </customSheetView>
    <customSheetView guid="{F8CAB90F-9980-4EC7-B30B-1637EB515304}" scale="50">
      <pane xSplit="2" ySplit="10" topLeftCell="C92" activePane="bottomRight" state="frozen"/>
      <selection pane="bottomRight" activeCell="B96" sqref="B96"/>
      <pageMargins left="0.7" right="0.7" top="0.75" bottom="0.75" header="0.3" footer="0.3"/>
      <pageSetup paperSize="9" orientation="portrait" r:id="rId15"/>
    </customSheetView>
    <customSheetView guid="{415078CD-EB99-432D-90BA-2F3D5A746E20}" scale="50">
      <pane xSplit="2" ySplit="10" topLeftCell="C59" activePane="bottomRight" state="frozen"/>
      <selection pane="bottomRight" activeCell="H23" sqref="H23"/>
      <pageMargins left="0.7" right="0.7" top="0.75" bottom="0.75" header="0.3" footer="0.3"/>
      <pageSetup paperSize="9" orientation="portrait" r:id="rId16"/>
    </customSheetView>
    <customSheetView guid="{CB4792DB-A624-4844-AEB6-A6ADA80946BB}" scale="50">
      <pane xSplit="2" ySplit="10" topLeftCell="C11" activePane="bottomRight" state="frozen"/>
      <selection pane="bottomRight" activeCell="A82" sqref="A82:XFD82"/>
      <pageMargins left="0.7" right="0.7" top="0.75" bottom="0.75" header="0.3" footer="0.3"/>
      <pageSetup paperSize="9" orientation="portrait" r:id="rId17"/>
    </customSheetView>
    <customSheetView guid="{0C2B9C2A-7B94-41EF-A2E6-F8AC9A67DE25}" scale="50">
      <pane xSplit="2" ySplit="10" topLeftCell="C11" activePane="bottomRight" state="frozen"/>
      <selection pane="bottomRight" activeCell="A82" sqref="A82:XFD82"/>
      <pageMargins left="0.7" right="0.7" top="0.75" bottom="0.75" header="0.3" footer="0.3"/>
      <pageSetup paperSize="9" orientation="portrait" r:id="rId18"/>
    </customSheetView>
    <customSheetView guid="{391AB76E-B386-49C1-800F-016A48AA1A46}" scale="65">
      <pane xSplit="2" ySplit="10" topLeftCell="X61" activePane="bottomRight" state="frozen"/>
      <selection pane="bottomRight" activeCell="AB73" sqref="AB73"/>
      <pageMargins left="0.7" right="0.7" top="0.75" bottom="0.75" header="0.3" footer="0.3"/>
      <pageSetup paperSize="9" orientation="portrait" r:id="rId19"/>
    </customSheetView>
    <customSheetView guid="{959E901C-5DDE-42EE-AE94-AB8976B5E00B}" scale="50">
      <pane xSplit="2" ySplit="10" topLeftCell="Z59" activePane="bottomRight" state="frozen"/>
      <selection pane="bottomRight" activeCell="AA71" sqref="AA71"/>
      <pageMargins left="0.7" right="0.7" top="0.75" bottom="0.75" header="0.3" footer="0.3"/>
      <pageSetup paperSize="9" orientation="portrait" r:id="rId20"/>
    </customSheetView>
    <customSheetView guid="{F679EF4A-C5FD-4B86-B87B-D85968E0F2CA}" scale="50">
      <pane xSplit="2" ySplit="10" topLeftCell="C50" activePane="bottomRight" state="frozen"/>
      <selection pane="bottomRight" activeCell="C61" sqref="C61"/>
      <pageMargins left="0.7" right="0.7" top="0.75" bottom="0.75" header="0.3" footer="0.3"/>
      <pageSetup paperSize="9" orientation="portrait" r:id="rId21"/>
    </customSheetView>
    <customSheetView guid="{009B3074-D8EC-4952-BF50-43CD64449612}" scale="70">
      <pane xSplit="2" ySplit="10" topLeftCell="T11" activePane="bottomRight" state="frozen"/>
      <selection pane="bottomRight" activeCell="AF23" sqref="AF23"/>
      <pageMargins left="0.7" right="0.7" top="0.75" bottom="0.75" header="0.3" footer="0.3"/>
      <pageSetup paperSize="9" orientation="portrait" r:id="rId22"/>
    </customSheetView>
    <customSheetView guid="{770624BF-07F3-44B6-94C3-4CC447CDD45C}" scale="70">
      <pane xSplit="2" ySplit="10" topLeftCell="C11" activePane="bottomRight" state="frozen"/>
      <selection pane="bottomRight" activeCell="E23" sqref="E23"/>
      <pageMargins left="0.7" right="0.7" top="0.75" bottom="0.75" header="0.3" footer="0.3"/>
      <pageSetup paperSize="9" orientation="portrait" r:id="rId23"/>
    </customSheetView>
    <customSheetView guid="{B82BA08A-1A30-4F4D-A478-74A6BD09EA97}" scale="70">
      <pane xSplit="2" ySplit="10" topLeftCell="F83" activePane="bottomRight" state="frozen"/>
      <selection pane="bottomRight" activeCell="J98" sqref="J98"/>
      <pageMargins left="0.7" right="0.7" top="0.75" bottom="0.75" header="0.3" footer="0.3"/>
      <pageSetup paperSize="9" orientation="portrait" r:id="rId24"/>
    </customSheetView>
    <customSheetView guid="{874882D1-E741-4CCA-BF0D-E72FA60B771D}" scale="70">
      <pane xSplit="2" ySplit="10" topLeftCell="F83" activePane="bottomRight" state="frozen"/>
      <selection pane="bottomRight" activeCell="J98" sqref="J98"/>
      <pageMargins left="0.7" right="0.7" top="0.75" bottom="0.75" header="0.3" footer="0.3"/>
      <pageSetup paperSize="9" orientation="portrait" r:id="rId25"/>
    </customSheetView>
    <customSheetView guid="{C236B307-BD63-48C4-A75F-B3F3717BF55C}" scale="70">
      <pane xSplit="2" ySplit="10" topLeftCell="C11" activePane="bottomRight" state="frozen"/>
      <selection pane="bottomRight" activeCell="Q27" sqref="Q27"/>
      <pageMargins left="0.7" right="0.7" top="0.75" bottom="0.75" header="0.3" footer="0.3"/>
      <pageSetup paperSize="9" orientation="portrait" r:id="rId26"/>
    </customSheetView>
    <customSheetView guid="{BCD82A82-B724-4763-8580-D765356E09BA}" scale="70">
      <pane xSplit="2" ySplit="10" topLeftCell="C11" activePane="bottomRight" state="frozen"/>
      <selection pane="bottomRight" activeCell="A4" sqref="A4:AD4"/>
      <pageMargins left="0.7" right="0.7" top="0.75" bottom="0.75" header="0.3" footer="0.3"/>
      <pageSetup paperSize="9" orientation="portrait" r:id="rId27"/>
    </customSheetView>
    <customSheetView guid="{85F4575B-DBC5-482A-9916-255D8F0BC94E}" scale="50">
      <pane xSplit="2" ySplit="10" topLeftCell="Z59" activePane="bottomRight" state="frozen"/>
      <selection pane="bottomRight" activeCell="AA71" sqref="AA71"/>
      <pageMargins left="0.7" right="0.7" top="0.75" bottom="0.75" header="0.3" footer="0.3"/>
      <pageSetup paperSize="9" orientation="portrait" r:id="rId28"/>
    </customSheetView>
    <customSheetView guid="{4D0DFB57-2CBA-42F2-9A97-C453A6851FBA}" scale="75">
      <pane xSplit="2" ySplit="10" topLeftCell="D71" activePane="bottomRight" state="frozen"/>
      <selection pane="bottomRight" activeCell="M8" sqref="M8"/>
      <pageMargins left="0.7" right="0.7" top="0.75" bottom="0.75" header="0.3" footer="0.3"/>
      <pageSetup paperSize="9" orientation="portrait" r:id="rId29"/>
    </customSheetView>
    <customSheetView guid="{CE1CCA00-200D-4EAA-9FBE-F8EE7C5F82FE}" scale="65">
      <pane xSplit="2" ySplit="10" topLeftCell="X61" activePane="bottomRight" state="frozen"/>
      <selection pane="bottomRight" activeCell="AB73" sqref="AB73"/>
      <pageMargins left="0.7" right="0.7" top="0.75" bottom="0.75" header="0.3" footer="0.3"/>
      <pageSetup paperSize="9" orientation="portrait" r:id="rId30"/>
    </customSheetView>
    <customSheetView guid="{AC2D5927-4079-4C74-AF69-1BFAC505648F}" scale="65">
      <pane xSplit="2" ySplit="10" topLeftCell="X61" activePane="bottomRight" state="frozen"/>
      <selection pane="bottomRight" activeCell="AB73" sqref="AB73"/>
      <pageMargins left="0.7" right="0.7" top="0.75" bottom="0.75" header="0.3" footer="0.3"/>
      <pageSetup paperSize="9" orientation="portrait" r:id="rId31"/>
    </customSheetView>
    <customSheetView guid="{3C3F523F-5F34-4CF7-831E-F1ABC4278CEB}" scale="50">
      <pane xSplit="2" ySplit="10" topLeftCell="C74" activePane="bottomRight" state="frozen"/>
      <selection pane="bottomRight" activeCell="AD7" sqref="AD7"/>
      <pageMargins left="0.7" right="0.7" top="0.75" bottom="0.75" header="0.3" footer="0.3"/>
      <pageSetup paperSize="9" orientation="portrait" r:id="rId32"/>
    </customSheetView>
    <customSheetView guid="{69DABE6F-6182-4403-A4A2-969F10F1C13A}" scale="50">
      <pane xSplit="2" ySplit="10" topLeftCell="V23" activePane="bottomRight" state="frozen"/>
      <selection pane="bottomRight" activeCell="AF6" sqref="AF6:AF7"/>
      <pageMargins left="0.7" right="0.7" top="0.75" bottom="0.75" header="0.3" footer="0.3"/>
      <pageSetup paperSize="9" orientation="portrait" r:id="rId33"/>
    </customSheetView>
    <customSheetView guid="{DAA8A688-7558-4B5B-8DBD-E2629BD9E9A8}" scale="50">
      <pane xSplit="2" ySplit="10" topLeftCell="C23" activePane="bottomRight" state="frozen"/>
      <selection pane="bottomRight" activeCell="L18" sqref="L18"/>
      <pageMargins left="0.7" right="0.7" top="0.75" bottom="0.75" header="0.3" footer="0.3"/>
      <pageSetup paperSize="9" orientation="portrait" r:id="rId34"/>
    </customSheetView>
    <customSheetView guid="{47B983AB-FE5F-4725-860C-A2F29420596D}" scale="50">
      <pane xSplit="2" ySplit="10" topLeftCell="C23" activePane="bottomRight" state="frozen"/>
      <selection pane="bottomRight" activeCell="L18" sqref="L18"/>
      <pageMargins left="0.7" right="0.7" top="0.75" bottom="0.75" header="0.3" footer="0.3"/>
      <pageSetup paperSize="9" orientation="portrait" r:id="rId35"/>
    </customSheetView>
    <customSheetView guid="{442F2C94-DD1B-4A01-8694-513D4D6F3BD9}" scale="50">
      <pane xSplit="2" ySplit="10" topLeftCell="C104" activePane="bottomRight" state="frozen"/>
      <selection pane="bottomRight" activeCell="L104" sqref="L104"/>
      <pageMargins left="0.7" right="0.7" top="0.75" bottom="0.75" header="0.3" footer="0.3"/>
      <pageSetup paperSize="9" orientation="portrait" r:id="rId36"/>
    </customSheetView>
    <customSheetView guid="{472DFAFE-DC7C-463D-92A0-F6A14555FDD6}" scale="50">
      <pane xSplit="2" ySplit="10" topLeftCell="C88" activePane="bottomRight" state="frozen"/>
      <selection pane="bottomRight" activeCell="C90" sqref="C90"/>
      <pageMargins left="0.7" right="0.7" top="0.75" bottom="0.75" header="0.3" footer="0.3"/>
      <pageSetup paperSize="9" orientation="portrait" r:id="rId37"/>
    </customSheetView>
    <customSheetView guid="{B43381A8-767B-4F49-BD2E-0056691293F3}" scale="75">
      <pane xSplit="2" ySplit="10" topLeftCell="AF11" activePane="bottomRight" state="frozen"/>
      <selection pane="bottomRight" activeCell="AF23" sqref="AF23"/>
      <pageMargins left="0.7" right="0.7" top="0.75" bottom="0.75" header="0.3" footer="0.3"/>
      <pageSetup paperSize="9" orientation="portrait" r:id="rId38"/>
    </customSheetView>
  </customSheetViews>
  <mergeCells count="28">
    <mergeCell ref="A41:AF41"/>
    <mergeCell ref="A42:AF42"/>
    <mergeCell ref="A55:AF55"/>
    <mergeCell ref="A56:AF56"/>
    <mergeCell ref="A75:AF75"/>
    <mergeCell ref="A76:AF76"/>
    <mergeCell ref="Z6:AA6"/>
    <mergeCell ref="AB6:AC6"/>
    <mergeCell ref="AD6:AE6"/>
    <mergeCell ref="AF6:AF7"/>
    <mergeCell ref="A9:AF9"/>
    <mergeCell ref="A10:AF10"/>
    <mergeCell ref="N6:O6"/>
    <mergeCell ref="P6:Q6"/>
    <mergeCell ref="R6:S6"/>
    <mergeCell ref="T6:U6"/>
    <mergeCell ref="V6:W6"/>
    <mergeCell ref="X6:Y6"/>
    <mergeCell ref="A6:A7"/>
    <mergeCell ref="F6:G6"/>
    <mergeCell ref="H6:I6"/>
    <mergeCell ref="J6:K6"/>
    <mergeCell ref="L6:M6"/>
    <mergeCell ref="A1:AD1"/>
    <mergeCell ref="A2:AD2"/>
    <mergeCell ref="A3:AD3"/>
    <mergeCell ref="A4:AD4"/>
    <mergeCell ref="AB5:AD5"/>
  </mergeCells>
  <hyperlinks>
    <hyperlink ref="A4:AD4" location="Оглавление!A1" display="Комплексный план (сетевой график) по реализации муниципальной программы &quot;Развитие институтов гражданского общества города Когалыма&quot;"/>
  </hyperlinks>
  <pageMargins left="0.7" right="0.7" top="0.75" bottom="0.75" header="0.3" footer="0.3"/>
  <pageSetup paperSize="9" orientation="portrait" r:id="rId3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I166"/>
  <sheetViews>
    <sheetView zoomScale="70" zoomScaleNormal="70" workbookViewId="0">
      <pane xSplit="7" ySplit="10" topLeftCell="AB11" activePane="bottomRight" state="frozen"/>
      <selection pane="topRight" activeCell="H1" sqref="H1"/>
      <selection pane="bottomLeft" activeCell="A11" sqref="A11"/>
      <selection pane="bottomRight" activeCell="AF104" sqref="AF104"/>
    </sheetView>
  </sheetViews>
  <sheetFormatPr defaultColWidth="9.140625" defaultRowHeight="18.75" x14ac:dyDescent="0.3"/>
  <cols>
    <col min="1" max="1" width="55" style="1051" customWidth="1"/>
    <col min="2" max="5" width="16.7109375" style="1051" customWidth="1"/>
    <col min="6" max="7" width="16.42578125" style="1051" customWidth="1"/>
    <col min="8" max="10" width="13.42578125" style="1051" customWidth="1"/>
    <col min="11" max="11" width="15.7109375" style="1051" customWidth="1"/>
    <col min="12" max="16" width="13.42578125" style="1051" customWidth="1"/>
    <col min="17" max="17" width="13.7109375" style="1051" customWidth="1"/>
    <col min="18" max="30" width="13.42578125" style="1051" customWidth="1"/>
    <col min="31" max="31" width="16.85546875" style="1051" customWidth="1"/>
    <col min="32" max="32" width="27.5703125" style="1051" customWidth="1"/>
    <col min="33" max="33" width="10.7109375" style="1051" customWidth="1"/>
    <col min="34" max="34" width="16.7109375" style="1051" bestFit="1" customWidth="1"/>
    <col min="35" max="35" width="12.7109375" style="1051" bestFit="1" customWidth="1"/>
    <col min="36" max="16384" width="9.140625" style="1051"/>
  </cols>
  <sheetData>
    <row r="4" spans="1:35" x14ac:dyDescent="0.3">
      <c r="A4" s="1050" t="s">
        <v>249</v>
      </c>
      <c r="B4" s="1043"/>
      <c r="C4" s="1043"/>
      <c r="D4" s="1043"/>
      <c r="E4" s="1043"/>
      <c r="F4" s="1043"/>
      <c r="G4" s="1043"/>
      <c r="H4" s="1043"/>
      <c r="I4" s="1043"/>
      <c r="J4" s="1043"/>
      <c r="K4" s="1043"/>
      <c r="L4" s="1043"/>
      <c r="M4" s="1043"/>
      <c r="N4" s="1043"/>
      <c r="O4" s="1043"/>
      <c r="P4" s="1043"/>
      <c r="Q4" s="1043"/>
      <c r="R4" s="1043"/>
      <c r="S4" s="1043"/>
      <c r="T4" s="1043"/>
      <c r="U4" s="1043"/>
      <c r="V4" s="1043"/>
      <c r="W4" s="1043"/>
      <c r="X4" s="1043"/>
      <c r="Y4" s="1043"/>
      <c r="Z4" s="1043"/>
      <c r="AA4" s="1043"/>
      <c r="AB4" s="1043"/>
      <c r="AC4" s="1043"/>
      <c r="AD4" s="1043"/>
      <c r="AE4" s="1043"/>
      <c r="AF4" s="1043"/>
    </row>
    <row r="6" spans="1:35" ht="50.25" customHeight="1" x14ac:dyDescent="0.3">
      <c r="A6" s="1052" t="s">
        <v>163</v>
      </c>
      <c r="B6" s="1053" t="s">
        <v>3</v>
      </c>
      <c r="C6" s="1053" t="s">
        <v>3</v>
      </c>
      <c r="D6" s="1053" t="s">
        <v>4</v>
      </c>
      <c r="E6" s="1053" t="s">
        <v>5</v>
      </c>
      <c r="F6" s="1054" t="s">
        <v>6</v>
      </c>
      <c r="G6" s="1045"/>
      <c r="H6" s="1054" t="s">
        <v>7</v>
      </c>
      <c r="I6" s="1046"/>
      <c r="J6" s="1054" t="s">
        <v>8</v>
      </c>
      <c r="K6" s="1046"/>
      <c r="L6" s="1054" t="s">
        <v>9</v>
      </c>
      <c r="M6" s="1046"/>
      <c r="N6" s="1054" t="s">
        <v>10</v>
      </c>
      <c r="O6" s="1046"/>
      <c r="P6" s="1054" t="s">
        <v>11</v>
      </c>
      <c r="Q6" s="1046"/>
      <c r="R6" s="1054" t="s">
        <v>12</v>
      </c>
      <c r="S6" s="1046"/>
      <c r="T6" s="1054" t="s">
        <v>13</v>
      </c>
      <c r="U6" s="1046"/>
      <c r="V6" s="1054" t="s">
        <v>14</v>
      </c>
      <c r="W6" s="1046"/>
      <c r="X6" s="1054" t="s">
        <v>15</v>
      </c>
      <c r="Y6" s="1046"/>
      <c r="Z6" s="1054" t="s">
        <v>16</v>
      </c>
      <c r="AA6" s="1046"/>
      <c r="AB6" s="1054" t="s">
        <v>17</v>
      </c>
      <c r="AC6" s="1046"/>
      <c r="AD6" s="1053" t="s">
        <v>18</v>
      </c>
      <c r="AE6" s="1047"/>
      <c r="AF6" s="1055" t="s">
        <v>19</v>
      </c>
    </row>
    <row r="7" spans="1:35" ht="56.25" x14ac:dyDescent="0.3">
      <c r="A7" s="1044"/>
      <c r="B7" s="1056">
        <v>2024</v>
      </c>
      <c r="C7" s="1057">
        <v>45627</v>
      </c>
      <c r="D7" s="1057">
        <v>45627</v>
      </c>
      <c r="E7" s="1057">
        <v>45627</v>
      </c>
      <c r="F7" s="1020" t="s">
        <v>20</v>
      </c>
      <c r="G7" s="1020" t="s">
        <v>21</v>
      </c>
      <c r="H7" s="1058" t="s">
        <v>22</v>
      </c>
      <c r="I7" s="1058" t="s">
        <v>164</v>
      </c>
      <c r="J7" s="1058" t="s">
        <v>22</v>
      </c>
      <c r="K7" s="1058" t="s">
        <v>164</v>
      </c>
      <c r="L7" s="1058" t="s">
        <v>22</v>
      </c>
      <c r="M7" s="1058" t="s">
        <v>164</v>
      </c>
      <c r="N7" s="1058" t="s">
        <v>22</v>
      </c>
      <c r="O7" s="1058" t="s">
        <v>164</v>
      </c>
      <c r="P7" s="1058" t="s">
        <v>22</v>
      </c>
      <c r="Q7" s="1058" t="s">
        <v>164</v>
      </c>
      <c r="R7" s="1058" t="s">
        <v>22</v>
      </c>
      <c r="S7" s="1058" t="s">
        <v>164</v>
      </c>
      <c r="T7" s="1058" t="s">
        <v>22</v>
      </c>
      <c r="U7" s="1058" t="s">
        <v>164</v>
      </c>
      <c r="V7" s="1058" t="s">
        <v>22</v>
      </c>
      <c r="W7" s="1058" t="s">
        <v>164</v>
      </c>
      <c r="X7" s="1058" t="s">
        <v>22</v>
      </c>
      <c r="Y7" s="1058" t="s">
        <v>164</v>
      </c>
      <c r="Z7" s="1058" t="s">
        <v>22</v>
      </c>
      <c r="AA7" s="1058" t="s">
        <v>164</v>
      </c>
      <c r="AB7" s="1058" t="s">
        <v>22</v>
      </c>
      <c r="AC7" s="1058" t="s">
        <v>164</v>
      </c>
      <c r="AD7" s="1058" t="s">
        <v>165</v>
      </c>
      <c r="AE7" s="1058" t="s">
        <v>164</v>
      </c>
      <c r="AF7" s="1042"/>
    </row>
    <row r="8" spans="1:35" x14ac:dyDescent="0.3">
      <c r="A8" s="695">
        <v>1</v>
      </c>
      <c r="B8" s="695">
        <v>2</v>
      </c>
      <c r="C8" s="695">
        <v>3</v>
      </c>
      <c r="D8" s="695">
        <v>4</v>
      </c>
      <c r="E8" s="695">
        <v>5</v>
      </c>
      <c r="F8" s="695">
        <v>6</v>
      </c>
      <c r="G8" s="695">
        <v>7</v>
      </c>
      <c r="H8" s="695">
        <v>8</v>
      </c>
      <c r="I8" s="695">
        <v>9</v>
      </c>
      <c r="J8" s="695">
        <v>10</v>
      </c>
      <c r="K8" s="695">
        <v>11</v>
      </c>
      <c r="L8" s="695">
        <v>12</v>
      </c>
      <c r="M8" s="695">
        <v>13</v>
      </c>
      <c r="N8" s="695">
        <v>14</v>
      </c>
      <c r="O8" s="695">
        <v>15</v>
      </c>
      <c r="P8" s="695">
        <v>16</v>
      </c>
      <c r="Q8" s="695">
        <v>17</v>
      </c>
      <c r="R8" s="695">
        <v>18</v>
      </c>
      <c r="S8" s="695">
        <v>19</v>
      </c>
      <c r="T8" s="695">
        <v>20</v>
      </c>
      <c r="U8" s="695">
        <v>21</v>
      </c>
      <c r="V8" s="695">
        <v>22</v>
      </c>
      <c r="W8" s="695">
        <v>23</v>
      </c>
      <c r="X8" s="695">
        <v>24</v>
      </c>
      <c r="Y8" s="695">
        <v>25</v>
      </c>
      <c r="Z8" s="695">
        <v>26</v>
      </c>
      <c r="AA8" s="695">
        <v>27</v>
      </c>
      <c r="AB8" s="695">
        <v>28</v>
      </c>
      <c r="AC8" s="695">
        <v>29</v>
      </c>
      <c r="AD8" s="695">
        <v>30</v>
      </c>
      <c r="AE8" s="695">
        <v>31</v>
      </c>
      <c r="AF8" s="695">
        <v>32</v>
      </c>
    </row>
    <row r="9" spans="1:35" s="1060" customFormat="1" x14ac:dyDescent="0.3">
      <c r="A9" s="1059" t="s">
        <v>250</v>
      </c>
      <c r="B9" s="1048"/>
      <c r="C9" s="1048"/>
      <c r="D9" s="1048"/>
      <c r="E9" s="1048"/>
      <c r="F9" s="1048"/>
      <c r="G9" s="1048"/>
      <c r="H9" s="1048"/>
      <c r="I9" s="1048"/>
      <c r="J9" s="1048"/>
      <c r="K9" s="1048"/>
      <c r="L9" s="1048"/>
      <c r="M9" s="1048"/>
      <c r="N9" s="1048"/>
      <c r="O9" s="1048"/>
      <c r="P9" s="1048"/>
      <c r="Q9" s="1048"/>
      <c r="R9" s="1048"/>
      <c r="S9" s="1048"/>
      <c r="T9" s="1048"/>
      <c r="U9" s="1048"/>
      <c r="V9" s="1048"/>
      <c r="W9" s="1048"/>
      <c r="X9" s="1048"/>
      <c r="Y9" s="1048"/>
      <c r="Z9" s="1048"/>
      <c r="AA9" s="1048"/>
      <c r="AB9" s="1048"/>
      <c r="AC9" s="1048"/>
      <c r="AD9" s="1048"/>
      <c r="AE9" s="1048"/>
      <c r="AF9" s="1049"/>
    </row>
    <row r="10" spans="1:35" s="1060" customFormat="1" x14ac:dyDescent="0.3">
      <c r="A10" s="1059" t="s">
        <v>167</v>
      </c>
      <c r="B10" s="1048"/>
      <c r="C10" s="1048"/>
      <c r="D10" s="1048"/>
      <c r="E10" s="1048"/>
      <c r="F10" s="1048"/>
      <c r="G10" s="1048"/>
      <c r="H10" s="1048"/>
      <c r="I10" s="1048"/>
      <c r="J10" s="1048"/>
      <c r="K10" s="1048"/>
      <c r="L10" s="1048"/>
      <c r="M10" s="1048"/>
      <c r="N10" s="1048"/>
      <c r="O10" s="1048"/>
      <c r="P10" s="1048"/>
      <c r="Q10" s="1048"/>
      <c r="R10" s="1048"/>
      <c r="S10" s="1048"/>
      <c r="T10" s="1048"/>
      <c r="U10" s="1048"/>
      <c r="V10" s="1048"/>
      <c r="W10" s="1048"/>
      <c r="X10" s="1048"/>
      <c r="Y10" s="1048"/>
      <c r="Z10" s="1048"/>
      <c r="AA10" s="1048"/>
      <c r="AB10" s="1048"/>
      <c r="AC10" s="1048"/>
      <c r="AD10" s="1048"/>
      <c r="AE10" s="1048"/>
      <c r="AF10" s="1049"/>
      <c r="AH10" s="1061"/>
      <c r="AI10" s="1062"/>
    </row>
    <row r="11" spans="1:35" ht="56.25" customHeight="1" x14ac:dyDescent="0.3">
      <c r="A11" s="584" t="s">
        <v>251</v>
      </c>
      <c r="B11" s="585"/>
      <c r="C11" s="585"/>
      <c r="D11" s="585"/>
      <c r="E11" s="585"/>
      <c r="F11" s="585"/>
      <c r="G11" s="585"/>
      <c r="H11" s="585"/>
      <c r="I11" s="585"/>
      <c r="J11" s="585"/>
      <c r="K11" s="585"/>
      <c r="L11" s="585"/>
      <c r="M11" s="585"/>
      <c r="N11" s="585"/>
      <c r="O11" s="585"/>
      <c r="P11" s="585"/>
      <c r="Q11" s="585"/>
      <c r="R11" s="585"/>
      <c r="S11" s="585"/>
      <c r="T11" s="585"/>
      <c r="U11" s="585"/>
      <c r="V11" s="585"/>
      <c r="W11" s="585"/>
      <c r="X11" s="585"/>
      <c r="Y11" s="585"/>
      <c r="Z11" s="585"/>
      <c r="AA11" s="585"/>
      <c r="AB11" s="585"/>
      <c r="AC11" s="585"/>
      <c r="AD11" s="585"/>
      <c r="AE11" s="585"/>
      <c r="AF11" s="952"/>
      <c r="AG11" s="1063"/>
    </row>
    <row r="12" spans="1:35" x14ac:dyDescent="0.3">
      <c r="A12" s="590" t="s">
        <v>31</v>
      </c>
      <c r="B12" s="591">
        <f>B13+B14+B15+B16</f>
        <v>0</v>
      </c>
      <c r="C12" s="591">
        <f>C13+C14+C15+C16</f>
        <v>0</v>
      </c>
      <c r="D12" s="591">
        <f>D13+D14+D15+D16</f>
        <v>0</v>
      </c>
      <c r="E12" s="591">
        <f>E13+E14+E15+E16</f>
        <v>0</v>
      </c>
      <c r="F12" s="592">
        <f>IFERROR(E12/B12*100,0)</f>
        <v>0</v>
      </c>
      <c r="G12" s="592">
        <f>IFERROR(E12/C12*100,0)</f>
        <v>0</v>
      </c>
      <c r="H12" s="591">
        <f>H13+H14+H15+H16</f>
        <v>0</v>
      </c>
      <c r="I12" s="591">
        <f t="shared" ref="I12:AE12" si="0">I13+I14+I15+I16</f>
        <v>0</v>
      </c>
      <c r="J12" s="591">
        <f t="shared" si="0"/>
        <v>0</v>
      </c>
      <c r="K12" s="591">
        <f t="shared" si="0"/>
        <v>0</v>
      </c>
      <c r="L12" s="591">
        <f t="shared" si="0"/>
        <v>0</v>
      </c>
      <c r="M12" s="591">
        <f t="shared" si="0"/>
        <v>0</v>
      </c>
      <c r="N12" s="591">
        <f t="shared" si="0"/>
        <v>0</v>
      </c>
      <c r="O12" s="591">
        <f t="shared" si="0"/>
        <v>0</v>
      </c>
      <c r="P12" s="591">
        <f t="shared" si="0"/>
        <v>0</v>
      </c>
      <c r="Q12" s="591">
        <f t="shared" si="0"/>
        <v>0</v>
      </c>
      <c r="R12" s="591">
        <f t="shared" si="0"/>
        <v>0</v>
      </c>
      <c r="S12" s="591">
        <f t="shared" si="0"/>
        <v>0</v>
      </c>
      <c r="T12" s="591">
        <f t="shared" si="0"/>
        <v>0</v>
      </c>
      <c r="U12" s="591">
        <f t="shared" si="0"/>
        <v>0</v>
      </c>
      <c r="V12" s="591">
        <f t="shared" si="0"/>
        <v>0</v>
      </c>
      <c r="W12" s="591">
        <f t="shared" si="0"/>
        <v>0</v>
      </c>
      <c r="X12" s="591">
        <f t="shared" si="0"/>
        <v>0</v>
      </c>
      <c r="Y12" s="591">
        <f t="shared" si="0"/>
        <v>0</v>
      </c>
      <c r="Z12" s="591">
        <f t="shared" si="0"/>
        <v>0</v>
      </c>
      <c r="AA12" s="591">
        <f t="shared" si="0"/>
        <v>0</v>
      </c>
      <c r="AB12" s="591">
        <f t="shared" si="0"/>
        <v>0</v>
      </c>
      <c r="AC12" s="591">
        <f t="shared" si="0"/>
        <v>0</v>
      </c>
      <c r="AD12" s="591">
        <f t="shared" si="0"/>
        <v>0</v>
      </c>
      <c r="AE12" s="591">
        <f t="shared" si="0"/>
        <v>0</v>
      </c>
      <c r="AF12" s="952"/>
      <c r="AG12" s="1063"/>
      <c r="AH12" s="683"/>
    </row>
    <row r="13" spans="1:35" x14ac:dyDescent="0.3">
      <c r="A13" s="593" t="s">
        <v>169</v>
      </c>
      <c r="B13" s="594">
        <f>J13+L13+N13+P13+R13+T13+V13+X13+Z13+AB13+AD13+H13</f>
        <v>0</v>
      </c>
      <c r="C13" s="594">
        <f>SUM(H13)</f>
        <v>0</v>
      </c>
      <c r="D13" s="594">
        <f>E13</f>
        <v>0</v>
      </c>
      <c r="E13" s="594">
        <f>SUM(I13,K13,M13,O13,Q13,S13,U13,W13,Y13,AA13,AC13,AE13)</f>
        <v>0</v>
      </c>
      <c r="F13" s="594">
        <f>IFERROR(E13/B13*100,0)</f>
        <v>0</v>
      </c>
      <c r="G13" s="594">
        <f>IFERROR(E13/C13*100,0)</f>
        <v>0</v>
      </c>
      <c r="H13" s="594"/>
      <c r="I13" s="594"/>
      <c r="J13" s="594"/>
      <c r="K13" s="594"/>
      <c r="L13" s="594"/>
      <c r="M13" s="594"/>
      <c r="N13" s="594"/>
      <c r="O13" s="594"/>
      <c r="P13" s="594"/>
      <c r="Q13" s="594"/>
      <c r="R13" s="594"/>
      <c r="S13" s="594"/>
      <c r="T13" s="594"/>
      <c r="U13" s="594"/>
      <c r="V13" s="594"/>
      <c r="W13" s="594"/>
      <c r="X13" s="594"/>
      <c r="Y13" s="594"/>
      <c r="Z13" s="594"/>
      <c r="AA13" s="594"/>
      <c r="AB13" s="594"/>
      <c r="AC13" s="594"/>
      <c r="AD13" s="594"/>
      <c r="AE13" s="594"/>
      <c r="AF13" s="952"/>
      <c r="AG13" s="1063"/>
      <c r="AH13" s="683"/>
    </row>
    <row r="14" spans="1:35" x14ac:dyDescent="0.3">
      <c r="A14" s="593" t="s">
        <v>32</v>
      </c>
      <c r="B14" s="594">
        <f>J14+L14+N14+P14+R14+T14+V14+X14+Z14+AB14+AD14+H14</f>
        <v>0</v>
      </c>
      <c r="C14" s="594">
        <f>SUM(H14)</f>
        <v>0</v>
      </c>
      <c r="D14" s="594">
        <f>E14</f>
        <v>0</v>
      </c>
      <c r="E14" s="594">
        <f>SUM(I14,K14,M14,O14,Q14,S14,U14,W14,Y14,AA14,AC14,AE14)</f>
        <v>0</v>
      </c>
      <c r="F14" s="594">
        <f>IFERROR(E14/B14*100,0)</f>
        <v>0</v>
      </c>
      <c r="G14" s="594">
        <f>IFERROR(E14/C14*100,0)</f>
        <v>0</v>
      </c>
      <c r="H14" s="594"/>
      <c r="I14" s="594"/>
      <c r="J14" s="594"/>
      <c r="K14" s="594"/>
      <c r="L14" s="594"/>
      <c r="M14" s="594"/>
      <c r="N14" s="594"/>
      <c r="O14" s="594"/>
      <c r="P14" s="594"/>
      <c r="Q14" s="594"/>
      <c r="R14" s="594"/>
      <c r="S14" s="594"/>
      <c r="T14" s="594"/>
      <c r="U14" s="594"/>
      <c r="V14" s="594"/>
      <c r="W14" s="594"/>
      <c r="X14" s="594"/>
      <c r="Y14" s="594"/>
      <c r="Z14" s="594"/>
      <c r="AA14" s="594"/>
      <c r="AB14" s="594"/>
      <c r="AC14" s="594"/>
      <c r="AD14" s="594"/>
      <c r="AE14" s="594"/>
      <c r="AF14" s="952"/>
      <c r="AG14" s="1063"/>
      <c r="AH14" s="683"/>
    </row>
    <row r="15" spans="1:35" x14ac:dyDescent="0.3">
      <c r="A15" s="593" t="s">
        <v>33</v>
      </c>
      <c r="B15" s="594">
        <f>J15+L15+N15+P15+R15+T15+V15+X15+Z15+AB15+AD15+H15</f>
        <v>0</v>
      </c>
      <c r="C15" s="594">
        <f>SUM(H15)</f>
        <v>0</v>
      </c>
      <c r="D15" s="594">
        <f>E15</f>
        <v>0</v>
      </c>
      <c r="E15" s="594">
        <f>SUM(I15,K15,M15,O15,Q15,S15,U15,W15,Y15,AA15,AC15,AE15)</f>
        <v>0</v>
      </c>
      <c r="F15" s="594">
        <f>IFERROR(E15/B15*100,0)</f>
        <v>0</v>
      </c>
      <c r="G15" s="594">
        <f>IFERROR(E15/C15*100,0)</f>
        <v>0</v>
      </c>
      <c r="H15" s="594"/>
      <c r="I15" s="594"/>
      <c r="J15" s="594"/>
      <c r="K15" s="594"/>
      <c r="L15" s="594"/>
      <c r="M15" s="594"/>
      <c r="N15" s="594"/>
      <c r="O15" s="594"/>
      <c r="P15" s="594"/>
      <c r="Q15" s="594"/>
      <c r="R15" s="594"/>
      <c r="S15" s="594"/>
      <c r="T15" s="594"/>
      <c r="U15" s="594"/>
      <c r="V15" s="594"/>
      <c r="W15" s="594"/>
      <c r="X15" s="594"/>
      <c r="Y15" s="594"/>
      <c r="Z15" s="594"/>
      <c r="AA15" s="594"/>
      <c r="AB15" s="594"/>
      <c r="AC15" s="594"/>
      <c r="AD15" s="594"/>
      <c r="AE15" s="594"/>
      <c r="AF15" s="952"/>
      <c r="AG15" s="1063"/>
      <c r="AH15" s="683"/>
    </row>
    <row r="16" spans="1:35" x14ac:dyDescent="0.3">
      <c r="A16" s="593" t="s">
        <v>170</v>
      </c>
      <c r="B16" s="594">
        <f>J16+L16+N16+P16+R16+T16+V16+X16+Z16+AB16+AD16+H16</f>
        <v>0</v>
      </c>
      <c r="C16" s="594">
        <f>SUM(H16)</f>
        <v>0</v>
      </c>
      <c r="D16" s="594">
        <f>E16</f>
        <v>0</v>
      </c>
      <c r="E16" s="594">
        <f>SUM(I16,K16,M16,O16,Q16,S16,U16,W16,Y16,AA16,AC16,AE16)</f>
        <v>0</v>
      </c>
      <c r="F16" s="594">
        <f>IFERROR(E16/B16*100,0)</f>
        <v>0</v>
      </c>
      <c r="G16" s="594">
        <f>IFERROR(E16/C16*100,0)</f>
        <v>0</v>
      </c>
      <c r="H16" s="594"/>
      <c r="I16" s="594"/>
      <c r="J16" s="594"/>
      <c r="K16" s="594"/>
      <c r="L16" s="594"/>
      <c r="M16" s="594"/>
      <c r="N16" s="594"/>
      <c r="O16" s="594"/>
      <c r="P16" s="594"/>
      <c r="Q16" s="594"/>
      <c r="R16" s="594"/>
      <c r="S16" s="594"/>
      <c r="T16" s="594"/>
      <c r="U16" s="594"/>
      <c r="V16" s="594"/>
      <c r="W16" s="594"/>
      <c r="X16" s="594"/>
      <c r="Y16" s="594"/>
      <c r="Z16" s="594"/>
      <c r="AA16" s="594"/>
      <c r="AB16" s="594"/>
      <c r="AC16" s="594"/>
      <c r="AD16" s="594"/>
      <c r="AE16" s="594"/>
      <c r="AF16" s="952"/>
      <c r="AG16" s="1063"/>
      <c r="AH16" s="683"/>
    </row>
    <row r="17" spans="1:34" ht="56.25" x14ac:dyDescent="0.3">
      <c r="A17" s="590" t="s">
        <v>535</v>
      </c>
      <c r="B17" s="594"/>
      <c r="C17" s="594"/>
      <c r="D17" s="594"/>
      <c r="E17" s="594"/>
      <c r="F17" s="594"/>
      <c r="G17" s="594"/>
      <c r="H17" s="594"/>
      <c r="I17" s="594"/>
      <c r="J17" s="594"/>
      <c r="K17" s="594"/>
      <c r="L17" s="594"/>
      <c r="M17" s="594"/>
      <c r="N17" s="594"/>
      <c r="O17" s="594"/>
      <c r="P17" s="594"/>
      <c r="Q17" s="594"/>
      <c r="R17" s="594"/>
      <c r="S17" s="594"/>
      <c r="T17" s="594"/>
      <c r="U17" s="594"/>
      <c r="V17" s="594"/>
      <c r="W17" s="594"/>
      <c r="X17" s="594"/>
      <c r="Y17" s="594"/>
      <c r="Z17" s="594"/>
      <c r="AA17" s="594"/>
      <c r="AB17" s="594"/>
      <c r="AC17" s="594"/>
      <c r="AD17" s="594"/>
      <c r="AE17" s="594"/>
      <c r="AF17" s="952"/>
      <c r="AG17" s="1063"/>
      <c r="AH17" s="683"/>
    </row>
    <row r="18" spans="1:34" x14ac:dyDescent="0.3">
      <c r="A18" s="590" t="s">
        <v>31</v>
      </c>
      <c r="B18" s="591">
        <f ca="1">B19+B20+B21+B22</f>
        <v>15871.8</v>
      </c>
      <c r="C18" s="591">
        <f ca="1">C19+C20+C21+C22</f>
        <v>0</v>
      </c>
      <c r="D18" s="591">
        <f ca="1">D19+D20+D21+D22</f>
        <v>0</v>
      </c>
      <c r="E18" s="591">
        <f ca="1">E19+E20+E21+E22</f>
        <v>0</v>
      </c>
      <c r="F18" s="592">
        <f ca="1">IFERROR(E18/B18*100,0)</f>
        <v>0</v>
      </c>
      <c r="G18" s="592">
        <f t="shared" ref="G18:V22" ca="1" si="1">IFERROR(E18/C18*100,0)</f>
        <v>0</v>
      </c>
      <c r="H18" s="592">
        <f t="shared" ca="1" si="1"/>
        <v>0</v>
      </c>
      <c r="I18" s="592">
        <f t="shared" ca="1" si="1"/>
        <v>0</v>
      </c>
      <c r="J18" s="592">
        <f t="shared" ca="1" si="1"/>
        <v>0</v>
      </c>
      <c r="K18" s="592">
        <f t="shared" ca="1" si="1"/>
        <v>0</v>
      </c>
      <c r="L18" s="592">
        <f t="shared" ca="1" si="1"/>
        <v>0</v>
      </c>
      <c r="M18" s="592">
        <f t="shared" ca="1" si="1"/>
        <v>0</v>
      </c>
      <c r="N18" s="592">
        <f t="shared" ca="1" si="1"/>
        <v>0</v>
      </c>
      <c r="O18" s="592">
        <f t="shared" ca="1" si="1"/>
        <v>0</v>
      </c>
      <c r="P18" s="592">
        <f t="shared" ca="1" si="1"/>
        <v>0</v>
      </c>
      <c r="Q18" s="592">
        <f t="shared" ca="1" si="1"/>
        <v>0</v>
      </c>
      <c r="R18" s="592">
        <f t="shared" ca="1" si="1"/>
        <v>0</v>
      </c>
      <c r="S18" s="592">
        <f t="shared" ca="1" si="1"/>
        <v>0</v>
      </c>
      <c r="T18" s="592">
        <f t="shared" ca="1" si="1"/>
        <v>0</v>
      </c>
      <c r="U18" s="592">
        <f t="shared" ca="1" si="1"/>
        <v>0</v>
      </c>
      <c r="V18" s="592">
        <f ca="1">SUM(V19:V22)</f>
        <v>10212.799999999999</v>
      </c>
      <c r="W18" s="592">
        <f ca="1">IFERROR(U18/S18*100,0)</f>
        <v>0</v>
      </c>
      <c r="X18" s="592">
        <f ca="1">SUM(X19:X22)</f>
        <v>1859</v>
      </c>
      <c r="Y18" s="592">
        <f t="shared" ref="Y18:AE22" ca="1" si="2">IFERROR(W18/U18*100,0)</f>
        <v>0</v>
      </c>
      <c r="Z18" s="592">
        <f t="shared" ca="1" si="2"/>
        <v>18.20264765784114</v>
      </c>
      <c r="AA18" s="592">
        <f t="shared" ca="1" si="2"/>
        <v>0</v>
      </c>
      <c r="AB18" s="592">
        <f t="shared" ca="1" si="2"/>
        <v>0.97916340278865732</v>
      </c>
      <c r="AC18" s="592">
        <f t="shared" ca="1" si="2"/>
        <v>0</v>
      </c>
      <c r="AD18" s="592">
        <v>0</v>
      </c>
      <c r="AE18" s="592">
        <f t="shared" ca="1" si="2"/>
        <v>0</v>
      </c>
      <c r="AF18" s="952"/>
      <c r="AG18" s="1063"/>
      <c r="AH18" s="683"/>
    </row>
    <row r="19" spans="1:34" x14ac:dyDescent="0.3">
      <c r="A19" s="593" t="s">
        <v>169</v>
      </c>
      <c r="B19" s="594">
        <f ca="1">J19+L19+N19+P19+R19+T19+V19+X19+Z19+AB19+AD19+H19</f>
        <v>0</v>
      </c>
      <c r="C19" s="594">
        <f ca="1">SUM(H19)</f>
        <v>0</v>
      </c>
      <c r="D19" s="594">
        <f ca="1">E19</f>
        <v>0</v>
      </c>
      <c r="E19" s="594">
        <f ca="1">SUM(I19,K19,M19,O19,Q19,S19,U19,W19,Y19,AA19,AC19,AE19)</f>
        <v>0</v>
      </c>
      <c r="F19" s="594">
        <f ca="1">IFERROR(E19/B19*100,0)</f>
        <v>0</v>
      </c>
      <c r="G19" s="594">
        <f t="shared" ca="1" si="1"/>
        <v>0</v>
      </c>
      <c r="H19" s="594">
        <f t="shared" ca="1" si="1"/>
        <v>0</v>
      </c>
      <c r="I19" s="594">
        <f t="shared" ca="1" si="1"/>
        <v>0</v>
      </c>
      <c r="J19" s="594">
        <f t="shared" ca="1" si="1"/>
        <v>0</v>
      </c>
      <c r="K19" s="594">
        <f t="shared" ca="1" si="1"/>
        <v>0</v>
      </c>
      <c r="L19" s="594">
        <f t="shared" ca="1" si="1"/>
        <v>0</v>
      </c>
      <c r="M19" s="594">
        <f t="shared" ca="1" si="1"/>
        <v>0</v>
      </c>
      <c r="N19" s="594">
        <f t="shared" ca="1" si="1"/>
        <v>0</v>
      </c>
      <c r="O19" s="594">
        <f t="shared" ca="1" si="1"/>
        <v>0</v>
      </c>
      <c r="P19" s="594">
        <f t="shared" ca="1" si="1"/>
        <v>0</v>
      </c>
      <c r="Q19" s="594">
        <f t="shared" ca="1" si="1"/>
        <v>0</v>
      </c>
      <c r="R19" s="594">
        <f t="shared" ca="1" si="1"/>
        <v>0</v>
      </c>
      <c r="S19" s="594">
        <f t="shared" ca="1" si="1"/>
        <v>0</v>
      </c>
      <c r="T19" s="594">
        <f t="shared" ca="1" si="1"/>
        <v>0</v>
      </c>
      <c r="U19" s="594">
        <f t="shared" ca="1" si="1"/>
        <v>0</v>
      </c>
      <c r="V19" s="594">
        <f t="shared" ca="1" si="1"/>
        <v>0</v>
      </c>
      <c r="W19" s="594">
        <f ca="1">IFERROR(U19/S19*100,0)</f>
        <v>0</v>
      </c>
      <c r="X19" s="594">
        <f ca="1">IFERROR(V19/T19*100,0)</f>
        <v>0</v>
      </c>
      <c r="Y19" s="594">
        <f t="shared" ca="1" si="2"/>
        <v>0</v>
      </c>
      <c r="Z19" s="594">
        <f t="shared" ca="1" si="2"/>
        <v>0</v>
      </c>
      <c r="AA19" s="594">
        <f t="shared" ca="1" si="2"/>
        <v>0</v>
      </c>
      <c r="AB19" s="594">
        <f t="shared" ca="1" si="2"/>
        <v>0</v>
      </c>
      <c r="AC19" s="594">
        <f t="shared" ca="1" si="2"/>
        <v>0</v>
      </c>
      <c r="AD19" s="594">
        <f t="shared" ca="1" si="2"/>
        <v>0</v>
      </c>
      <c r="AE19" s="594">
        <f t="shared" ca="1" si="2"/>
        <v>0</v>
      </c>
      <c r="AF19" s="952"/>
      <c r="AG19" s="1063"/>
      <c r="AH19" s="683"/>
    </row>
    <row r="20" spans="1:34" x14ac:dyDescent="0.3">
      <c r="A20" s="593" t="s">
        <v>32</v>
      </c>
      <c r="B20" s="594">
        <f ca="1">J20+L20+N20+P20+R20+T20+V20+X20+Z20+AB20+AD20+H20</f>
        <v>10000</v>
      </c>
      <c r="C20" s="594">
        <f ca="1">SUM(H20)</f>
        <v>0</v>
      </c>
      <c r="D20" s="594">
        <f ca="1">E20</f>
        <v>0</v>
      </c>
      <c r="E20" s="594">
        <f ca="1">SUM(I20,K20,M20,O20,Q20,S20,U20,W20,Y20,AA20,AC20,AE20)</f>
        <v>0</v>
      </c>
      <c r="F20" s="594">
        <f ca="1">IFERROR(E20/B20*100,0)</f>
        <v>0</v>
      </c>
      <c r="G20" s="594">
        <f t="shared" ca="1" si="1"/>
        <v>0</v>
      </c>
      <c r="H20" s="594">
        <f t="shared" ca="1" si="1"/>
        <v>0</v>
      </c>
      <c r="I20" s="594">
        <f t="shared" ca="1" si="1"/>
        <v>0</v>
      </c>
      <c r="J20" s="594">
        <f t="shared" ca="1" si="1"/>
        <v>0</v>
      </c>
      <c r="K20" s="594">
        <f t="shared" ca="1" si="1"/>
        <v>0</v>
      </c>
      <c r="L20" s="594">
        <f t="shared" ca="1" si="1"/>
        <v>0</v>
      </c>
      <c r="M20" s="594">
        <f t="shared" ca="1" si="1"/>
        <v>0</v>
      </c>
      <c r="N20" s="594">
        <f t="shared" ca="1" si="1"/>
        <v>0</v>
      </c>
      <c r="O20" s="594">
        <f t="shared" ca="1" si="1"/>
        <v>0</v>
      </c>
      <c r="P20" s="594">
        <v>0</v>
      </c>
      <c r="Q20" s="594">
        <f t="shared" ca="1" si="1"/>
        <v>0</v>
      </c>
      <c r="R20" s="594">
        <f t="shared" ca="1" si="1"/>
        <v>0</v>
      </c>
      <c r="S20" s="594">
        <f t="shared" ca="1" si="1"/>
        <v>0</v>
      </c>
      <c r="T20" s="594">
        <v>0</v>
      </c>
      <c r="U20" s="594">
        <f t="shared" ca="1" si="1"/>
        <v>0</v>
      </c>
      <c r="V20" s="594">
        <v>10000</v>
      </c>
      <c r="W20" s="594">
        <f ca="1">IFERROR(U20/S20*100,0)</f>
        <v>0</v>
      </c>
      <c r="X20" s="594">
        <f>IFERROR(V20/T20*100,0)</f>
        <v>0</v>
      </c>
      <c r="Y20" s="594">
        <f t="shared" ca="1" si="2"/>
        <v>0</v>
      </c>
      <c r="Z20" s="594">
        <f t="shared" si="2"/>
        <v>0</v>
      </c>
      <c r="AA20" s="594">
        <f t="shared" ca="1" si="2"/>
        <v>0</v>
      </c>
      <c r="AB20" s="594">
        <f t="shared" si="2"/>
        <v>0</v>
      </c>
      <c r="AC20" s="594">
        <f t="shared" ca="1" si="2"/>
        <v>0</v>
      </c>
      <c r="AD20" s="594">
        <f t="shared" si="2"/>
        <v>0</v>
      </c>
      <c r="AE20" s="594">
        <v>10000</v>
      </c>
      <c r="AF20" s="952"/>
      <c r="AG20" s="1063"/>
      <c r="AH20" s="683"/>
    </row>
    <row r="21" spans="1:34" x14ac:dyDescent="0.3">
      <c r="A21" s="593" t="s">
        <v>33</v>
      </c>
      <c r="B21" s="594">
        <f ca="1">J21+L21+N21+P21+R21+T21+V21+X21+Z21+AB21+AD21+H21</f>
        <v>5059.3</v>
      </c>
      <c r="C21" s="594">
        <f ca="1">SUM(H21)</f>
        <v>0</v>
      </c>
      <c r="D21" s="594">
        <f ca="1">E21</f>
        <v>0</v>
      </c>
      <c r="E21" s="594">
        <f ca="1">SUM(I21,K21,M21,O21,Q21,S21,U21,W21,Y21,AA21,AC21,AE21)</f>
        <v>0</v>
      </c>
      <c r="F21" s="594">
        <f ca="1">IFERROR(E21/B21*100,0)</f>
        <v>0</v>
      </c>
      <c r="G21" s="594">
        <f t="shared" ca="1" si="1"/>
        <v>0</v>
      </c>
      <c r="H21" s="594">
        <f t="shared" ca="1" si="1"/>
        <v>0</v>
      </c>
      <c r="I21" s="594">
        <f t="shared" ca="1" si="1"/>
        <v>0</v>
      </c>
      <c r="J21" s="594">
        <f t="shared" ca="1" si="1"/>
        <v>0</v>
      </c>
      <c r="K21" s="594">
        <f t="shared" ca="1" si="1"/>
        <v>0</v>
      </c>
      <c r="L21" s="594">
        <f t="shared" ca="1" si="1"/>
        <v>0</v>
      </c>
      <c r="M21" s="594">
        <f t="shared" ca="1" si="1"/>
        <v>0</v>
      </c>
      <c r="N21" s="594">
        <f t="shared" ca="1" si="1"/>
        <v>0</v>
      </c>
      <c r="O21" s="594">
        <f t="shared" ca="1" si="1"/>
        <v>0</v>
      </c>
      <c r="P21" s="594">
        <v>1800</v>
      </c>
      <c r="Q21" s="594">
        <f t="shared" ca="1" si="1"/>
        <v>0</v>
      </c>
      <c r="R21" s="594">
        <f t="shared" ca="1" si="1"/>
        <v>0</v>
      </c>
      <c r="S21" s="594">
        <f t="shared" ca="1" si="1"/>
        <v>0</v>
      </c>
      <c r="T21" s="594">
        <v>2000</v>
      </c>
      <c r="U21" s="594">
        <f t="shared" ca="1" si="1"/>
        <v>0</v>
      </c>
      <c r="V21" s="594">
        <v>212.8</v>
      </c>
      <c r="W21" s="594">
        <f ca="1">IFERROR(U21/S21*100,0)</f>
        <v>0</v>
      </c>
      <c r="X21" s="594">
        <v>1046.5</v>
      </c>
      <c r="Y21" s="594">
        <f ca="1">IFERROR(W21/U21*100,0)</f>
        <v>0</v>
      </c>
      <c r="Z21" s="594">
        <v>0</v>
      </c>
      <c r="AA21" s="594">
        <f t="shared" ca="1" si="2"/>
        <v>0</v>
      </c>
      <c r="AB21" s="594">
        <f t="shared" si="2"/>
        <v>0</v>
      </c>
      <c r="AC21" s="594">
        <f t="shared" ca="1" si="2"/>
        <v>0</v>
      </c>
      <c r="AD21" s="594">
        <f t="shared" si="2"/>
        <v>0</v>
      </c>
      <c r="AE21" s="594">
        <v>212.8</v>
      </c>
      <c r="AF21" s="952"/>
      <c r="AG21" s="1063"/>
      <c r="AH21" s="683"/>
    </row>
    <row r="22" spans="1:34" x14ac:dyDescent="0.3">
      <c r="A22" s="593" t="s">
        <v>170</v>
      </c>
      <c r="B22" s="594">
        <f ca="1">J22+L22+N22+P22+R22+T22+V22+X22+Z22+AB22+AD22+H22</f>
        <v>812.5</v>
      </c>
      <c r="C22" s="594">
        <f ca="1">SUM(H22)</f>
        <v>0</v>
      </c>
      <c r="D22" s="594">
        <f ca="1">E22</f>
        <v>0</v>
      </c>
      <c r="E22" s="594">
        <f ca="1">SUM(I22,K22,M22,O22,Q22,S22,U22,W22,Y22,AA22,AC22,AE22)</f>
        <v>0</v>
      </c>
      <c r="F22" s="594">
        <f ca="1">IFERROR(E22/B22*100,0)</f>
        <v>0</v>
      </c>
      <c r="G22" s="594">
        <f t="shared" ca="1" si="1"/>
        <v>0</v>
      </c>
      <c r="H22" s="594">
        <f t="shared" ca="1" si="1"/>
        <v>0</v>
      </c>
      <c r="I22" s="594">
        <f t="shared" ca="1" si="1"/>
        <v>0</v>
      </c>
      <c r="J22" s="594">
        <f t="shared" ca="1" si="1"/>
        <v>0</v>
      </c>
      <c r="K22" s="594">
        <f t="shared" ca="1" si="1"/>
        <v>0</v>
      </c>
      <c r="L22" s="594">
        <f t="shared" ca="1" si="1"/>
        <v>0</v>
      </c>
      <c r="M22" s="594">
        <f t="shared" ca="1" si="1"/>
        <v>0</v>
      </c>
      <c r="N22" s="594">
        <f t="shared" ca="1" si="1"/>
        <v>0</v>
      </c>
      <c r="O22" s="594">
        <f t="shared" ca="1" si="1"/>
        <v>0</v>
      </c>
      <c r="P22" s="594">
        <f ca="1">IFERROR(N22/L22*100,0)</f>
        <v>0</v>
      </c>
      <c r="Q22" s="594">
        <f t="shared" ca="1" si="1"/>
        <v>0</v>
      </c>
      <c r="R22" s="594">
        <f t="shared" ca="1" si="1"/>
        <v>0</v>
      </c>
      <c r="S22" s="594">
        <f t="shared" ca="1" si="1"/>
        <v>0</v>
      </c>
      <c r="T22" s="594">
        <f ca="1">IFERROR(R22/P22*100,0)</f>
        <v>0</v>
      </c>
      <c r="U22" s="594">
        <f t="shared" ca="1" si="1"/>
        <v>0</v>
      </c>
      <c r="V22" s="594">
        <f t="shared" ca="1" si="1"/>
        <v>0</v>
      </c>
      <c r="W22" s="594">
        <f ca="1">IFERROR(U22/S22*100,0)</f>
        <v>0</v>
      </c>
      <c r="X22" s="594">
        <v>812.5</v>
      </c>
      <c r="Y22" s="594">
        <f ca="1">IFERROR(W22/U22*100,0)</f>
        <v>0</v>
      </c>
      <c r="Z22" s="594">
        <f ca="1">IFERROR(X22/V22*100,0)</f>
        <v>0</v>
      </c>
      <c r="AA22" s="594">
        <f t="shared" ca="1" si="2"/>
        <v>0</v>
      </c>
      <c r="AB22" s="594">
        <f t="shared" ca="1" si="2"/>
        <v>0</v>
      </c>
      <c r="AC22" s="594">
        <f t="shared" ca="1" si="2"/>
        <v>0</v>
      </c>
      <c r="AD22" s="594">
        <f t="shared" ca="1" si="2"/>
        <v>0</v>
      </c>
      <c r="AE22" s="594">
        <f t="shared" ca="1" si="2"/>
        <v>0</v>
      </c>
      <c r="AF22" s="952"/>
      <c r="AG22" s="1063"/>
      <c r="AH22" s="683"/>
    </row>
    <row r="23" spans="1:34" s="1060" customFormat="1" x14ac:dyDescent="0.3">
      <c r="A23" s="1059" t="s">
        <v>54</v>
      </c>
      <c r="B23" s="1048"/>
      <c r="C23" s="1048"/>
      <c r="D23" s="1048"/>
      <c r="E23" s="1048"/>
      <c r="F23" s="1048"/>
      <c r="G23" s="1048"/>
      <c r="H23" s="1048"/>
      <c r="I23" s="1048"/>
      <c r="J23" s="1048"/>
      <c r="K23" s="1048"/>
      <c r="L23" s="1048"/>
      <c r="M23" s="1048"/>
      <c r="N23" s="1048"/>
      <c r="O23" s="1048"/>
      <c r="P23" s="1048"/>
      <c r="Q23" s="1048"/>
      <c r="R23" s="1048"/>
      <c r="S23" s="1048"/>
      <c r="T23" s="1048"/>
      <c r="U23" s="1048"/>
      <c r="V23" s="1048"/>
      <c r="W23" s="1048"/>
      <c r="X23" s="1048"/>
      <c r="Y23" s="1048"/>
      <c r="Z23" s="1048"/>
      <c r="AA23" s="1048"/>
      <c r="AB23" s="1048"/>
      <c r="AC23" s="1048"/>
      <c r="AD23" s="1048"/>
      <c r="AE23" s="1048"/>
      <c r="AF23" s="1049"/>
      <c r="AG23" s="1063"/>
      <c r="AH23" s="683"/>
    </row>
    <row r="24" spans="1:34" ht="75" x14ac:dyDescent="0.3">
      <c r="A24" s="584" t="s">
        <v>252</v>
      </c>
      <c r="B24" s="585"/>
      <c r="C24" s="585"/>
      <c r="D24" s="585"/>
      <c r="E24" s="585"/>
      <c r="F24" s="585"/>
      <c r="G24" s="585"/>
      <c r="H24" s="585"/>
      <c r="I24" s="585"/>
      <c r="J24" s="585"/>
      <c r="K24" s="585"/>
      <c r="L24" s="585"/>
      <c r="M24" s="585"/>
      <c r="N24" s="585"/>
      <c r="O24" s="585"/>
      <c r="P24" s="585"/>
      <c r="Q24" s="585"/>
      <c r="R24" s="585"/>
      <c r="S24" s="585"/>
      <c r="T24" s="585"/>
      <c r="U24" s="585"/>
      <c r="V24" s="585"/>
      <c r="W24" s="585"/>
      <c r="X24" s="585"/>
      <c r="Y24" s="585"/>
      <c r="Z24" s="585"/>
      <c r="AA24" s="585"/>
      <c r="AB24" s="585"/>
      <c r="AC24" s="585"/>
      <c r="AD24" s="585"/>
      <c r="AE24" s="585"/>
      <c r="AF24" s="952"/>
      <c r="AG24" s="1063"/>
      <c r="AH24" s="683"/>
    </row>
    <row r="25" spans="1:34" x14ac:dyDescent="0.3">
      <c r="A25" s="590" t="s">
        <v>31</v>
      </c>
      <c r="B25" s="591">
        <f ca="1">B26+B27+B28+B29</f>
        <v>167700.52762000001</v>
      </c>
      <c r="C25" s="591">
        <f ca="1">C26+C27+C28+C29</f>
        <v>53964.225720000002</v>
      </c>
      <c r="D25" s="591">
        <f ca="1">D26+D27+D28+D29</f>
        <v>79535.240000000005</v>
      </c>
      <c r="E25" s="591">
        <f ca="1">E26+E27+E28+E29</f>
        <v>79535.240000000005</v>
      </c>
      <c r="F25" s="592">
        <f ca="1">IFERROR(E25/B25*100,0)</f>
        <v>47.426946789471288</v>
      </c>
      <c r="G25" s="592">
        <f ca="1">IFERROR(E25/C25*100,0)</f>
        <v>147.38512215977738</v>
      </c>
      <c r="H25" s="591">
        <f ca="1">H26+H27+H28+H29</f>
        <v>22611.2346</v>
      </c>
      <c r="I25" s="591">
        <f t="shared" ref="I25:AE25" ca="1" si="3">I26+I27+I28+I29</f>
        <v>38528.04</v>
      </c>
      <c r="J25" s="591">
        <f t="shared" ca="1" si="3"/>
        <v>16302.743499999999</v>
      </c>
      <c r="K25" s="591">
        <f t="shared" ca="1" si="3"/>
        <v>13743.5</v>
      </c>
      <c r="L25" s="591">
        <f t="shared" si="3"/>
        <v>15050.24762</v>
      </c>
      <c r="M25" s="591">
        <f t="shared" si="3"/>
        <v>13514.329999999998</v>
      </c>
      <c r="N25" s="591">
        <f t="shared" si="3"/>
        <v>20456.2791</v>
      </c>
      <c r="O25" s="591">
        <f t="shared" si="3"/>
        <v>11891.699999999999</v>
      </c>
      <c r="P25" s="591">
        <f t="shared" si="3"/>
        <v>15829.979999999998</v>
      </c>
      <c r="Q25" s="591">
        <f t="shared" si="3"/>
        <v>3266.2800000000007</v>
      </c>
      <c r="R25" s="591">
        <f t="shared" si="3"/>
        <v>14647.06</v>
      </c>
      <c r="S25" s="591">
        <f t="shared" si="3"/>
        <v>0</v>
      </c>
      <c r="T25" s="591">
        <f t="shared" si="3"/>
        <v>13826.7618</v>
      </c>
      <c r="U25" s="591">
        <f t="shared" si="3"/>
        <v>0</v>
      </c>
      <c r="V25" s="591">
        <f t="shared" si="3"/>
        <v>11580.4318</v>
      </c>
      <c r="W25" s="591">
        <f t="shared" si="3"/>
        <v>0</v>
      </c>
      <c r="X25" s="591">
        <f t="shared" si="3"/>
        <v>7563.6363999999994</v>
      </c>
      <c r="Y25" s="591">
        <f t="shared" si="3"/>
        <v>0</v>
      </c>
      <c r="Z25" s="591">
        <f t="shared" si="3"/>
        <v>10458.8235</v>
      </c>
      <c r="AA25" s="591">
        <f t="shared" si="3"/>
        <v>11869.9</v>
      </c>
      <c r="AB25" s="591">
        <f t="shared" si="3"/>
        <v>10233.7395</v>
      </c>
      <c r="AC25" s="591">
        <f t="shared" si="3"/>
        <v>11217.51</v>
      </c>
      <c r="AD25" s="591">
        <f t="shared" si="3"/>
        <v>9338.4897999999994</v>
      </c>
      <c r="AE25" s="591">
        <f t="shared" si="3"/>
        <v>24412.9</v>
      </c>
      <c r="AF25" s="952"/>
      <c r="AG25" s="1063"/>
      <c r="AH25" s="683"/>
    </row>
    <row r="26" spans="1:34" x14ac:dyDescent="0.3">
      <c r="A26" s="593" t="s">
        <v>169</v>
      </c>
      <c r="B26" s="594">
        <f ca="1">B32+B38+B44+B50+B56</f>
        <v>0</v>
      </c>
      <c r="C26" s="594">
        <f ca="1">C32+C38+C44+C50+C56</f>
        <v>0</v>
      </c>
      <c r="D26" s="594">
        <f>D32+D38+D44+D50+D56</f>
        <v>0</v>
      </c>
      <c r="E26" s="594">
        <f>E32+E38+E44+E50+E56</f>
        <v>0</v>
      </c>
      <c r="F26" s="594">
        <f ca="1">IFERROR(E26/B26*100,0)</f>
        <v>0</v>
      </c>
      <c r="G26" s="594">
        <f ca="1">IFERROR(E26/C26*100,0)</f>
        <v>0</v>
      </c>
      <c r="H26" s="594">
        <f t="shared" ref="H26:AE29" ca="1" si="4">H32+H38+H44+H50+H56</f>
        <v>0</v>
      </c>
      <c r="I26" s="594">
        <f t="shared" si="4"/>
        <v>0</v>
      </c>
      <c r="J26" s="594">
        <f t="shared" si="4"/>
        <v>0</v>
      </c>
      <c r="K26" s="594">
        <f t="shared" si="4"/>
        <v>0</v>
      </c>
      <c r="L26" s="594">
        <f t="shared" si="4"/>
        <v>0</v>
      </c>
      <c r="M26" s="594">
        <f t="shared" si="4"/>
        <v>0</v>
      </c>
      <c r="N26" s="594">
        <f t="shared" si="4"/>
        <v>0</v>
      </c>
      <c r="O26" s="594">
        <f t="shared" si="4"/>
        <v>0</v>
      </c>
      <c r="P26" s="594">
        <f t="shared" si="4"/>
        <v>0</v>
      </c>
      <c r="Q26" s="594">
        <f t="shared" si="4"/>
        <v>0</v>
      </c>
      <c r="R26" s="594">
        <f t="shared" si="4"/>
        <v>0</v>
      </c>
      <c r="S26" s="594">
        <f t="shared" si="4"/>
        <v>0</v>
      </c>
      <c r="T26" s="594">
        <f t="shared" si="4"/>
        <v>0</v>
      </c>
      <c r="U26" s="594">
        <f t="shared" si="4"/>
        <v>0</v>
      </c>
      <c r="V26" s="594">
        <f t="shared" si="4"/>
        <v>0</v>
      </c>
      <c r="W26" s="594">
        <f t="shared" si="4"/>
        <v>0</v>
      </c>
      <c r="X26" s="594">
        <f t="shared" si="4"/>
        <v>0</v>
      </c>
      <c r="Y26" s="594">
        <f t="shared" si="4"/>
        <v>0</v>
      </c>
      <c r="Z26" s="594">
        <f t="shared" si="4"/>
        <v>0</v>
      </c>
      <c r="AA26" s="594">
        <f t="shared" si="4"/>
        <v>0</v>
      </c>
      <c r="AB26" s="594">
        <f t="shared" si="4"/>
        <v>0</v>
      </c>
      <c r="AC26" s="594">
        <f t="shared" si="4"/>
        <v>0</v>
      </c>
      <c r="AD26" s="594">
        <f t="shared" si="4"/>
        <v>0</v>
      </c>
      <c r="AE26" s="594">
        <f t="shared" si="4"/>
        <v>0</v>
      </c>
      <c r="AF26" s="952"/>
      <c r="AG26" s="1063"/>
      <c r="AH26" s="683"/>
    </row>
    <row r="27" spans="1:34" x14ac:dyDescent="0.3">
      <c r="A27" s="593" t="s">
        <v>32</v>
      </c>
      <c r="B27" s="594">
        <f ca="1">B33+B39+B45+B51+B57</f>
        <v>1741.1999999999998</v>
      </c>
      <c r="C27" s="594">
        <f ca="1">H27+J27+L27</f>
        <v>0</v>
      </c>
      <c r="D27" s="594">
        <f t="shared" ref="D27:E29" ca="1" si="5">D33+D39+D45+D51+D57</f>
        <v>0</v>
      </c>
      <c r="E27" s="594">
        <f t="shared" ca="1" si="5"/>
        <v>0</v>
      </c>
      <c r="F27" s="594">
        <f ca="1">IFERROR(E27/B27*100,0)</f>
        <v>0</v>
      </c>
      <c r="G27" s="594">
        <f ca="1">IFERROR(E27/C27*100,0)</f>
        <v>0</v>
      </c>
      <c r="H27" s="594">
        <f t="shared" ca="1" si="4"/>
        <v>0</v>
      </c>
      <c r="I27" s="594">
        <f t="shared" ca="1" si="4"/>
        <v>0</v>
      </c>
      <c r="J27" s="594">
        <f t="shared" ca="1" si="4"/>
        <v>0</v>
      </c>
      <c r="K27" s="594">
        <f t="shared" ca="1" si="4"/>
        <v>0</v>
      </c>
      <c r="L27" s="594">
        <f t="shared" si="4"/>
        <v>0</v>
      </c>
      <c r="M27" s="594">
        <f t="shared" si="4"/>
        <v>0</v>
      </c>
      <c r="N27" s="594">
        <f t="shared" si="4"/>
        <v>0</v>
      </c>
      <c r="O27" s="594">
        <f t="shared" si="4"/>
        <v>0</v>
      </c>
      <c r="P27" s="594">
        <f t="shared" si="4"/>
        <v>0</v>
      </c>
      <c r="Q27" s="594">
        <f t="shared" si="4"/>
        <v>1408.6100000000001</v>
      </c>
      <c r="R27" s="594">
        <f t="shared" si="4"/>
        <v>1090.5999999999999</v>
      </c>
      <c r="S27" s="594">
        <f t="shared" si="4"/>
        <v>0</v>
      </c>
      <c r="T27" s="594">
        <f t="shared" si="4"/>
        <v>650.6</v>
      </c>
      <c r="U27" s="594">
        <f t="shared" si="4"/>
        <v>0</v>
      </c>
      <c r="V27" s="594">
        <f t="shared" si="4"/>
        <v>0</v>
      </c>
      <c r="W27" s="594">
        <f t="shared" si="4"/>
        <v>0</v>
      </c>
      <c r="X27" s="594">
        <f t="shared" si="4"/>
        <v>0</v>
      </c>
      <c r="Y27" s="594">
        <f t="shared" si="4"/>
        <v>0</v>
      </c>
      <c r="Z27" s="594">
        <f t="shared" si="4"/>
        <v>0</v>
      </c>
      <c r="AA27" s="594">
        <f t="shared" si="4"/>
        <v>0</v>
      </c>
      <c r="AB27" s="594">
        <f t="shared" si="4"/>
        <v>0</v>
      </c>
      <c r="AC27" s="594">
        <f t="shared" si="4"/>
        <v>0</v>
      </c>
      <c r="AD27" s="594">
        <f t="shared" si="4"/>
        <v>0</v>
      </c>
      <c r="AE27" s="594">
        <f t="shared" si="4"/>
        <v>0</v>
      </c>
      <c r="AF27" s="952"/>
      <c r="AG27" s="1063"/>
      <c r="AH27" s="683"/>
    </row>
    <row r="28" spans="1:34" x14ac:dyDescent="0.3">
      <c r="A28" s="593" t="s">
        <v>33</v>
      </c>
      <c r="B28" s="594">
        <f ca="1">B34+B40+B46+B52+B58</f>
        <v>165959.32762</v>
      </c>
      <c r="C28" s="594">
        <f ca="1">H28+J28+L28</f>
        <v>53964.225720000002</v>
      </c>
      <c r="D28" s="594">
        <f ca="1">D34+D40+D46+D52+D58</f>
        <v>79535.240000000005</v>
      </c>
      <c r="E28" s="594">
        <f t="shared" ca="1" si="5"/>
        <v>79535.240000000005</v>
      </c>
      <c r="F28" s="594">
        <f ca="1">IFERROR(E28/B28*100,0)</f>
        <v>47.92453737949171</v>
      </c>
      <c r="G28" s="594">
        <f ca="1">IFERROR(E28/C28*100,0)</f>
        <v>147.38512215977738</v>
      </c>
      <c r="H28" s="594">
        <f t="shared" ca="1" si="4"/>
        <v>22611.2346</v>
      </c>
      <c r="I28" s="594">
        <f t="shared" ca="1" si="4"/>
        <v>38528.04</v>
      </c>
      <c r="J28" s="594">
        <f t="shared" ca="1" si="4"/>
        <v>16302.743499999999</v>
      </c>
      <c r="K28" s="594">
        <f t="shared" ca="1" si="4"/>
        <v>13743.5</v>
      </c>
      <c r="L28" s="594">
        <f t="shared" si="4"/>
        <v>15050.24762</v>
      </c>
      <c r="M28" s="594">
        <f t="shared" si="4"/>
        <v>13514.329999999998</v>
      </c>
      <c r="N28" s="594">
        <f t="shared" si="4"/>
        <v>20257.379099999998</v>
      </c>
      <c r="O28" s="594">
        <f t="shared" si="4"/>
        <v>11891.699999999999</v>
      </c>
      <c r="P28" s="594">
        <f t="shared" si="4"/>
        <v>15829.979999999998</v>
      </c>
      <c r="Q28" s="594">
        <f t="shared" si="4"/>
        <v>1857.6700000000003</v>
      </c>
      <c r="R28" s="594">
        <f t="shared" si="4"/>
        <v>13556.46</v>
      </c>
      <c r="S28" s="594">
        <f t="shared" si="4"/>
        <v>0</v>
      </c>
      <c r="T28" s="594">
        <f t="shared" si="4"/>
        <v>13176.1618</v>
      </c>
      <c r="U28" s="594">
        <f t="shared" si="4"/>
        <v>0</v>
      </c>
      <c r="V28" s="594">
        <f t="shared" si="4"/>
        <v>11580.4318</v>
      </c>
      <c r="W28" s="594">
        <f t="shared" si="4"/>
        <v>0</v>
      </c>
      <c r="X28" s="594">
        <f t="shared" si="4"/>
        <v>7563.6363999999994</v>
      </c>
      <c r="Y28" s="594">
        <f t="shared" si="4"/>
        <v>0</v>
      </c>
      <c r="Z28" s="594">
        <f t="shared" si="4"/>
        <v>10458.8235</v>
      </c>
      <c r="AA28" s="594">
        <f t="shared" si="4"/>
        <v>11869.9</v>
      </c>
      <c r="AB28" s="594">
        <f t="shared" si="4"/>
        <v>10233.7395</v>
      </c>
      <c r="AC28" s="594">
        <f t="shared" si="4"/>
        <v>11217.51</v>
      </c>
      <c r="AD28" s="594">
        <f t="shared" si="4"/>
        <v>9338.4897999999994</v>
      </c>
      <c r="AE28" s="594">
        <f t="shared" si="4"/>
        <v>24412.9</v>
      </c>
      <c r="AF28" s="952"/>
      <c r="AG28" s="1063"/>
      <c r="AH28" s="683"/>
    </row>
    <row r="29" spans="1:34" x14ac:dyDescent="0.3">
      <c r="A29" s="593" t="s">
        <v>170</v>
      </c>
      <c r="B29" s="594">
        <f>B35+B41+B47+B53+B59</f>
        <v>0</v>
      </c>
      <c r="C29" s="594">
        <f ca="1">H29+J29+L29</f>
        <v>0</v>
      </c>
      <c r="D29" s="594">
        <f t="shared" si="5"/>
        <v>0</v>
      </c>
      <c r="E29" s="594">
        <f t="shared" si="5"/>
        <v>0</v>
      </c>
      <c r="F29" s="594">
        <f>IFERROR(E29/B29*100,0)</f>
        <v>0</v>
      </c>
      <c r="G29" s="594">
        <f ca="1">IFERROR(E29/C29*100,0)</f>
        <v>0</v>
      </c>
      <c r="H29" s="594">
        <f t="shared" ca="1" si="4"/>
        <v>0</v>
      </c>
      <c r="I29" s="594">
        <f t="shared" ca="1" si="4"/>
        <v>0</v>
      </c>
      <c r="J29" s="594">
        <f t="shared" ca="1" si="4"/>
        <v>0</v>
      </c>
      <c r="K29" s="594">
        <f t="shared" ca="1" si="4"/>
        <v>0</v>
      </c>
      <c r="L29" s="594">
        <f t="shared" si="4"/>
        <v>0</v>
      </c>
      <c r="M29" s="594">
        <f t="shared" si="4"/>
        <v>0</v>
      </c>
      <c r="N29" s="594">
        <f t="shared" si="4"/>
        <v>198.9</v>
      </c>
      <c r="O29" s="594">
        <f t="shared" si="4"/>
        <v>0</v>
      </c>
      <c r="P29" s="594">
        <f t="shared" si="4"/>
        <v>0</v>
      </c>
      <c r="Q29" s="594">
        <f t="shared" si="4"/>
        <v>0</v>
      </c>
      <c r="R29" s="594">
        <f t="shared" si="4"/>
        <v>0</v>
      </c>
      <c r="S29" s="594">
        <f t="shared" si="4"/>
        <v>0</v>
      </c>
      <c r="T29" s="594">
        <f t="shared" si="4"/>
        <v>0</v>
      </c>
      <c r="U29" s="594">
        <f t="shared" si="4"/>
        <v>0</v>
      </c>
      <c r="V29" s="594">
        <f t="shared" si="4"/>
        <v>0</v>
      </c>
      <c r="W29" s="594">
        <f t="shared" si="4"/>
        <v>0</v>
      </c>
      <c r="X29" s="594">
        <f t="shared" si="4"/>
        <v>0</v>
      </c>
      <c r="Y29" s="594">
        <f t="shared" si="4"/>
        <v>0</v>
      </c>
      <c r="Z29" s="594">
        <f t="shared" si="4"/>
        <v>0</v>
      </c>
      <c r="AA29" s="594">
        <f t="shared" si="4"/>
        <v>0</v>
      </c>
      <c r="AB29" s="594">
        <f t="shared" si="4"/>
        <v>0</v>
      </c>
      <c r="AC29" s="594">
        <f t="shared" si="4"/>
        <v>0</v>
      </c>
      <c r="AD29" s="594">
        <f t="shared" si="4"/>
        <v>0</v>
      </c>
      <c r="AE29" s="594">
        <f t="shared" si="4"/>
        <v>0</v>
      </c>
      <c r="AF29" s="952"/>
      <c r="AG29" s="1063"/>
      <c r="AH29" s="683"/>
    </row>
    <row r="30" spans="1:34" ht="45" customHeight="1" x14ac:dyDescent="0.3">
      <c r="A30" s="713" t="s">
        <v>253</v>
      </c>
      <c r="B30" s="594"/>
      <c r="C30" s="594"/>
      <c r="D30" s="594"/>
      <c r="E30" s="594"/>
      <c r="F30" s="594"/>
      <c r="G30" s="594"/>
      <c r="H30" s="1064"/>
      <c r="I30" s="1064"/>
      <c r="J30" s="1064"/>
      <c r="K30" s="1064"/>
      <c r="L30" s="1064"/>
      <c r="M30" s="1064"/>
      <c r="N30" s="1064"/>
      <c r="O30" s="1064"/>
      <c r="P30" s="1064"/>
      <c r="Q30" s="1064"/>
      <c r="R30" s="1064"/>
      <c r="S30" s="1064"/>
      <c r="T30" s="1064"/>
      <c r="U30" s="1064"/>
      <c r="V30" s="1064"/>
      <c r="W30" s="1064"/>
      <c r="X30" s="1064"/>
      <c r="Y30" s="1064"/>
      <c r="Z30" s="1064"/>
      <c r="AA30" s="1064"/>
      <c r="AB30" s="1064"/>
      <c r="AC30" s="1064"/>
      <c r="AD30" s="1064"/>
      <c r="AE30" s="1064"/>
      <c r="AF30" s="675" t="s">
        <v>524</v>
      </c>
      <c r="AG30" s="1063"/>
      <c r="AH30" s="683"/>
    </row>
    <row r="31" spans="1:34" x14ac:dyDescent="0.3">
      <c r="A31" s="590" t="s">
        <v>31</v>
      </c>
      <c r="B31" s="591">
        <f ca="1">B33+B34+B32+B35</f>
        <v>2603.5754000000002</v>
      </c>
      <c r="C31" s="591">
        <f ca="1">C33+C34+C32+C35</f>
        <v>1672.579</v>
      </c>
      <c r="D31" s="714">
        <f>D33+D34+D32+D35</f>
        <v>2001.29</v>
      </c>
      <c r="E31" s="591">
        <f>E33+E34+E32+E35</f>
        <v>2001.29</v>
      </c>
      <c r="F31" s="591">
        <f ca="1">IFERROR(E31/B31*100,0)</f>
        <v>43.269344148819343</v>
      </c>
      <c r="G31" s="591">
        <f ca="1">IFERROR(E31/C31*100,0)</f>
        <v>67.354068178543429</v>
      </c>
      <c r="H31" s="591">
        <f t="shared" ref="H31:AE31" ca="1" si="6">H33+H34+H32+H35</f>
        <v>130.49279999999999</v>
      </c>
      <c r="I31" s="591">
        <f t="shared" si="6"/>
        <v>130.49</v>
      </c>
      <c r="J31" s="591">
        <f t="shared" si="6"/>
        <v>1130.4317000000001</v>
      </c>
      <c r="K31" s="591">
        <f t="shared" si="6"/>
        <v>141.19999999999999</v>
      </c>
      <c r="L31" s="591">
        <f t="shared" si="6"/>
        <v>242.60720000000001</v>
      </c>
      <c r="M31" s="591">
        <f t="shared" si="6"/>
        <v>295.3</v>
      </c>
      <c r="N31" s="591">
        <f t="shared" si="6"/>
        <v>169.04730000000001</v>
      </c>
      <c r="O31" s="591">
        <f t="shared" si="6"/>
        <v>333.9</v>
      </c>
      <c r="P31" s="591">
        <f>P33+P34+P32+P35</f>
        <v>181.43</v>
      </c>
      <c r="Q31" s="591">
        <f t="shared" si="6"/>
        <v>225.66</v>
      </c>
      <c r="R31" s="591">
        <f t="shared" si="6"/>
        <v>0</v>
      </c>
      <c r="S31" s="591">
        <f t="shared" si="6"/>
        <v>0</v>
      </c>
      <c r="T31" s="591">
        <f t="shared" si="6"/>
        <v>0</v>
      </c>
      <c r="U31" s="591">
        <f t="shared" si="6"/>
        <v>0</v>
      </c>
      <c r="V31" s="591">
        <f t="shared" si="6"/>
        <v>0</v>
      </c>
      <c r="W31" s="591">
        <f t="shared" si="6"/>
        <v>0</v>
      </c>
      <c r="X31" s="591">
        <f t="shared" si="6"/>
        <v>164.81460000000001</v>
      </c>
      <c r="Y31" s="591">
        <f t="shared" si="6"/>
        <v>0</v>
      </c>
      <c r="Z31" s="591">
        <f t="shared" si="6"/>
        <v>292.48169999999999</v>
      </c>
      <c r="AA31" s="591">
        <f t="shared" si="6"/>
        <v>237.66</v>
      </c>
      <c r="AB31" s="591">
        <f t="shared" si="6"/>
        <v>275.75209999999998</v>
      </c>
      <c r="AC31" s="591">
        <f t="shared" si="6"/>
        <v>234.28</v>
      </c>
      <c r="AD31" s="591">
        <f t="shared" si="6"/>
        <v>16.518000000000001</v>
      </c>
      <c r="AE31" s="591">
        <f t="shared" si="6"/>
        <v>402.8</v>
      </c>
      <c r="AF31" s="952"/>
      <c r="AG31" s="1063"/>
      <c r="AH31" s="683"/>
    </row>
    <row r="32" spans="1:34" x14ac:dyDescent="0.3">
      <c r="A32" s="593" t="s">
        <v>169</v>
      </c>
      <c r="B32" s="594">
        <f ca="1">J32+L32+N32+P32+R32+T32+V32+X32+Z32+AB32+AD32+H32</f>
        <v>0</v>
      </c>
      <c r="C32" s="712">
        <f ca="1">H32+J32+L32</f>
        <v>0</v>
      </c>
      <c r="D32" s="715">
        <f>E32</f>
        <v>0</v>
      </c>
      <c r="E32" s="712">
        <f>SUM(I32,K32,M32,O32,Q32,S32,U32,W32,Y32,AA32,AC32,AE32)</f>
        <v>0</v>
      </c>
      <c r="F32" s="594">
        <f ca="1">IFERROR(E32/B32*100,0)</f>
        <v>0</v>
      </c>
      <c r="G32" s="594">
        <f ca="1">IFERROR(E32/C32*100,0)</f>
        <v>0</v>
      </c>
      <c r="H32" s="594">
        <f ca="1">IFERROR(F32/D32*100,0)</f>
        <v>0</v>
      </c>
      <c r="I32" s="1064">
        <v>0</v>
      </c>
      <c r="J32" s="1064">
        <v>0</v>
      </c>
      <c r="K32" s="1064">
        <v>0</v>
      </c>
      <c r="L32" s="1064">
        <v>0</v>
      </c>
      <c r="M32" s="1064">
        <v>0</v>
      </c>
      <c r="N32" s="1064">
        <v>0</v>
      </c>
      <c r="O32" s="1064">
        <v>0</v>
      </c>
      <c r="P32" s="1064">
        <v>0</v>
      </c>
      <c r="Q32" s="1064">
        <v>0</v>
      </c>
      <c r="R32" s="1064">
        <v>0</v>
      </c>
      <c r="S32" s="1064">
        <v>0</v>
      </c>
      <c r="T32" s="1064">
        <v>0</v>
      </c>
      <c r="U32" s="1064">
        <v>0</v>
      </c>
      <c r="V32" s="1064">
        <v>0</v>
      </c>
      <c r="W32" s="1064">
        <v>0</v>
      </c>
      <c r="X32" s="1064">
        <v>0</v>
      </c>
      <c r="Y32" s="1064">
        <v>0</v>
      </c>
      <c r="Z32" s="1064">
        <v>0</v>
      </c>
      <c r="AA32" s="1064">
        <v>0</v>
      </c>
      <c r="AB32" s="1064">
        <v>0</v>
      </c>
      <c r="AC32" s="1064">
        <v>0</v>
      </c>
      <c r="AD32" s="1064">
        <v>0</v>
      </c>
      <c r="AE32" s="1064">
        <v>0</v>
      </c>
      <c r="AF32" s="952"/>
      <c r="AG32" s="1063"/>
      <c r="AH32" s="683"/>
    </row>
    <row r="33" spans="1:35" x14ac:dyDescent="0.3">
      <c r="A33" s="593" t="s">
        <v>32</v>
      </c>
      <c r="B33" s="594">
        <f>J33+L33+N33+P33+R33+T33+V33+X33+Z33+AB33+AD33+H33</f>
        <v>0</v>
      </c>
      <c r="C33" s="712">
        <f>H33+J33+L33</f>
        <v>0</v>
      </c>
      <c r="D33" s="715">
        <f>E33</f>
        <v>0</v>
      </c>
      <c r="E33" s="712">
        <f>SUM(I33,K33,M33,O33,Q33,S33,U33,W33,Y33,AA33,AC33,AE33)</f>
        <v>0</v>
      </c>
      <c r="F33" s="594">
        <f>IFERROR(E33/B33*100,0)</f>
        <v>0</v>
      </c>
      <c r="G33" s="594">
        <f>IFERROR(E33/C33*100,0)</f>
        <v>0</v>
      </c>
      <c r="H33" s="1064">
        <v>0</v>
      </c>
      <c r="I33" s="1064">
        <v>0</v>
      </c>
      <c r="J33" s="1064">
        <v>0</v>
      </c>
      <c r="K33" s="1064">
        <v>0</v>
      </c>
      <c r="L33" s="1064">
        <v>0</v>
      </c>
      <c r="M33" s="1064">
        <v>0</v>
      </c>
      <c r="N33" s="1064">
        <v>0</v>
      </c>
      <c r="O33" s="1064">
        <v>0</v>
      </c>
      <c r="P33" s="1064">
        <v>0</v>
      </c>
      <c r="Q33" s="1064">
        <v>0</v>
      </c>
      <c r="R33" s="1064">
        <v>0</v>
      </c>
      <c r="S33" s="1064">
        <v>0</v>
      </c>
      <c r="T33" s="1064">
        <v>0</v>
      </c>
      <c r="U33" s="1064">
        <v>0</v>
      </c>
      <c r="V33" s="1064">
        <v>0</v>
      </c>
      <c r="W33" s="1064">
        <v>0</v>
      </c>
      <c r="X33" s="1064">
        <v>0</v>
      </c>
      <c r="Y33" s="1064">
        <v>0</v>
      </c>
      <c r="Z33" s="1064">
        <v>0</v>
      </c>
      <c r="AA33" s="1064">
        <v>0</v>
      </c>
      <c r="AB33" s="1064">
        <v>0</v>
      </c>
      <c r="AC33" s="1064">
        <v>0</v>
      </c>
      <c r="AD33" s="1064">
        <v>0</v>
      </c>
      <c r="AE33" s="1064">
        <v>0</v>
      </c>
      <c r="AF33" s="952"/>
      <c r="AG33" s="1063"/>
      <c r="AH33" s="683"/>
    </row>
    <row r="34" spans="1:35" x14ac:dyDescent="0.3">
      <c r="A34" s="593" t="s">
        <v>33</v>
      </c>
      <c r="B34" s="594">
        <f>J34+L34+N34+P34+R34+T34+V34+X34+Z34+AB34+AD34+H34</f>
        <v>2603.5754000000002</v>
      </c>
      <c r="C34" s="712">
        <f>H34+J34+L34+N34</f>
        <v>1672.579</v>
      </c>
      <c r="D34" s="715">
        <f>E34</f>
        <v>2001.29</v>
      </c>
      <c r="E34" s="712">
        <f>SUM(I34,K34,M34,O34,Q34,S34,U34,W34,Y34,AA34,AC34,AE34)</f>
        <v>2001.29</v>
      </c>
      <c r="F34" s="594">
        <f>IFERROR(E34/B34*100,0)</f>
        <v>76.866988372988914</v>
      </c>
      <c r="G34" s="594">
        <f>IFERROR(E34/C34*100,0)</f>
        <v>119.65294314947157</v>
      </c>
      <c r="H34" s="1064">
        <v>130.49279999999999</v>
      </c>
      <c r="I34" s="1064">
        <v>130.49</v>
      </c>
      <c r="J34" s="1064">
        <v>1130.4317000000001</v>
      </c>
      <c r="K34" s="1064">
        <v>141.19999999999999</v>
      </c>
      <c r="L34" s="1064">
        <v>242.60720000000001</v>
      </c>
      <c r="M34" s="1064">
        <v>295.3</v>
      </c>
      <c r="N34" s="1064">
        <v>169.04730000000001</v>
      </c>
      <c r="O34" s="1064">
        <v>333.9</v>
      </c>
      <c r="P34" s="1064">
        <v>181.43</v>
      </c>
      <c r="Q34" s="1064">
        <v>225.66</v>
      </c>
      <c r="R34" s="1064">
        <v>0</v>
      </c>
      <c r="S34" s="1064">
        <v>0</v>
      </c>
      <c r="T34" s="1064">
        <v>0</v>
      </c>
      <c r="U34" s="1064">
        <v>0</v>
      </c>
      <c r="V34" s="1064">
        <v>0</v>
      </c>
      <c r="W34" s="1064">
        <v>0</v>
      </c>
      <c r="X34" s="1064">
        <v>164.81460000000001</v>
      </c>
      <c r="Y34" s="1064">
        <v>0</v>
      </c>
      <c r="Z34" s="1064">
        <v>292.48169999999999</v>
      </c>
      <c r="AA34" s="1064">
        <v>237.66</v>
      </c>
      <c r="AB34" s="1064">
        <v>275.75209999999998</v>
      </c>
      <c r="AC34" s="1064">
        <v>234.28</v>
      </c>
      <c r="AD34" s="1064">
        <v>16.518000000000001</v>
      </c>
      <c r="AE34" s="1064">
        <v>402.8</v>
      </c>
      <c r="AF34" s="952"/>
      <c r="AG34" s="1063"/>
      <c r="AH34" s="683"/>
    </row>
    <row r="35" spans="1:35" x14ac:dyDescent="0.3">
      <c r="A35" s="593" t="s">
        <v>170</v>
      </c>
      <c r="B35" s="594">
        <v>0</v>
      </c>
      <c r="C35" s="594">
        <v>0</v>
      </c>
      <c r="D35" s="594">
        <v>0</v>
      </c>
      <c r="E35" s="594">
        <v>0</v>
      </c>
      <c r="F35" s="594">
        <v>0</v>
      </c>
      <c r="G35" s="594">
        <v>0</v>
      </c>
      <c r="H35" s="594">
        <v>0</v>
      </c>
      <c r="I35" s="594">
        <v>0</v>
      </c>
      <c r="J35" s="594">
        <v>0</v>
      </c>
      <c r="K35" s="594">
        <v>0</v>
      </c>
      <c r="L35" s="594">
        <v>0</v>
      </c>
      <c r="M35" s="594">
        <v>0</v>
      </c>
      <c r="N35" s="594">
        <v>0</v>
      </c>
      <c r="O35" s="594">
        <v>0</v>
      </c>
      <c r="P35" s="594">
        <v>0</v>
      </c>
      <c r="Q35" s="594">
        <v>0</v>
      </c>
      <c r="R35" s="594">
        <v>0</v>
      </c>
      <c r="S35" s="594">
        <v>0</v>
      </c>
      <c r="T35" s="594">
        <v>0</v>
      </c>
      <c r="U35" s="594">
        <v>0</v>
      </c>
      <c r="V35" s="594">
        <v>0</v>
      </c>
      <c r="W35" s="594">
        <v>0</v>
      </c>
      <c r="X35" s="594">
        <v>0</v>
      </c>
      <c r="Y35" s="594">
        <v>0</v>
      </c>
      <c r="Z35" s="594">
        <v>0</v>
      </c>
      <c r="AA35" s="594">
        <v>0</v>
      </c>
      <c r="AB35" s="594">
        <v>0</v>
      </c>
      <c r="AC35" s="594">
        <v>0</v>
      </c>
      <c r="AD35" s="594">
        <v>0</v>
      </c>
      <c r="AE35" s="594">
        <v>0</v>
      </c>
      <c r="AF35" s="952"/>
      <c r="AG35" s="1063"/>
      <c r="AH35" s="683"/>
    </row>
    <row r="36" spans="1:35" ht="82.5" customHeight="1" x14ac:dyDescent="0.3">
      <c r="A36" s="606" t="s">
        <v>254</v>
      </c>
      <c r="B36" s="591"/>
      <c r="C36" s="591"/>
      <c r="D36" s="591"/>
      <c r="E36" s="591"/>
      <c r="F36" s="591"/>
      <c r="G36" s="591"/>
      <c r="H36" s="1064"/>
      <c r="I36" s="1064"/>
      <c r="J36" s="1064"/>
      <c r="K36" s="1064"/>
      <c r="L36" s="1064"/>
      <c r="M36" s="1064"/>
      <c r="N36" s="1064"/>
      <c r="O36" s="1064"/>
      <c r="P36" s="1064"/>
      <c r="Q36" s="1064"/>
      <c r="R36" s="1064"/>
      <c r="S36" s="1064"/>
      <c r="T36" s="1064"/>
      <c r="U36" s="1064"/>
      <c r="V36" s="1064"/>
      <c r="W36" s="1064"/>
      <c r="X36" s="1064"/>
      <c r="Y36" s="1064"/>
      <c r="Z36" s="1064"/>
      <c r="AA36" s="1064"/>
      <c r="AB36" s="1064"/>
      <c r="AC36" s="1064"/>
      <c r="AD36" s="1064"/>
      <c r="AE36" s="1064"/>
      <c r="AF36" s="552" t="s">
        <v>525</v>
      </c>
      <c r="AG36" s="1063"/>
      <c r="AH36" s="683"/>
    </row>
    <row r="37" spans="1:35" x14ac:dyDescent="0.3">
      <c r="A37" s="590" t="s">
        <v>31</v>
      </c>
      <c r="B37" s="591">
        <f>B39+B40+B38+B41</f>
        <v>162207.25</v>
      </c>
      <c r="C37" s="591">
        <f>C39+C40+C38+C41</f>
        <v>51906.52</v>
      </c>
      <c r="D37" s="591">
        <f>D39+D40+D38+D41</f>
        <v>124392.33000000002</v>
      </c>
      <c r="E37" s="591">
        <f>E39+E40+E38+E41</f>
        <v>124392.33000000002</v>
      </c>
      <c r="F37" s="591">
        <f>IFERROR(E37/B37*100,0)</f>
        <v>76.687281240511766</v>
      </c>
      <c r="G37" s="591">
        <f>IFERROR(E37/C37*100,0)</f>
        <v>239.64683049451213</v>
      </c>
      <c r="H37" s="591">
        <f t="shared" ref="H37:AE37" si="7">H39+H40+H38+H41</f>
        <v>22467.919999999998</v>
      </c>
      <c r="I37" s="591">
        <f t="shared" si="7"/>
        <v>38397.550000000003</v>
      </c>
      <c r="J37" s="591">
        <f t="shared" si="7"/>
        <v>15159.49</v>
      </c>
      <c r="K37" s="591">
        <f t="shared" si="7"/>
        <v>13602.3</v>
      </c>
      <c r="L37" s="591">
        <f t="shared" si="7"/>
        <v>14279.11</v>
      </c>
      <c r="M37" s="591">
        <f t="shared" si="7"/>
        <v>13188.3</v>
      </c>
      <c r="N37" s="591">
        <f t="shared" si="7"/>
        <v>20075.509999999998</v>
      </c>
      <c r="O37" s="591">
        <f t="shared" si="7"/>
        <v>11509.9</v>
      </c>
      <c r="P37" s="591">
        <f t="shared" si="7"/>
        <v>15209.13</v>
      </c>
      <c r="Q37" s="591">
        <f t="shared" si="7"/>
        <v>2764.2400000000002</v>
      </c>
      <c r="R37" s="591">
        <f t="shared" si="7"/>
        <v>13543.64</v>
      </c>
      <c r="S37" s="591">
        <f t="shared" si="7"/>
        <v>0</v>
      </c>
      <c r="T37" s="591">
        <f t="shared" si="7"/>
        <v>13163.34</v>
      </c>
      <c r="U37" s="591">
        <f t="shared" si="7"/>
        <v>0</v>
      </c>
      <c r="V37" s="591">
        <f t="shared" si="7"/>
        <v>11567.61</v>
      </c>
      <c r="W37" s="591">
        <f t="shared" si="7"/>
        <v>0</v>
      </c>
      <c r="X37" s="591">
        <f t="shared" si="7"/>
        <v>7386</v>
      </c>
      <c r="Y37" s="591">
        <f t="shared" si="7"/>
        <v>0</v>
      </c>
      <c r="Z37" s="591">
        <f t="shared" si="7"/>
        <v>10153.52</v>
      </c>
      <c r="AA37" s="591">
        <f t="shared" si="7"/>
        <v>11611.15</v>
      </c>
      <c r="AB37" s="591">
        <f t="shared" si="7"/>
        <v>9892.83</v>
      </c>
      <c r="AC37" s="591">
        <f t="shared" si="7"/>
        <v>10956.1</v>
      </c>
      <c r="AD37" s="591">
        <f t="shared" si="7"/>
        <v>9309.15</v>
      </c>
      <c r="AE37" s="591">
        <f t="shared" si="7"/>
        <v>23771.4</v>
      </c>
      <c r="AF37" s="952"/>
      <c r="AG37" s="1063">
        <f t="shared" ref="AG37:AG40" si="8">B37-H37-J37-L37-N37-P37-R37-T37-V37-X37-Z37-AB37-AD37</f>
        <v>1.4551915228366852E-11</v>
      </c>
      <c r="AH37" s="683">
        <f t="shared" ref="AH37:AH40" si="9">C37-E37</f>
        <v>-72485.810000000027</v>
      </c>
    </row>
    <row r="38" spans="1:35" x14ac:dyDescent="0.3">
      <c r="A38" s="593" t="s">
        <v>169</v>
      </c>
      <c r="B38" s="594">
        <v>0</v>
      </c>
      <c r="C38" s="712">
        <v>0</v>
      </c>
      <c r="D38" s="715">
        <v>0</v>
      </c>
      <c r="E38" s="712">
        <v>0</v>
      </c>
      <c r="F38" s="594">
        <v>0</v>
      </c>
      <c r="G38" s="594">
        <v>0</v>
      </c>
      <c r="H38" s="1064">
        <v>0</v>
      </c>
      <c r="I38" s="1064">
        <v>0</v>
      </c>
      <c r="J38" s="1064">
        <v>0</v>
      </c>
      <c r="K38" s="1064">
        <v>0</v>
      </c>
      <c r="L38" s="1064">
        <v>0</v>
      </c>
      <c r="M38" s="1064">
        <v>0</v>
      </c>
      <c r="N38" s="1064">
        <v>0</v>
      </c>
      <c r="O38" s="1064">
        <v>0</v>
      </c>
      <c r="P38" s="1064">
        <v>0</v>
      </c>
      <c r="Q38" s="591">
        <v>0</v>
      </c>
      <c r="R38" s="1064">
        <v>0</v>
      </c>
      <c r="S38" s="1064">
        <v>0</v>
      </c>
      <c r="T38" s="1064">
        <v>0</v>
      </c>
      <c r="U38" s="1064">
        <v>0</v>
      </c>
      <c r="V38" s="1064">
        <v>0</v>
      </c>
      <c r="W38" s="1064">
        <v>0</v>
      </c>
      <c r="X38" s="1064">
        <v>0</v>
      </c>
      <c r="Y38" s="1064">
        <v>0</v>
      </c>
      <c r="Z38" s="1064">
        <v>0</v>
      </c>
      <c r="AA38" s="1064">
        <v>0</v>
      </c>
      <c r="AB38" s="1064">
        <v>0</v>
      </c>
      <c r="AC38" s="1064">
        <v>0</v>
      </c>
      <c r="AD38" s="1064">
        <v>0</v>
      </c>
      <c r="AE38" s="1064">
        <v>0</v>
      </c>
      <c r="AF38" s="952"/>
      <c r="AG38" s="1063">
        <f t="shared" si="8"/>
        <v>0</v>
      </c>
      <c r="AH38" s="683">
        <f t="shared" si="9"/>
        <v>0</v>
      </c>
    </row>
    <row r="39" spans="1:35" x14ac:dyDescent="0.3">
      <c r="A39" s="593" t="s">
        <v>32</v>
      </c>
      <c r="B39" s="594">
        <v>0</v>
      </c>
      <c r="C39" s="712">
        <v>0</v>
      </c>
      <c r="D39" s="715">
        <v>0</v>
      </c>
      <c r="E39" s="712">
        <v>0</v>
      </c>
      <c r="F39" s="594">
        <v>0</v>
      </c>
      <c r="G39" s="594">
        <v>0</v>
      </c>
      <c r="H39" s="1064">
        <v>0</v>
      </c>
      <c r="I39" s="1064">
        <v>0</v>
      </c>
      <c r="J39" s="1064">
        <v>0</v>
      </c>
      <c r="K39" s="1064">
        <v>0</v>
      </c>
      <c r="L39" s="1064">
        <v>0</v>
      </c>
      <c r="M39" s="1064">
        <v>0</v>
      </c>
      <c r="N39" s="1064">
        <v>0</v>
      </c>
      <c r="O39" s="1064">
        <v>0</v>
      </c>
      <c r="P39" s="1064">
        <v>0</v>
      </c>
      <c r="Q39" s="591">
        <f>Q41+Q42+Q40+Q43</f>
        <v>1408.6100000000001</v>
      </c>
      <c r="R39" s="1064">
        <v>0</v>
      </c>
      <c r="S39" s="1064">
        <v>0</v>
      </c>
      <c r="T39" s="1064">
        <v>0</v>
      </c>
      <c r="U39" s="1064">
        <v>0</v>
      </c>
      <c r="V39" s="1064">
        <v>0</v>
      </c>
      <c r="W39" s="1064">
        <v>0</v>
      </c>
      <c r="X39" s="1064">
        <v>0</v>
      </c>
      <c r="Y39" s="1064">
        <v>0</v>
      </c>
      <c r="Z39" s="1064">
        <v>0</v>
      </c>
      <c r="AA39" s="1064">
        <v>0</v>
      </c>
      <c r="AB39" s="1064">
        <v>0</v>
      </c>
      <c r="AC39" s="1064">
        <v>0</v>
      </c>
      <c r="AD39" s="1064">
        <v>0</v>
      </c>
      <c r="AE39" s="1064">
        <v>0</v>
      </c>
      <c r="AF39" s="952"/>
      <c r="AG39" s="1063">
        <f t="shared" si="8"/>
        <v>0</v>
      </c>
      <c r="AH39" s="683">
        <f t="shared" si="9"/>
        <v>0</v>
      </c>
    </row>
    <row r="40" spans="1:35" x14ac:dyDescent="0.3">
      <c r="A40" s="593" t="s">
        <v>33</v>
      </c>
      <c r="B40" s="594">
        <f>J40+L40+N40+P40+R40+T40+V40+X40+Z40+AB40+AD40+H40</f>
        <v>162207.25</v>
      </c>
      <c r="C40" s="712">
        <f>H40+J40+L40</f>
        <v>51906.52</v>
      </c>
      <c r="D40" s="715">
        <f>E40</f>
        <v>124392.33000000002</v>
      </c>
      <c r="E40" s="712">
        <f>SUM(I40,K40,M40,O40,Q40,S40,U40,W40,Y40,AA40,AC40,AE40)</f>
        <v>124392.33000000002</v>
      </c>
      <c r="F40" s="594">
        <f>IFERROR(E40/B40*100,0)</f>
        <v>76.687281240511766</v>
      </c>
      <c r="G40" s="594">
        <f>IFERROR(E40/C40*100,0)</f>
        <v>239.64683049451213</v>
      </c>
      <c r="H40" s="1064">
        <v>22467.919999999998</v>
      </c>
      <c r="I40" s="1064">
        <v>38397.550000000003</v>
      </c>
      <c r="J40" s="1064">
        <v>15159.49</v>
      </c>
      <c r="K40" s="1064">
        <v>13602.3</v>
      </c>
      <c r="L40" s="1064">
        <v>14279.11</v>
      </c>
      <c r="M40" s="1064">
        <v>13188.3</v>
      </c>
      <c r="N40" s="1064">
        <v>20075.509999999998</v>
      </c>
      <c r="O40" s="1064">
        <v>11509.9</v>
      </c>
      <c r="P40" s="1064">
        <v>15209.13</v>
      </c>
      <c r="Q40" s="1064">
        <v>1355.63</v>
      </c>
      <c r="R40" s="1064">
        <v>13543.64</v>
      </c>
      <c r="S40" s="1064">
        <v>0</v>
      </c>
      <c r="T40" s="1064">
        <v>13163.34</v>
      </c>
      <c r="U40" s="1064">
        <v>0</v>
      </c>
      <c r="V40" s="1064">
        <v>11567.61</v>
      </c>
      <c r="W40" s="1064">
        <v>0</v>
      </c>
      <c r="X40" s="1064">
        <v>7386</v>
      </c>
      <c r="Y40" s="1064">
        <v>0</v>
      </c>
      <c r="Z40" s="1064">
        <v>10153.52</v>
      </c>
      <c r="AA40" s="1064">
        <v>11611.15</v>
      </c>
      <c r="AB40" s="1064">
        <v>9892.83</v>
      </c>
      <c r="AC40" s="1064">
        <v>10956.1</v>
      </c>
      <c r="AD40" s="1064">
        <v>9309.15</v>
      </c>
      <c r="AE40" s="1064">
        <v>23771.4</v>
      </c>
      <c r="AF40" s="952"/>
      <c r="AG40" s="1063">
        <f t="shared" si="8"/>
        <v>1.4551915228366852E-11</v>
      </c>
      <c r="AH40" s="683">
        <f t="shared" si="9"/>
        <v>-72485.810000000027</v>
      </c>
      <c r="AI40" s="1051">
        <v>0</v>
      </c>
    </row>
    <row r="41" spans="1:35" x14ac:dyDescent="0.3">
      <c r="A41" s="593" t="s">
        <v>170</v>
      </c>
      <c r="B41" s="594"/>
      <c r="C41" s="712"/>
      <c r="D41" s="715"/>
      <c r="E41" s="712"/>
      <c r="F41" s="594"/>
      <c r="G41" s="594"/>
      <c r="H41" s="1064"/>
      <c r="I41" s="1064"/>
      <c r="J41" s="1064"/>
      <c r="K41" s="1064"/>
      <c r="L41" s="1064"/>
      <c r="M41" s="1064"/>
      <c r="N41" s="1064"/>
      <c r="O41" s="1064"/>
      <c r="P41" s="1064"/>
      <c r="Q41" s="1064"/>
      <c r="R41" s="1064"/>
      <c r="S41" s="1064"/>
      <c r="T41" s="1064"/>
      <c r="U41" s="1064"/>
      <c r="V41" s="1064"/>
      <c r="W41" s="1064"/>
      <c r="X41" s="1064"/>
      <c r="Y41" s="1064"/>
      <c r="Z41" s="1064"/>
      <c r="AA41" s="1064"/>
      <c r="AB41" s="1064"/>
      <c r="AC41" s="1064"/>
      <c r="AD41" s="1064"/>
      <c r="AE41" s="1064"/>
      <c r="AF41" s="952"/>
      <c r="AG41" s="1063"/>
      <c r="AH41" s="683"/>
    </row>
    <row r="42" spans="1:35" ht="84.75" customHeight="1" x14ac:dyDescent="0.3">
      <c r="A42" s="713" t="s">
        <v>255</v>
      </c>
      <c r="B42" s="591"/>
      <c r="C42" s="591"/>
      <c r="D42" s="591"/>
      <c r="E42" s="591"/>
      <c r="F42" s="591"/>
      <c r="G42" s="591"/>
      <c r="H42" s="1064"/>
      <c r="I42" s="1064"/>
      <c r="J42" s="1064"/>
      <c r="K42" s="1064"/>
      <c r="L42" s="1064"/>
      <c r="M42" s="1064"/>
      <c r="N42" s="1064"/>
      <c r="O42" s="1064"/>
      <c r="P42" s="1064"/>
      <c r="Q42" s="1064"/>
      <c r="R42" s="1064"/>
      <c r="S42" s="1064"/>
      <c r="T42" s="1064"/>
      <c r="U42" s="1064"/>
      <c r="V42" s="1064"/>
      <c r="W42" s="1064"/>
      <c r="X42" s="1064"/>
      <c r="Y42" s="1064"/>
      <c r="Z42" s="1064"/>
      <c r="AA42" s="1064"/>
      <c r="AB42" s="1064"/>
      <c r="AC42" s="1064"/>
      <c r="AD42" s="1064"/>
      <c r="AE42" s="1064"/>
      <c r="AF42" s="553" t="s">
        <v>526</v>
      </c>
      <c r="AG42" s="1063"/>
      <c r="AH42" s="683"/>
    </row>
    <row r="43" spans="1:35" x14ac:dyDescent="0.3">
      <c r="A43" s="590" t="s">
        <v>31</v>
      </c>
      <c r="B43" s="591">
        <f>B45+B46+B44+B47</f>
        <v>386.00221999999997</v>
      </c>
      <c r="C43" s="591">
        <f>C45+C46+C44+C47</f>
        <v>149.37402</v>
      </c>
      <c r="D43" s="591">
        <f>D45+D46+D44+D47</f>
        <v>218.52999999999997</v>
      </c>
      <c r="E43" s="591">
        <f>E45+E46+E44+E47</f>
        <v>218.52999999999997</v>
      </c>
      <c r="F43" s="591">
        <f>IFERROR(E43/B43*100,0)</f>
        <v>56.61366403540373</v>
      </c>
      <c r="G43" s="591">
        <f>IFERROR(E43/C43*100,0)</f>
        <v>146.29719411715635</v>
      </c>
      <c r="H43" s="591">
        <f t="shared" ref="H43:AE43" si="10">H45+H46+H44+H47</f>
        <v>12.8218</v>
      </c>
      <c r="I43" s="591">
        <f t="shared" si="10"/>
        <v>0</v>
      </c>
      <c r="J43" s="591">
        <f t="shared" si="10"/>
        <v>12.8218</v>
      </c>
      <c r="K43" s="591">
        <f t="shared" si="10"/>
        <v>0</v>
      </c>
      <c r="L43" s="591">
        <f t="shared" si="10"/>
        <v>123.73042</v>
      </c>
      <c r="M43" s="591">
        <f t="shared" si="10"/>
        <v>30.73</v>
      </c>
      <c r="N43" s="591">
        <f t="shared" si="10"/>
        <v>12.8218</v>
      </c>
      <c r="O43" s="591">
        <f t="shared" si="10"/>
        <v>47.9</v>
      </c>
      <c r="P43" s="591">
        <f t="shared" si="10"/>
        <v>81.72</v>
      </c>
      <c r="Q43" s="591">
        <f t="shared" si="10"/>
        <v>52.98</v>
      </c>
      <c r="R43" s="591">
        <f t="shared" si="10"/>
        <v>12.82</v>
      </c>
      <c r="S43" s="591">
        <f t="shared" si="10"/>
        <v>0</v>
      </c>
      <c r="T43" s="591">
        <f t="shared" si="10"/>
        <v>12.8218</v>
      </c>
      <c r="U43" s="591">
        <f t="shared" si="10"/>
        <v>0</v>
      </c>
      <c r="V43" s="591">
        <f t="shared" si="10"/>
        <v>12.8218</v>
      </c>
      <c r="W43" s="591">
        <f t="shared" si="10"/>
        <v>0</v>
      </c>
      <c r="X43" s="591">
        <f t="shared" si="10"/>
        <v>12.8218</v>
      </c>
      <c r="Y43" s="591">
        <f t="shared" si="10"/>
        <v>0</v>
      </c>
      <c r="Z43" s="591">
        <f t="shared" si="10"/>
        <v>12.8218</v>
      </c>
      <c r="AA43" s="591">
        <f t="shared" si="10"/>
        <v>21.09</v>
      </c>
      <c r="AB43" s="591">
        <f t="shared" si="10"/>
        <v>65.157399999999996</v>
      </c>
      <c r="AC43" s="591">
        <f t="shared" si="10"/>
        <v>27.13</v>
      </c>
      <c r="AD43" s="591">
        <f t="shared" si="10"/>
        <v>12.8218</v>
      </c>
      <c r="AE43" s="591">
        <f t="shared" si="10"/>
        <v>38.700000000000003</v>
      </c>
      <c r="AF43" s="952"/>
      <c r="AG43" s="1063"/>
      <c r="AH43" s="683"/>
    </row>
    <row r="44" spans="1:35" x14ac:dyDescent="0.3">
      <c r="A44" s="593" t="s">
        <v>169</v>
      </c>
      <c r="B44" s="594">
        <v>0</v>
      </c>
      <c r="C44" s="594">
        <v>0</v>
      </c>
      <c r="D44" s="594">
        <v>0</v>
      </c>
      <c r="E44" s="594">
        <v>0</v>
      </c>
      <c r="F44" s="594">
        <v>0</v>
      </c>
      <c r="G44" s="594">
        <v>0</v>
      </c>
      <c r="H44" s="594">
        <v>0</v>
      </c>
      <c r="I44" s="594">
        <v>0</v>
      </c>
      <c r="J44" s="594">
        <v>0</v>
      </c>
      <c r="K44" s="594">
        <v>0</v>
      </c>
      <c r="L44" s="594">
        <v>0</v>
      </c>
      <c r="M44" s="594">
        <v>0</v>
      </c>
      <c r="N44" s="594">
        <v>0</v>
      </c>
      <c r="O44" s="594">
        <v>0</v>
      </c>
      <c r="P44" s="594">
        <v>0</v>
      </c>
      <c r="Q44" s="594">
        <v>0</v>
      </c>
      <c r="R44" s="594">
        <v>0</v>
      </c>
      <c r="S44" s="594">
        <v>0</v>
      </c>
      <c r="T44" s="594">
        <v>0</v>
      </c>
      <c r="U44" s="594">
        <v>0</v>
      </c>
      <c r="V44" s="594">
        <v>0</v>
      </c>
      <c r="W44" s="594">
        <v>0</v>
      </c>
      <c r="X44" s="594">
        <v>0</v>
      </c>
      <c r="Y44" s="594">
        <v>0</v>
      </c>
      <c r="Z44" s="594">
        <v>0</v>
      </c>
      <c r="AA44" s="594">
        <v>0</v>
      </c>
      <c r="AB44" s="594">
        <v>0</v>
      </c>
      <c r="AC44" s="594">
        <v>0</v>
      </c>
      <c r="AD44" s="594">
        <v>0</v>
      </c>
      <c r="AE44" s="594">
        <v>0</v>
      </c>
      <c r="AF44" s="952"/>
      <c r="AG44" s="1063"/>
      <c r="AH44" s="683"/>
    </row>
    <row r="45" spans="1:35" x14ac:dyDescent="0.3">
      <c r="A45" s="593" t="s">
        <v>32</v>
      </c>
      <c r="B45" s="594">
        <v>0</v>
      </c>
      <c r="C45" s="594">
        <v>0</v>
      </c>
      <c r="D45" s="594">
        <v>0</v>
      </c>
      <c r="E45" s="594">
        <v>0</v>
      </c>
      <c r="F45" s="594">
        <v>0</v>
      </c>
      <c r="G45" s="594">
        <v>0</v>
      </c>
      <c r="H45" s="594">
        <v>0</v>
      </c>
      <c r="I45" s="594">
        <v>0</v>
      </c>
      <c r="J45" s="594">
        <v>0</v>
      </c>
      <c r="K45" s="594">
        <v>0</v>
      </c>
      <c r="L45" s="594">
        <v>0</v>
      </c>
      <c r="M45" s="594">
        <v>0</v>
      </c>
      <c r="N45" s="594">
        <v>0</v>
      </c>
      <c r="O45" s="594">
        <v>0</v>
      </c>
      <c r="P45" s="594">
        <v>0</v>
      </c>
      <c r="Q45" s="594">
        <v>0</v>
      </c>
      <c r="R45" s="594">
        <v>0</v>
      </c>
      <c r="S45" s="594">
        <v>0</v>
      </c>
      <c r="T45" s="594">
        <v>0</v>
      </c>
      <c r="U45" s="594">
        <v>0</v>
      </c>
      <c r="V45" s="594">
        <v>0</v>
      </c>
      <c r="W45" s="594">
        <v>0</v>
      </c>
      <c r="X45" s="594">
        <v>0</v>
      </c>
      <c r="Y45" s="594">
        <v>0</v>
      </c>
      <c r="Z45" s="594">
        <v>0</v>
      </c>
      <c r="AA45" s="594">
        <v>0</v>
      </c>
      <c r="AB45" s="594">
        <v>0</v>
      </c>
      <c r="AC45" s="594">
        <v>0</v>
      </c>
      <c r="AD45" s="594">
        <v>0</v>
      </c>
      <c r="AE45" s="594">
        <v>0</v>
      </c>
      <c r="AF45" s="952"/>
      <c r="AG45" s="1063"/>
      <c r="AH45" s="683"/>
    </row>
    <row r="46" spans="1:35" x14ac:dyDescent="0.3">
      <c r="A46" s="593" t="s">
        <v>33</v>
      </c>
      <c r="B46" s="594">
        <f>J46+L46+N46+P46+R46+T46+V46+X46+Z46+AB46+AD46+H46</f>
        <v>386.00221999999997</v>
      </c>
      <c r="C46" s="712">
        <f>H46+J46+L46</f>
        <v>149.37402</v>
      </c>
      <c r="D46" s="715">
        <f>E46</f>
        <v>218.52999999999997</v>
      </c>
      <c r="E46" s="712">
        <f>SUM(I46,K46,M46,O46,Q46,S46,U46,W46,Y46,AA46,AC46,AE46)</f>
        <v>218.52999999999997</v>
      </c>
      <c r="F46" s="594">
        <f>IFERROR(E46/B46*100,0)</f>
        <v>56.61366403540373</v>
      </c>
      <c r="G46" s="594">
        <f>IFERROR(E46/C46*100,0)</f>
        <v>146.29719411715635</v>
      </c>
      <c r="H46" s="1064">
        <v>12.8218</v>
      </c>
      <c r="I46" s="1064"/>
      <c r="J46" s="1064">
        <v>12.8218</v>
      </c>
      <c r="K46" s="1064">
        <v>0</v>
      </c>
      <c r="L46" s="1064">
        <v>123.73042</v>
      </c>
      <c r="M46" s="1064">
        <v>30.73</v>
      </c>
      <c r="N46" s="1064">
        <v>12.8218</v>
      </c>
      <c r="O46" s="1064">
        <v>47.9</v>
      </c>
      <c r="P46" s="1064">
        <v>81.72</v>
      </c>
      <c r="Q46" s="1064">
        <v>52.98</v>
      </c>
      <c r="R46" s="1064">
        <v>12.82</v>
      </c>
      <c r="S46" s="1064">
        <v>0</v>
      </c>
      <c r="T46" s="1064">
        <v>12.8218</v>
      </c>
      <c r="U46" s="1064"/>
      <c r="V46" s="1064">
        <v>12.8218</v>
      </c>
      <c r="W46" s="1064">
        <v>0</v>
      </c>
      <c r="X46" s="1064">
        <v>12.8218</v>
      </c>
      <c r="Y46" s="1064">
        <v>0</v>
      </c>
      <c r="Z46" s="1064">
        <v>12.8218</v>
      </c>
      <c r="AA46" s="1064">
        <v>21.09</v>
      </c>
      <c r="AB46" s="1064">
        <v>65.157399999999996</v>
      </c>
      <c r="AC46" s="1064">
        <v>27.13</v>
      </c>
      <c r="AD46" s="1064">
        <v>12.8218</v>
      </c>
      <c r="AE46" s="1064">
        <v>38.700000000000003</v>
      </c>
      <c r="AF46" s="952"/>
      <c r="AG46" s="1063"/>
      <c r="AH46" s="683"/>
    </row>
    <row r="47" spans="1:35" x14ac:dyDescent="0.3">
      <c r="A47" s="593" t="s">
        <v>170</v>
      </c>
      <c r="B47" s="594"/>
      <c r="C47" s="712"/>
      <c r="D47" s="715"/>
      <c r="E47" s="712"/>
      <c r="F47" s="594"/>
      <c r="G47" s="594"/>
      <c r="H47" s="1064"/>
      <c r="I47" s="1064"/>
      <c r="J47" s="1064"/>
      <c r="K47" s="1064"/>
      <c r="L47" s="1064"/>
      <c r="M47" s="1064"/>
      <c r="N47" s="1064"/>
      <c r="O47" s="1064"/>
      <c r="P47" s="1064"/>
      <c r="Q47" s="1064"/>
      <c r="R47" s="1064"/>
      <c r="S47" s="1064"/>
      <c r="T47" s="1064"/>
      <c r="U47" s="1064"/>
      <c r="V47" s="1064"/>
      <c r="W47" s="1064"/>
      <c r="X47" s="1064"/>
      <c r="Y47" s="1064"/>
      <c r="Z47" s="1064"/>
      <c r="AA47" s="1064"/>
      <c r="AB47" s="1064"/>
      <c r="AC47" s="1064"/>
      <c r="AD47" s="1064"/>
      <c r="AE47" s="1064"/>
      <c r="AF47" s="952"/>
      <c r="AG47" s="1063"/>
      <c r="AH47" s="683"/>
    </row>
    <row r="48" spans="1:35" ht="56.25" x14ac:dyDescent="0.3">
      <c r="A48" s="1065" t="s">
        <v>256</v>
      </c>
      <c r="B48" s="594"/>
      <c r="C48" s="594"/>
      <c r="D48" s="594"/>
      <c r="E48" s="594"/>
      <c r="F48" s="594"/>
      <c r="G48" s="594"/>
      <c r="H48" s="1064"/>
      <c r="I48" s="1064"/>
      <c r="J48" s="1064"/>
      <c r="K48" s="1064"/>
      <c r="L48" s="1064"/>
      <c r="M48" s="1064"/>
      <c r="N48" s="1064"/>
      <c r="O48" s="1064"/>
      <c r="P48" s="1064"/>
      <c r="Q48" s="1064"/>
      <c r="R48" s="1064"/>
      <c r="S48" s="1064"/>
      <c r="T48" s="1064"/>
      <c r="U48" s="1064"/>
      <c r="V48" s="1064"/>
      <c r="W48" s="1064"/>
      <c r="X48" s="1064"/>
      <c r="Y48" s="1064"/>
      <c r="Z48" s="1064"/>
      <c r="AA48" s="1064"/>
      <c r="AB48" s="1064"/>
      <c r="AC48" s="1064"/>
      <c r="AD48" s="1064"/>
      <c r="AE48" s="1064"/>
      <c r="AF48" s="952"/>
      <c r="AG48" s="1063"/>
      <c r="AH48" s="683"/>
    </row>
    <row r="49" spans="1:34" x14ac:dyDescent="0.3">
      <c r="A49" s="1066" t="s">
        <v>31</v>
      </c>
      <c r="B49" s="591">
        <f>B51+B52+B50+B53</f>
        <v>8.3000000000000007</v>
      </c>
      <c r="C49" s="591">
        <f>C51+C52+C50+C53</f>
        <v>0</v>
      </c>
      <c r="D49" s="714">
        <f>D51+D52+D50+D53</f>
        <v>0</v>
      </c>
      <c r="E49" s="591">
        <f>E51+E52+E50+E53</f>
        <v>0</v>
      </c>
      <c r="F49" s="591">
        <f>IFERROR(E49/B49*100,0)</f>
        <v>0</v>
      </c>
      <c r="G49" s="591">
        <f>IFERROR(E49/C49*100,0)</f>
        <v>0</v>
      </c>
      <c r="H49" s="591">
        <f t="shared" ref="H49:AE49" si="11">H51+H52+H50+H53</f>
        <v>0</v>
      </c>
      <c r="I49" s="591">
        <f t="shared" si="11"/>
        <v>0</v>
      </c>
      <c r="J49" s="591">
        <f t="shared" si="11"/>
        <v>0</v>
      </c>
      <c r="K49" s="591">
        <f t="shared" si="11"/>
        <v>0</v>
      </c>
      <c r="L49" s="591">
        <f t="shared" si="11"/>
        <v>0</v>
      </c>
      <c r="M49" s="591">
        <f t="shared" si="11"/>
        <v>0</v>
      </c>
      <c r="N49" s="591">
        <f t="shared" si="11"/>
        <v>0</v>
      </c>
      <c r="O49" s="591">
        <f t="shared" si="11"/>
        <v>0</v>
      </c>
      <c r="P49" s="591">
        <f t="shared" si="11"/>
        <v>8.3000000000000007</v>
      </c>
      <c r="Q49" s="591">
        <f t="shared" si="11"/>
        <v>0</v>
      </c>
      <c r="R49" s="591">
        <f t="shared" si="11"/>
        <v>0</v>
      </c>
      <c r="S49" s="591">
        <f t="shared" si="11"/>
        <v>0</v>
      </c>
      <c r="T49" s="591">
        <f t="shared" si="11"/>
        <v>0</v>
      </c>
      <c r="U49" s="591">
        <f t="shared" si="11"/>
        <v>0</v>
      </c>
      <c r="V49" s="591">
        <f t="shared" si="11"/>
        <v>0</v>
      </c>
      <c r="W49" s="591">
        <f t="shared" si="11"/>
        <v>0</v>
      </c>
      <c r="X49" s="591">
        <f t="shared" si="11"/>
        <v>0</v>
      </c>
      <c r="Y49" s="591">
        <f t="shared" si="11"/>
        <v>0</v>
      </c>
      <c r="Z49" s="591">
        <f t="shared" si="11"/>
        <v>0</v>
      </c>
      <c r="AA49" s="591">
        <f t="shared" si="11"/>
        <v>0</v>
      </c>
      <c r="AB49" s="591">
        <f t="shared" si="11"/>
        <v>0</v>
      </c>
      <c r="AC49" s="591">
        <f t="shared" si="11"/>
        <v>0</v>
      </c>
      <c r="AD49" s="591">
        <f t="shared" si="11"/>
        <v>0</v>
      </c>
      <c r="AE49" s="591">
        <f t="shared" si="11"/>
        <v>0</v>
      </c>
      <c r="AF49" s="952"/>
      <c r="AG49" s="1063"/>
      <c r="AH49" s="683"/>
    </row>
    <row r="50" spans="1:34" x14ac:dyDescent="0.3">
      <c r="A50" s="640" t="s">
        <v>169</v>
      </c>
      <c r="B50" s="594"/>
      <c r="C50" s="712"/>
      <c r="D50" s="715"/>
      <c r="E50" s="712"/>
      <c r="F50" s="594"/>
      <c r="G50" s="594"/>
      <c r="H50" s="1064"/>
      <c r="I50" s="1064"/>
      <c r="J50" s="1064"/>
      <c r="K50" s="1064"/>
      <c r="L50" s="1064"/>
      <c r="M50" s="1064"/>
      <c r="N50" s="1064"/>
      <c r="O50" s="1064"/>
      <c r="P50" s="1064"/>
      <c r="Q50" s="1064"/>
      <c r="R50" s="1064"/>
      <c r="S50" s="1064"/>
      <c r="T50" s="1064"/>
      <c r="U50" s="1064"/>
      <c r="V50" s="1064"/>
      <c r="W50" s="1064"/>
      <c r="X50" s="1064"/>
      <c r="Y50" s="1064"/>
      <c r="Z50" s="1064"/>
      <c r="AA50" s="1064"/>
      <c r="AB50" s="1064"/>
      <c r="AC50" s="1064"/>
      <c r="AD50" s="1064"/>
      <c r="AE50" s="1064"/>
      <c r="AF50" s="952"/>
      <c r="AG50" s="1063"/>
      <c r="AH50" s="683"/>
    </row>
    <row r="51" spans="1:34" x14ac:dyDescent="0.3">
      <c r="A51" s="640" t="s">
        <v>32</v>
      </c>
      <c r="B51" s="594">
        <f>J51+L51+N51+P51+R51+T51+V51+X51+Z51+AB51+AD51+H51</f>
        <v>0</v>
      </c>
      <c r="C51" s="712">
        <f>SUM(H51)</f>
        <v>0</v>
      </c>
      <c r="D51" s="715">
        <f>E51</f>
        <v>0</v>
      </c>
      <c r="E51" s="712">
        <f>SUM(I51,K51,M51,O51,Q51,S51,U51,W51,Y51,AA51,AC51,AE51)</f>
        <v>0</v>
      </c>
      <c r="F51" s="594">
        <f>IFERROR(E51/B51*100,0)</f>
        <v>0</v>
      </c>
      <c r="G51" s="594">
        <f>IFERROR(E51/C51*100,0)</f>
        <v>0</v>
      </c>
      <c r="H51" s="1064">
        <v>0</v>
      </c>
      <c r="I51" s="1064">
        <v>0</v>
      </c>
      <c r="J51" s="1064">
        <v>0</v>
      </c>
      <c r="K51" s="1064">
        <v>0</v>
      </c>
      <c r="L51" s="1064">
        <v>0</v>
      </c>
      <c r="M51" s="1064">
        <v>0</v>
      </c>
      <c r="N51" s="1064">
        <v>0</v>
      </c>
      <c r="O51" s="1064">
        <v>0</v>
      </c>
      <c r="P51" s="1064">
        <v>0</v>
      </c>
      <c r="Q51" s="1064">
        <v>0</v>
      </c>
      <c r="R51" s="1064">
        <v>0</v>
      </c>
      <c r="S51" s="1064">
        <v>0</v>
      </c>
      <c r="T51" s="1064">
        <v>0</v>
      </c>
      <c r="U51" s="1064">
        <v>0</v>
      </c>
      <c r="V51" s="1064">
        <v>0</v>
      </c>
      <c r="W51" s="1064">
        <v>0</v>
      </c>
      <c r="X51" s="1064">
        <v>0</v>
      </c>
      <c r="Y51" s="1064">
        <v>0</v>
      </c>
      <c r="Z51" s="1064">
        <v>0</v>
      </c>
      <c r="AA51" s="1064">
        <v>0</v>
      </c>
      <c r="AB51" s="1064">
        <v>0</v>
      </c>
      <c r="AC51" s="1064">
        <v>0</v>
      </c>
      <c r="AD51" s="1064">
        <v>0</v>
      </c>
      <c r="AE51" s="1064">
        <v>0</v>
      </c>
      <c r="AF51" s="952"/>
      <c r="AG51" s="1063"/>
      <c r="AH51" s="683"/>
    </row>
    <row r="52" spans="1:34" x14ac:dyDescent="0.3">
      <c r="A52" s="640" t="s">
        <v>33</v>
      </c>
      <c r="B52" s="594">
        <f>J52+L52+N52+P52+R52+T52+V52+X52+Z52+AB52+AD52+H52</f>
        <v>8.3000000000000007</v>
      </c>
      <c r="C52" s="712">
        <f>SUM(H52)</f>
        <v>0</v>
      </c>
      <c r="D52" s="715">
        <f>E52</f>
        <v>0</v>
      </c>
      <c r="E52" s="712">
        <f>SUM(I52,K52,M52,O52,Q52,S52,U52,W52,Y52,AA52,AC52,AE52)</f>
        <v>0</v>
      </c>
      <c r="F52" s="594">
        <f>IFERROR(E52/B52*100,0)</f>
        <v>0</v>
      </c>
      <c r="G52" s="594">
        <f>IFERROR(E52/C52*100,0)</f>
        <v>0</v>
      </c>
      <c r="H52" s="1064">
        <v>0</v>
      </c>
      <c r="I52" s="1064">
        <v>0</v>
      </c>
      <c r="J52" s="1064">
        <v>0</v>
      </c>
      <c r="K52" s="1064">
        <v>0</v>
      </c>
      <c r="L52" s="1064">
        <v>0</v>
      </c>
      <c r="M52" s="1064">
        <v>0</v>
      </c>
      <c r="N52" s="1064">
        <v>0</v>
      </c>
      <c r="O52" s="1064">
        <v>0</v>
      </c>
      <c r="P52" s="1064">
        <v>8.3000000000000007</v>
      </c>
      <c r="Q52" s="1064">
        <v>0</v>
      </c>
      <c r="R52" s="1064">
        <v>0</v>
      </c>
      <c r="S52" s="1064">
        <v>0</v>
      </c>
      <c r="T52" s="1064">
        <v>0</v>
      </c>
      <c r="U52" s="1064">
        <v>0</v>
      </c>
      <c r="V52" s="1064">
        <v>0</v>
      </c>
      <c r="W52" s="1064">
        <v>0</v>
      </c>
      <c r="X52" s="1064">
        <v>0</v>
      </c>
      <c r="Y52" s="1064">
        <v>0</v>
      </c>
      <c r="Z52" s="1064">
        <v>0</v>
      </c>
      <c r="AA52" s="1064">
        <v>0</v>
      </c>
      <c r="AB52" s="1064">
        <v>0</v>
      </c>
      <c r="AC52" s="1064">
        <v>0</v>
      </c>
      <c r="AD52" s="1064">
        <v>0</v>
      </c>
      <c r="AE52" s="1064">
        <v>0</v>
      </c>
      <c r="AF52" s="952"/>
      <c r="AG52" s="1063"/>
      <c r="AH52" s="683"/>
    </row>
    <row r="53" spans="1:34" x14ac:dyDescent="0.3">
      <c r="A53" s="640" t="s">
        <v>170</v>
      </c>
      <c r="B53" s="594"/>
      <c r="C53" s="712"/>
      <c r="D53" s="715"/>
      <c r="E53" s="712"/>
      <c r="F53" s="594"/>
      <c r="G53" s="594"/>
      <c r="H53" s="1064"/>
      <c r="I53" s="1064"/>
      <c r="J53" s="1064"/>
      <c r="K53" s="1064"/>
      <c r="L53" s="1064"/>
      <c r="M53" s="1064"/>
      <c r="N53" s="1064"/>
      <c r="O53" s="1064"/>
      <c r="P53" s="1064"/>
      <c r="Q53" s="1064"/>
      <c r="R53" s="1064"/>
      <c r="S53" s="1064"/>
      <c r="T53" s="1064"/>
      <c r="U53" s="1064"/>
      <c r="V53" s="1064"/>
      <c r="W53" s="1064"/>
      <c r="X53" s="1064"/>
      <c r="Y53" s="1064"/>
      <c r="Z53" s="1064"/>
      <c r="AA53" s="1064"/>
      <c r="AB53" s="1064"/>
      <c r="AC53" s="1064"/>
      <c r="AD53" s="1064"/>
      <c r="AE53" s="1064"/>
      <c r="AF53" s="952"/>
      <c r="AG53" s="1063"/>
      <c r="AH53" s="683"/>
    </row>
    <row r="54" spans="1:34" ht="43.5" customHeight="1" x14ac:dyDescent="0.3">
      <c r="A54" s="713" t="s">
        <v>257</v>
      </c>
      <c r="B54" s="591"/>
      <c r="C54" s="591"/>
      <c r="D54" s="591"/>
      <c r="E54" s="591"/>
      <c r="F54" s="591"/>
      <c r="G54" s="591"/>
      <c r="H54" s="1064"/>
      <c r="I54" s="1064"/>
      <c r="J54" s="1064"/>
      <c r="K54" s="1064"/>
      <c r="L54" s="1064"/>
      <c r="M54" s="1064"/>
      <c r="N54" s="1064"/>
      <c r="O54" s="1064"/>
      <c r="P54" s="1064"/>
      <c r="Q54" s="1064"/>
      <c r="R54" s="1064"/>
      <c r="S54" s="1064"/>
      <c r="T54" s="1064"/>
      <c r="U54" s="1064"/>
      <c r="V54" s="1064"/>
      <c r="W54" s="1064"/>
      <c r="X54" s="1064"/>
      <c r="Y54" s="1064"/>
      <c r="Z54" s="1064"/>
      <c r="AA54" s="1064"/>
      <c r="AB54" s="1064"/>
      <c r="AC54" s="1064"/>
      <c r="AD54" s="1064"/>
      <c r="AE54" s="1064"/>
      <c r="AF54" s="1083" t="s">
        <v>527</v>
      </c>
      <c r="AG54" s="1063"/>
      <c r="AH54" s="683"/>
    </row>
    <row r="55" spans="1:34" x14ac:dyDescent="0.3">
      <c r="A55" s="590" t="s">
        <v>31</v>
      </c>
      <c r="B55" s="591">
        <f>SUM(L55+N55+P55+R55+T55)</f>
        <v>2694.2999999999997</v>
      </c>
      <c r="C55" s="591">
        <f ca="1">C58+C57+C56+C59</f>
        <v>404.8</v>
      </c>
      <c r="D55" s="591">
        <f ca="1">D58+D57+D56+D59</f>
        <v>223.4</v>
      </c>
      <c r="E55" s="591">
        <f ca="1">E58+E57+E56+E59</f>
        <v>223.4</v>
      </c>
      <c r="F55" s="591">
        <f ca="1">IFERROR(E55/B55*100,0)</f>
        <v>8.2915785176112546</v>
      </c>
      <c r="G55" s="591">
        <f ca="1">IFERROR(E55/C55*100,0)</f>
        <v>55.187747035573118</v>
      </c>
      <c r="H55" s="591">
        <f t="shared" ref="H55:U55" ca="1" si="12">H58+H57+H56+H59</f>
        <v>0</v>
      </c>
      <c r="I55" s="591">
        <f t="shared" ca="1" si="12"/>
        <v>0</v>
      </c>
      <c r="J55" s="591">
        <f t="shared" ca="1" si="12"/>
        <v>0</v>
      </c>
      <c r="K55" s="591">
        <f t="shared" ca="1" si="12"/>
        <v>0</v>
      </c>
      <c r="L55" s="591">
        <f t="shared" si="12"/>
        <v>404.8</v>
      </c>
      <c r="M55" s="591">
        <f t="shared" si="12"/>
        <v>0</v>
      </c>
      <c r="N55" s="591">
        <f t="shared" si="12"/>
        <v>198.9</v>
      </c>
      <c r="O55" s="591">
        <f t="shared" si="12"/>
        <v>0</v>
      </c>
      <c r="P55" s="591">
        <f t="shared" si="12"/>
        <v>349.4</v>
      </c>
      <c r="Q55" s="591">
        <f t="shared" si="12"/>
        <v>223.4</v>
      </c>
      <c r="R55" s="591">
        <f t="shared" si="12"/>
        <v>1090.5999999999999</v>
      </c>
      <c r="S55" s="591">
        <f t="shared" si="12"/>
        <v>0</v>
      </c>
      <c r="T55" s="591">
        <f t="shared" si="12"/>
        <v>650.6</v>
      </c>
      <c r="U55" s="591">
        <f t="shared" si="12"/>
        <v>0</v>
      </c>
      <c r="V55" s="591">
        <f t="shared" ref="V55:AE55" si="13">V57+V58+V56+V59</f>
        <v>0</v>
      </c>
      <c r="W55" s="591">
        <f t="shared" si="13"/>
        <v>0</v>
      </c>
      <c r="X55" s="591">
        <f t="shared" si="13"/>
        <v>0</v>
      </c>
      <c r="Y55" s="591">
        <f t="shared" si="13"/>
        <v>0</v>
      </c>
      <c r="Z55" s="591">
        <f t="shared" si="13"/>
        <v>0</v>
      </c>
      <c r="AA55" s="591">
        <f t="shared" si="13"/>
        <v>0</v>
      </c>
      <c r="AB55" s="591">
        <f t="shared" si="13"/>
        <v>0</v>
      </c>
      <c r="AC55" s="591">
        <f t="shared" si="13"/>
        <v>0</v>
      </c>
      <c r="AD55" s="591">
        <f t="shared" si="13"/>
        <v>0</v>
      </c>
      <c r="AE55" s="591">
        <f t="shared" si="13"/>
        <v>200</v>
      </c>
      <c r="AF55" s="952"/>
      <c r="AG55" s="1063"/>
      <c r="AH55" s="683"/>
    </row>
    <row r="56" spans="1:34" x14ac:dyDescent="0.3">
      <c r="A56" s="593" t="s">
        <v>169</v>
      </c>
      <c r="B56" s="594"/>
      <c r="C56" s="712"/>
      <c r="D56" s="715"/>
      <c r="E56" s="712"/>
      <c r="F56" s="594"/>
      <c r="G56" s="594"/>
      <c r="H56" s="1064"/>
      <c r="I56" s="1064"/>
      <c r="J56" s="1064"/>
      <c r="K56" s="1064"/>
      <c r="L56" s="1064"/>
      <c r="M56" s="1064"/>
      <c r="N56" s="1064"/>
      <c r="O56" s="1064"/>
      <c r="P56" s="1064"/>
      <c r="Q56" s="1064"/>
      <c r="R56" s="1064"/>
      <c r="S56" s="1064"/>
      <c r="T56" s="1064"/>
      <c r="U56" s="1064"/>
      <c r="V56" s="1064"/>
      <c r="W56" s="1064"/>
      <c r="X56" s="1064"/>
      <c r="Y56" s="1064"/>
      <c r="Z56" s="1064"/>
      <c r="AA56" s="1064"/>
      <c r="AB56" s="1064"/>
      <c r="AC56" s="1064"/>
      <c r="AD56" s="1064"/>
      <c r="AE56" s="1064"/>
      <c r="AF56" s="952"/>
      <c r="AG56" s="1063"/>
      <c r="AH56" s="683"/>
    </row>
    <row r="57" spans="1:34" x14ac:dyDescent="0.3">
      <c r="A57" s="593" t="s">
        <v>32</v>
      </c>
      <c r="B57" s="594">
        <f ca="1">J57+L57+N57+P57+R57+T57+V57+X57+Z57+AB57+AD57+H57</f>
        <v>1741.1999999999998</v>
      </c>
      <c r="C57" s="712">
        <f ca="1">H57+J57+L57</f>
        <v>0</v>
      </c>
      <c r="D57" s="715">
        <f ca="1">E57</f>
        <v>0</v>
      </c>
      <c r="E57" s="712">
        <f ca="1">SUM(I57,K57,M57,O57,Q57,S57,U57,W57,Y57,AA57,AC57,AE57)</f>
        <v>0</v>
      </c>
      <c r="F57" s="594">
        <f ca="1">IFERROR(E57/#REF!*100,0)</f>
        <v>0</v>
      </c>
      <c r="G57" s="594">
        <f ca="1">IFERROR(E57/C57*100,0)</f>
        <v>0</v>
      </c>
      <c r="H57" s="594">
        <f ca="1">IFERROR(F57/D57*100,0)</f>
        <v>0</v>
      </c>
      <c r="I57" s="594">
        <f ca="1">IFERROR(G57/E57*100,0)</f>
        <v>0</v>
      </c>
      <c r="J57" s="594">
        <f ca="1">IFERROR(H57/F57*100,0)</f>
        <v>0</v>
      </c>
      <c r="K57" s="594">
        <f ca="1">IFERROR(I57/G57*100,0)</f>
        <v>0</v>
      </c>
      <c r="L57" s="1064">
        <v>0</v>
      </c>
      <c r="M57" s="1064">
        <v>0</v>
      </c>
      <c r="N57" s="1064">
        <v>0</v>
      </c>
      <c r="O57" s="1064">
        <v>0</v>
      </c>
      <c r="P57" s="1064">
        <v>0</v>
      </c>
      <c r="Q57" s="1064">
        <v>0</v>
      </c>
      <c r="R57" s="1064">
        <v>1090.5999999999999</v>
      </c>
      <c r="S57" s="1064">
        <v>0</v>
      </c>
      <c r="T57" s="1064">
        <v>650.6</v>
      </c>
      <c r="U57" s="1064">
        <v>0</v>
      </c>
      <c r="V57" s="1064">
        <v>0</v>
      </c>
      <c r="W57" s="1064">
        <v>0</v>
      </c>
      <c r="X57" s="1064">
        <v>0</v>
      </c>
      <c r="Y57" s="1064">
        <v>0</v>
      </c>
      <c r="Z57" s="1064">
        <v>0</v>
      </c>
      <c r="AA57" s="1064">
        <v>0</v>
      </c>
      <c r="AB57" s="1064">
        <v>0</v>
      </c>
      <c r="AC57" s="1064">
        <v>0</v>
      </c>
      <c r="AD57" s="1064">
        <v>0</v>
      </c>
      <c r="AE57" s="1064">
        <v>0</v>
      </c>
      <c r="AF57" s="952"/>
      <c r="AG57" s="1063"/>
      <c r="AH57" s="683"/>
    </row>
    <row r="58" spans="1:34" x14ac:dyDescent="0.3">
      <c r="A58" s="593" t="s">
        <v>33</v>
      </c>
      <c r="B58" s="594">
        <f ca="1">J58+L58+N58+P58+R58+T58+V58+X58+Z58+AB58+AD58+H58</f>
        <v>754.2</v>
      </c>
      <c r="C58" s="712">
        <f ca="1">H58+J58+L58</f>
        <v>404.8</v>
      </c>
      <c r="D58" s="715">
        <f ca="1">E58</f>
        <v>223.4</v>
      </c>
      <c r="E58" s="712">
        <f ca="1">SUM(I58,K58,M58,O58,Q58,S58,U58,W58,Y58,AA58,AC58,AE58)</f>
        <v>223.4</v>
      </c>
      <c r="F58" s="594">
        <f t="shared" ref="F58:K59" ca="1" si="14">IFERROR(E58/B57*100,0)</f>
        <v>12.830232023891572</v>
      </c>
      <c r="G58" s="594">
        <f t="shared" ca="1" si="14"/>
        <v>0</v>
      </c>
      <c r="H58" s="594">
        <f t="shared" ca="1" si="14"/>
        <v>0</v>
      </c>
      <c r="I58" s="594">
        <f t="shared" ca="1" si="14"/>
        <v>0</v>
      </c>
      <c r="J58" s="594">
        <f t="shared" ca="1" si="14"/>
        <v>0</v>
      </c>
      <c r="K58" s="594">
        <f t="shared" ca="1" si="14"/>
        <v>0</v>
      </c>
      <c r="L58" s="1064">
        <v>404.8</v>
      </c>
      <c r="M58" s="1064">
        <v>0</v>
      </c>
      <c r="N58" s="1064">
        <v>0</v>
      </c>
      <c r="O58" s="1064">
        <v>0</v>
      </c>
      <c r="P58" s="1064">
        <v>349.4</v>
      </c>
      <c r="Q58" s="1064">
        <v>223.4</v>
      </c>
      <c r="R58" s="1064">
        <v>0</v>
      </c>
      <c r="S58" s="1064">
        <v>0</v>
      </c>
      <c r="T58" s="1064">
        <v>0</v>
      </c>
      <c r="U58" s="1064">
        <v>0</v>
      </c>
      <c r="V58" s="1064">
        <v>0</v>
      </c>
      <c r="W58" s="1064">
        <v>0</v>
      </c>
      <c r="X58" s="1064">
        <v>0</v>
      </c>
      <c r="Y58" s="1064">
        <v>0</v>
      </c>
      <c r="Z58" s="1064">
        <v>0</v>
      </c>
      <c r="AA58" s="1064">
        <v>0</v>
      </c>
      <c r="AB58" s="1064">
        <v>0</v>
      </c>
      <c r="AC58" s="1064">
        <v>0</v>
      </c>
      <c r="AD58" s="1064">
        <v>0</v>
      </c>
      <c r="AE58" s="1064">
        <v>200</v>
      </c>
      <c r="AF58" s="952"/>
      <c r="AG58" s="1063"/>
      <c r="AH58" s="683"/>
    </row>
    <row r="59" spans="1:34" x14ac:dyDescent="0.3">
      <c r="A59" s="593" t="s">
        <v>170</v>
      </c>
      <c r="B59" s="594"/>
      <c r="C59" s="712"/>
      <c r="D59" s="715"/>
      <c r="E59" s="712"/>
      <c r="F59" s="594">
        <f t="shared" ca="1" si="14"/>
        <v>0</v>
      </c>
      <c r="G59" s="594">
        <f t="shared" ca="1" si="14"/>
        <v>0</v>
      </c>
      <c r="H59" s="594">
        <f t="shared" ca="1" si="14"/>
        <v>0</v>
      </c>
      <c r="I59" s="594">
        <f t="shared" ca="1" si="14"/>
        <v>0</v>
      </c>
      <c r="J59" s="594">
        <f t="shared" ca="1" si="14"/>
        <v>0</v>
      </c>
      <c r="K59" s="594">
        <f t="shared" ca="1" si="14"/>
        <v>0</v>
      </c>
      <c r="L59" s="1064">
        <v>0</v>
      </c>
      <c r="M59" s="1064">
        <v>0</v>
      </c>
      <c r="N59" s="1064">
        <v>198.9</v>
      </c>
      <c r="O59" s="1064">
        <v>0</v>
      </c>
      <c r="P59" s="1064">
        <v>0</v>
      </c>
      <c r="Q59" s="1064">
        <v>0</v>
      </c>
      <c r="R59" s="1064">
        <v>0</v>
      </c>
      <c r="S59" s="1064">
        <v>0</v>
      </c>
      <c r="T59" s="1064">
        <v>0</v>
      </c>
      <c r="U59" s="1064">
        <v>0</v>
      </c>
      <c r="V59" s="1064">
        <v>0</v>
      </c>
      <c r="W59" s="1064">
        <v>0</v>
      </c>
      <c r="X59" s="1064">
        <v>0</v>
      </c>
      <c r="Y59" s="1064">
        <v>0</v>
      </c>
      <c r="Z59" s="1064">
        <v>0</v>
      </c>
      <c r="AA59" s="1064">
        <v>0</v>
      </c>
      <c r="AB59" s="1064">
        <v>0</v>
      </c>
      <c r="AC59" s="1064">
        <v>0</v>
      </c>
      <c r="AD59" s="1064">
        <v>0</v>
      </c>
      <c r="AE59" s="1064">
        <v>0</v>
      </c>
      <c r="AF59" s="952"/>
      <c r="AG59" s="1063"/>
      <c r="AH59" s="683"/>
    </row>
    <row r="60" spans="1:34" ht="75" x14ac:dyDescent="0.3">
      <c r="A60" s="596" t="s">
        <v>258</v>
      </c>
      <c r="B60" s="591"/>
      <c r="C60" s="591"/>
      <c r="D60" s="591"/>
      <c r="E60" s="591"/>
      <c r="F60" s="591"/>
      <c r="G60" s="591"/>
      <c r="H60" s="591"/>
      <c r="I60" s="591"/>
      <c r="J60" s="591"/>
      <c r="K60" s="591"/>
      <c r="L60" s="591"/>
      <c r="M60" s="591"/>
      <c r="N60" s="591"/>
      <c r="O60" s="591"/>
      <c r="P60" s="591"/>
      <c r="Q60" s="591"/>
      <c r="R60" s="591"/>
      <c r="S60" s="591"/>
      <c r="T60" s="591"/>
      <c r="U60" s="591"/>
      <c r="V60" s="591"/>
      <c r="W60" s="591"/>
      <c r="X60" s="591"/>
      <c r="Y60" s="591"/>
      <c r="Z60" s="591"/>
      <c r="AA60" s="591"/>
      <c r="AB60" s="591"/>
      <c r="AC60" s="591"/>
      <c r="AD60" s="591"/>
      <c r="AE60" s="591"/>
      <c r="AF60" s="952"/>
      <c r="AG60" s="1063"/>
      <c r="AH60" s="683"/>
    </row>
    <row r="61" spans="1:34" x14ac:dyDescent="0.3">
      <c r="A61" s="590" t="s">
        <v>31</v>
      </c>
      <c r="B61" s="591">
        <f>B62+B63+B64</f>
        <v>86347.815000000017</v>
      </c>
      <c r="C61" s="591">
        <f>C62+C63+C64</f>
        <v>19213.54</v>
      </c>
      <c r="D61" s="591">
        <f>D62+D63+D64</f>
        <v>71453.845000000001</v>
      </c>
      <c r="E61" s="591">
        <f>E62+E63+E64</f>
        <v>71453.845000000001</v>
      </c>
      <c r="F61" s="592">
        <f>IFERROR(E61/B61*100,0)</f>
        <v>82.751190635223367</v>
      </c>
      <c r="G61" s="592">
        <f>IFERROR(E61/C61*100,0)</f>
        <v>371.89318053830789</v>
      </c>
      <c r="H61" s="591">
        <f t="shared" ref="H61:AE61" si="15">H62+H63+H64</f>
        <v>4692.24</v>
      </c>
      <c r="I61" s="591">
        <f t="shared" si="15"/>
        <v>1723.4670000000001</v>
      </c>
      <c r="J61" s="591">
        <f t="shared" si="15"/>
        <v>6991.9</v>
      </c>
      <c r="K61" s="591">
        <f t="shared" si="15"/>
        <v>5954.1570000000002</v>
      </c>
      <c r="L61" s="591">
        <f t="shared" si="15"/>
        <v>7529.4</v>
      </c>
      <c r="M61" s="591">
        <f t="shared" si="15"/>
        <v>5166.808</v>
      </c>
      <c r="N61" s="591">
        <f t="shared" si="15"/>
        <v>7786.96</v>
      </c>
      <c r="O61" s="591">
        <f t="shared" si="15"/>
        <v>4644.0309999999999</v>
      </c>
      <c r="P61" s="591">
        <f t="shared" si="15"/>
        <v>7460.1</v>
      </c>
      <c r="Q61" s="591">
        <f t="shared" si="15"/>
        <v>6363.88</v>
      </c>
      <c r="R61" s="591">
        <f t="shared" si="15"/>
        <v>7409.66</v>
      </c>
      <c r="S61" s="591">
        <f t="shared" si="15"/>
        <v>7737.27</v>
      </c>
      <c r="T61" s="591">
        <f t="shared" si="15"/>
        <v>7010.89</v>
      </c>
      <c r="U61" s="591">
        <f t="shared" si="15"/>
        <v>7415.14</v>
      </c>
      <c r="V61" s="591">
        <f t="shared" si="15"/>
        <v>6967.37</v>
      </c>
      <c r="W61" s="591">
        <f t="shared" si="15"/>
        <v>4196.7700000000004</v>
      </c>
      <c r="X61" s="591">
        <f t="shared" si="15"/>
        <v>7173.57</v>
      </c>
      <c r="Y61" s="591">
        <f t="shared" si="15"/>
        <v>3720.7</v>
      </c>
      <c r="Z61" s="591">
        <f t="shared" si="15"/>
        <v>7166.13</v>
      </c>
      <c r="AA61" s="591">
        <f t="shared" si="15"/>
        <v>4293.93</v>
      </c>
      <c r="AB61" s="591">
        <f t="shared" si="15"/>
        <v>7664.12</v>
      </c>
      <c r="AC61" s="591">
        <f t="shared" si="15"/>
        <v>4774</v>
      </c>
      <c r="AD61" s="591">
        <f t="shared" si="15"/>
        <v>8495.4750000000004</v>
      </c>
      <c r="AE61" s="591">
        <f t="shared" si="15"/>
        <v>15463.691999999999</v>
      </c>
      <c r="AF61" s="952"/>
      <c r="AG61" s="1063"/>
      <c r="AH61" s="683"/>
    </row>
    <row r="62" spans="1:34" x14ac:dyDescent="0.3">
      <c r="A62" s="593" t="s">
        <v>169</v>
      </c>
      <c r="B62" s="594">
        <f>B68</f>
        <v>0</v>
      </c>
      <c r="C62" s="594">
        <f>H62+J62+L62+N62+P62+R62+T62+V62+X62+Z62+AB62+AD62</f>
        <v>0</v>
      </c>
      <c r="D62" s="594">
        <f>D68</f>
        <v>0</v>
      </c>
      <c r="E62" s="594">
        <f>E68</f>
        <v>0</v>
      </c>
      <c r="F62" s="594">
        <f>IFERROR(E62/B62*100,0)</f>
        <v>0</v>
      </c>
      <c r="G62" s="594">
        <f>IFERROR(E62/C62*100,0)</f>
        <v>0</v>
      </c>
      <c r="H62" s="594">
        <f t="shared" ref="H62:AE65" si="16">H68</f>
        <v>0</v>
      </c>
      <c r="I62" s="594">
        <f t="shared" si="16"/>
        <v>0</v>
      </c>
      <c r="J62" s="594">
        <f t="shared" si="16"/>
        <v>0</v>
      </c>
      <c r="K62" s="594">
        <f t="shared" si="16"/>
        <v>0</v>
      </c>
      <c r="L62" s="594">
        <f t="shared" si="16"/>
        <v>0</v>
      </c>
      <c r="M62" s="594">
        <f t="shared" si="16"/>
        <v>0</v>
      </c>
      <c r="N62" s="594">
        <f t="shared" si="16"/>
        <v>0</v>
      </c>
      <c r="O62" s="594">
        <f t="shared" si="16"/>
        <v>0</v>
      </c>
      <c r="P62" s="594">
        <f t="shared" si="16"/>
        <v>0</v>
      </c>
      <c r="Q62" s="594">
        <f t="shared" si="16"/>
        <v>0</v>
      </c>
      <c r="R62" s="594">
        <f t="shared" si="16"/>
        <v>0</v>
      </c>
      <c r="S62" s="594">
        <f t="shared" si="16"/>
        <v>0</v>
      </c>
      <c r="T62" s="594">
        <f t="shared" si="16"/>
        <v>0</v>
      </c>
      <c r="U62" s="594">
        <f t="shared" si="16"/>
        <v>0</v>
      </c>
      <c r="V62" s="594">
        <f t="shared" si="16"/>
        <v>0</v>
      </c>
      <c r="W62" s="594">
        <f t="shared" si="16"/>
        <v>0</v>
      </c>
      <c r="X62" s="594">
        <f t="shared" si="16"/>
        <v>0</v>
      </c>
      <c r="Y62" s="594">
        <f t="shared" si="16"/>
        <v>0</v>
      </c>
      <c r="Z62" s="594">
        <f t="shared" si="16"/>
        <v>0</v>
      </c>
      <c r="AA62" s="594">
        <f t="shared" si="16"/>
        <v>0</v>
      </c>
      <c r="AB62" s="594">
        <f t="shared" si="16"/>
        <v>0</v>
      </c>
      <c r="AC62" s="594">
        <f t="shared" si="16"/>
        <v>0</v>
      </c>
      <c r="AD62" s="594">
        <f t="shared" si="16"/>
        <v>0</v>
      </c>
      <c r="AE62" s="594">
        <f t="shared" si="16"/>
        <v>0</v>
      </c>
      <c r="AF62" s="952"/>
      <c r="AG62" s="1063"/>
      <c r="AH62" s="683"/>
    </row>
    <row r="63" spans="1:34" x14ac:dyDescent="0.3">
      <c r="A63" s="593" t="s">
        <v>32</v>
      </c>
      <c r="B63" s="594">
        <f t="shared" ref="B63:E65" si="17">B69</f>
        <v>0</v>
      </c>
      <c r="C63" s="594">
        <f>H63+J63+L63+N63+P63+R63+T63+V63+X63+Z63+AB63+AD63</f>
        <v>0</v>
      </c>
      <c r="D63" s="594">
        <f t="shared" si="17"/>
        <v>0</v>
      </c>
      <c r="E63" s="594">
        <f t="shared" si="17"/>
        <v>0</v>
      </c>
      <c r="F63" s="594">
        <f>IFERROR(E63/B63*100,0)</f>
        <v>0</v>
      </c>
      <c r="G63" s="594">
        <f>IFERROR(E63/C63*100,0)</f>
        <v>0</v>
      </c>
      <c r="H63" s="594">
        <f t="shared" si="16"/>
        <v>0</v>
      </c>
      <c r="I63" s="594">
        <f t="shared" si="16"/>
        <v>0</v>
      </c>
      <c r="J63" s="594">
        <f t="shared" si="16"/>
        <v>0</v>
      </c>
      <c r="K63" s="594">
        <f t="shared" si="16"/>
        <v>0</v>
      </c>
      <c r="L63" s="594">
        <f t="shared" si="16"/>
        <v>0</v>
      </c>
      <c r="M63" s="594">
        <f t="shared" si="16"/>
        <v>0</v>
      </c>
      <c r="N63" s="594">
        <f t="shared" si="16"/>
        <v>0</v>
      </c>
      <c r="O63" s="594">
        <f t="shared" si="16"/>
        <v>0</v>
      </c>
      <c r="P63" s="594">
        <f t="shared" si="16"/>
        <v>0</v>
      </c>
      <c r="Q63" s="594">
        <f t="shared" si="16"/>
        <v>0</v>
      </c>
      <c r="R63" s="594">
        <f t="shared" si="16"/>
        <v>0</v>
      </c>
      <c r="S63" s="594">
        <f t="shared" si="16"/>
        <v>0</v>
      </c>
      <c r="T63" s="594">
        <f t="shared" si="16"/>
        <v>0</v>
      </c>
      <c r="U63" s="594">
        <f t="shared" si="16"/>
        <v>0</v>
      </c>
      <c r="V63" s="594">
        <f t="shared" si="16"/>
        <v>0</v>
      </c>
      <c r="W63" s="594">
        <f t="shared" si="16"/>
        <v>0</v>
      </c>
      <c r="X63" s="594">
        <f t="shared" si="16"/>
        <v>0</v>
      </c>
      <c r="Y63" s="594">
        <f t="shared" si="16"/>
        <v>0</v>
      </c>
      <c r="Z63" s="594">
        <f t="shared" si="16"/>
        <v>0</v>
      </c>
      <c r="AA63" s="594">
        <f t="shared" si="16"/>
        <v>0</v>
      </c>
      <c r="AB63" s="594">
        <f t="shared" si="16"/>
        <v>0</v>
      </c>
      <c r="AC63" s="594">
        <f t="shared" si="16"/>
        <v>0</v>
      </c>
      <c r="AD63" s="594">
        <f t="shared" si="16"/>
        <v>0</v>
      </c>
      <c r="AE63" s="594">
        <f t="shared" si="16"/>
        <v>0</v>
      </c>
      <c r="AF63" s="952"/>
      <c r="AG63" s="1063"/>
      <c r="AH63" s="683"/>
    </row>
    <row r="64" spans="1:34" x14ac:dyDescent="0.3">
      <c r="A64" s="593" t="s">
        <v>33</v>
      </c>
      <c r="B64" s="594">
        <f t="shared" si="17"/>
        <v>86347.815000000017</v>
      </c>
      <c r="C64" s="594">
        <f>H64+J64+L64</f>
        <v>19213.54</v>
      </c>
      <c r="D64" s="594">
        <f t="shared" si="17"/>
        <v>71453.845000000001</v>
      </c>
      <c r="E64" s="594">
        <f t="shared" si="17"/>
        <v>71453.845000000001</v>
      </c>
      <c r="F64" s="594">
        <f>IFERROR(E64/B64*100,0)</f>
        <v>82.751190635223367</v>
      </c>
      <c r="G64" s="594"/>
      <c r="H64" s="594">
        <f t="shared" si="16"/>
        <v>4692.24</v>
      </c>
      <c r="I64" s="594">
        <f t="shared" si="16"/>
        <v>1723.4670000000001</v>
      </c>
      <c r="J64" s="594">
        <f t="shared" si="16"/>
        <v>6991.9</v>
      </c>
      <c r="K64" s="594">
        <f t="shared" si="16"/>
        <v>5954.1570000000002</v>
      </c>
      <c r="L64" s="594">
        <f t="shared" si="16"/>
        <v>7529.4</v>
      </c>
      <c r="M64" s="594">
        <f t="shared" si="16"/>
        <v>5166.808</v>
      </c>
      <c r="N64" s="594">
        <f t="shared" si="16"/>
        <v>7786.96</v>
      </c>
      <c r="O64" s="594">
        <f t="shared" si="16"/>
        <v>4644.0309999999999</v>
      </c>
      <c r="P64" s="594">
        <f t="shared" si="16"/>
        <v>7460.1</v>
      </c>
      <c r="Q64" s="594">
        <f t="shared" si="16"/>
        <v>6363.88</v>
      </c>
      <c r="R64" s="594">
        <f t="shared" si="16"/>
        <v>7409.66</v>
      </c>
      <c r="S64" s="594">
        <f t="shared" si="16"/>
        <v>7737.27</v>
      </c>
      <c r="T64" s="594">
        <f t="shared" si="16"/>
        <v>7010.89</v>
      </c>
      <c r="U64" s="594">
        <f t="shared" si="16"/>
        <v>7415.14</v>
      </c>
      <c r="V64" s="594">
        <f t="shared" si="16"/>
        <v>6967.37</v>
      </c>
      <c r="W64" s="594">
        <f t="shared" si="16"/>
        <v>4196.7700000000004</v>
      </c>
      <c r="X64" s="594">
        <f t="shared" si="16"/>
        <v>7173.57</v>
      </c>
      <c r="Y64" s="594">
        <f t="shared" si="16"/>
        <v>3720.7</v>
      </c>
      <c r="Z64" s="594">
        <f t="shared" si="16"/>
        <v>7166.13</v>
      </c>
      <c r="AA64" s="594">
        <f t="shared" si="16"/>
        <v>4293.93</v>
      </c>
      <c r="AB64" s="594">
        <f t="shared" si="16"/>
        <v>7664.12</v>
      </c>
      <c r="AC64" s="594">
        <f t="shared" si="16"/>
        <v>4774</v>
      </c>
      <c r="AD64" s="594">
        <f t="shared" si="16"/>
        <v>8495.4750000000004</v>
      </c>
      <c r="AE64" s="594">
        <f t="shared" si="16"/>
        <v>15463.691999999999</v>
      </c>
      <c r="AF64" s="952"/>
      <c r="AG64" s="1063"/>
      <c r="AH64" s="683"/>
    </row>
    <row r="65" spans="1:35" x14ac:dyDescent="0.3">
      <c r="A65" s="593" t="s">
        <v>170</v>
      </c>
      <c r="B65" s="594">
        <f t="shared" si="17"/>
        <v>0</v>
      </c>
      <c r="C65" s="594">
        <f>H65+J65+L65+N65+P65+R65+T65+V65+X65+Z65+AB65+AD65</f>
        <v>0</v>
      </c>
      <c r="D65" s="594">
        <f t="shared" si="17"/>
        <v>0</v>
      </c>
      <c r="E65" s="594">
        <f t="shared" si="17"/>
        <v>0</v>
      </c>
      <c r="F65" s="594">
        <f>IFERROR(E65/B65*100,0)</f>
        <v>0</v>
      </c>
      <c r="G65" s="594">
        <f>IFERROR(E65/C65*100,0)</f>
        <v>0</v>
      </c>
      <c r="H65" s="594">
        <f t="shared" si="16"/>
        <v>0</v>
      </c>
      <c r="I65" s="594">
        <f t="shared" si="16"/>
        <v>0</v>
      </c>
      <c r="J65" s="594">
        <f t="shared" si="16"/>
        <v>0</v>
      </c>
      <c r="K65" s="594">
        <f t="shared" si="16"/>
        <v>0</v>
      </c>
      <c r="L65" s="594">
        <f t="shared" si="16"/>
        <v>0</v>
      </c>
      <c r="M65" s="594">
        <f t="shared" si="16"/>
        <v>0</v>
      </c>
      <c r="N65" s="594">
        <f t="shared" si="16"/>
        <v>0</v>
      </c>
      <c r="O65" s="594">
        <f t="shared" si="16"/>
        <v>0</v>
      </c>
      <c r="P65" s="594">
        <f t="shared" si="16"/>
        <v>0</v>
      </c>
      <c r="Q65" s="594">
        <f t="shared" si="16"/>
        <v>0</v>
      </c>
      <c r="R65" s="594">
        <f t="shared" si="16"/>
        <v>0</v>
      </c>
      <c r="S65" s="594">
        <f t="shared" si="16"/>
        <v>0</v>
      </c>
      <c r="T65" s="594">
        <f t="shared" si="16"/>
        <v>0</v>
      </c>
      <c r="U65" s="594">
        <f t="shared" si="16"/>
        <v>0</v>
      </c>
      <c r="V65" s="594">
        <f t="shared" si="16"/>
        <v>0</v>
      </c>
      <c r="W65" s="594">
        <f t="shared" si="16"/>
        <v>0</v>
      </c>
      <c r="X65" s="594">
        <f t="shared" si="16"/>
        <v>0</v>
      </c>
      <c r="Y65" s="594">
        <f t="shared" si="16"/>
        <v>0</v>
      </c>
      <c r="Z65" s="594">
        <f t="shared" si="16"/>
        <v>0</v>
      </c>
      <c r="AA65" s="594">
        <f t="shared" si="16"/>
        <v>0</v>
      </c>
      <c r="AB65" s="594">
        <f t="shared" si="16"/>
        <v>0</v>
      </c>
      <c r="AC65" s="594">
        <f t="shared" si="16"/>
        <v>0</v>
      </c>
      <c r="AD65" s="594">
        <f t="shared" si="16"/>
        <v>0</v>
      </c>
      <c r="AE65" s="594">
        <f t="shared" si="16"/>
        <v>0</v>
      </c>
      <c r="AF65" s="952"/>
      <c r="AG65" s="1063"/>
      <c r="AH65" s="683"/>
    </row>
    <row r="66" spans="1:35" ht="101.25" x14ac:dyDescent="0.3">
      <c r="A66" s="713" t="s">
        <v>259</v>
      </c>
      <c r="B66" s="594"/>
      <c r="C66" s="594"/>
      <c r="D66" s="594"/>
      <c r="E66" s="594"/>
      <c r="F66" s="594"/>
      <c r="G66" s="594"/>
      <c r="H66" s="1064"/>
      <c r="I66" s="1064"/>
      <c r="J66" s="1064"/>
      <c r="K66" s="1064"/>
      <c r="L66" s="1064"/>
      <c r="M66" s="1064"/>
      <c r="N66" s="1064"/>
      <c r="O66" s="1064"/>
      <c r="P66" s="1064"/>
      <c r="Q66" s="1064"/>
      <c r="R66" s="1064"/>
      <c r="S66" s="1064"/>
      <c r="T66" s="1064"/>
      <c r="U66" s="1064"/>
      <c r="V66" s="1064"/>
      <c r="W66" s="1064"/>
      <c r="X66" s="1064"/>
      <c r="Y66" s="1064"/>
      <c r="Z66" s="1064"/>
      <c r="AA66" s="1064"/>
      <c r="AB66" s="1064"/>
      <c r="AC66" s="1064"/>
      <c r="AD66" s="1064"/>
      <c r="AE66" s="1064"/>
      <c r="AF66" s="1067" t="s">
        <v>493</v>
      </c>
      <c r="AG66" s="1063"/>
      <c r="AH66" s="683"/>
    </row>
    <row r="67" spans="1:35" x14ac:dyDescent="0.3">
      <c r="A67" s="590" t="s">
        <v>31</v>
      </c>
      <c r="B67" s="591">
        <f>B69+B70+B68+B71</f>
        <v>86347.815000000017</v>
      </c>
      <c r="C67" s="591">
        <f>C69+C70+C68+C71</f>
        <v>19213.54</v>
      </c>
      <c r="D67" s="591">
        <f>D69+D70+D68+D71</f>
        <v>71453.845000000001</v>
      </c>
      <c r="E67" s="591">
        <f>E69+E70+E68+E71</f>
        <v>71453.845000000001</v>
      </c>
      <c r="F67" s="591">
        <f>IFERROR(E67/B67*100,0)</f>
        <v>82.751190635223367</v>
      </c>
      <c r="G67" s="591">
        <f>IFERROR(E67/C67*100,0)</f>
        <v>371.89318053830789</v>
      </c>
      <c r="H67" s="591">
        <f t="shared" ref="H67:AE67" si="18">H69+H70+H68+H71</f>
        <v>4692.24</v>
      </c>
      <c r="I67" s="591">
        <f t="shared" si="18"/>
        <v>1723.4670000000001</v>
      </c>
      <c r="J67" s="591">
        <f t="shared" si="18"/>
        <v>6991.9</v>
      </c>
      <c r="K67" s="591">
        <f t="shared" si="18"/>
        <v>5954.1570000000002</v>
      </c>
      <c r="L67" s="591">
        <f t="shared" si="18"/>
        <v>7529.4</v>
      </c>
      <c r="M67" s="591">
        <f t="shared" si="18"/>
        <v>5166.808</v>
      </c>
      <c r="N67" s="591">
        <f t="shared" si="18"/>
        <v>7786.96</v>
      </c>
      <c r="O67" s="591">
        <f t="shared" si="18"/>
        <v>4644.0309999999999</v>
      </c>
      <c r="P67" s="591">
        <f t="shared" si="18"/>
        <v>7460.1</v>
      </c>
      <c r="Q67" s="591">
        <f t="shared" si="18"/>
        <v>6363.88</v>
      </c>
      <c r="R67" s="591">
        <f t="shared" si="18"/>
        <v>7409.66</v>
      </c>
      <c r="S67" s="591">
        <f t="shared" si="18"/>
        <v>7737.27</v>
      </c>
      <c r="T67" s="591">
        <f t="shared" si="18"/>
        <v>7010.89</v>
      </c>
      <c r="U67" s="591">
        <f t="shared" si="18"/>
        <v>7415.14</v>
      </c>
      <c r="V67" s="591">
        <f t="shared" si="18"/>
        <v>6967.37</v>
      </c>
      <c r="W67" s="591">
        <f t="shared" si="18"/>
        <v>4196.7700000000004</v>
      </c>
      <c r="X67" s="591">
        <f t="shared" si="18"/>
        <v>7173.57</v>
      </c>
      <c r="Y67" s="591">
        <f t="shared" si="18"/>
        <v>3720.7</v>
      </c>
      <c r="Z67" s="591">
        <f t="shared" si="18"/>
        <v>7166.13</v>
      </c>
      <c r="AA67" s="591">
        <f t="shared" si="18"/>
        <v>4293.93</v>
      </c>
      <c r="AB67" s="591">
        <f t="shared" si="18"/>
        <v>7664.12</v>
      </c>
      <c r="AC67" s="591">
        <f t="shared" si="18"/>
        <v>4774</v>
      </c>
      <c r="AD67" s="591">
        <f t="shared" si="18"/>
        <v>8495.4750000000004</v>
      </c>
      <c r="AE67" s="591">
        <f t="shared" si="18"/>
        <v>15463.691999999999</v>
      </c>
      <c r="AF67" s="952"/>
      <c r="AG67" s="1063"/>
      <c r="AH67" s="683"/>
    </row>
    <row r="68" spans="1:35" x14ac:dyDescent="0.3">
      <c r="A68" s="593" t="s">
        <v>169</v>
      </c>
      <c r="B68" s="594">
        <v>0</v>
      </c>
      <c r="C68" s="712">
        <v>0</v>
      </c>
      <c r="D68" s="715">
        <v>0</v>
      </c>
      <c r="E68" s="712">
        <v>0</v>
      </c>
      <c r="F68" s="712">
        <v>0</v>
      </c>
      <c r="G68" s="712">
        <v>0</v>
      </c>
      <c r="H68" s="712">
        <v>0</v>
      </c>
      <c r="I68" s="712">
        <v>0</v>
      </c>
      <c r="J68" s="712">
        <v>0</v>
      </c>
      <c r="K68" s="712">
        <v>0</v>
      </c>
      <c r="L68" s="712">
        <v>0</v>
      </c>
      <c r="M68" s="712">
        <v>0</v>
      </c>
      <c r="N68" s="712">
        <v>0</v>
      </c>
      <c r="O68" s="712">
        <v>0</v>
      </c>
      <c r="P68" s="712">
        <v>0</v>
      </c>
      <c r="Q68" s="712">
        <v>0</v>
      </c>
      <c r="R68" s="712">
        <v>0</v>
      </c>
      <c r="S68" s="712">
        <v>0</v>
      </c>
      <c r="T68" s="712">
        <v>0</v>
      </c>
      <c r="U68" s="712">
        <v>0</v>
      </c>
      <c r="V68" s="712">
        <v>0</v>
      </c>
      <c r="W68" s="712">
        <v>0</v>
      </c>
      <c r="X68" s="712">
        <v>0</v>
      </c>
      <c r="Y68" s="712">
        <v>0</v>
      </c>
      <c r="Z68" s="712">
        <v>0</v>
      </c>
      <c r="AA68" s="712">
        <v>0</v>
      </c>
      <c r="AB68" s="712">
        <v>0</v>
      </c>
      <c r="AC68" s="712">
        <v>0</v>
      </c>
      <c r="AD68" s="712">
        <v>0</v>
      </c>
      <c r="AE68" s="712">
        <v>0</v>
      </c>
      <c r="AF68" s="952"/>
      <c r="AG68" s="1063"/>
      <c r="AH68" s="683"/>
    </row>
    <row r="69" spans="1:35" x14ac:dyDescent="0.3">
      <c r="A69" s="593" t="s">
        <v>32</v>
      </c>
      <c r="B69" s="594">
        <v>0</v>
      </c>
      <c r="C69" s="712">
        <v>0</v>
      </c>
      <c r="D69" s="715">
        <v>0</v>
      </c>
      <c r="E69" s="712">
        <v>0</v>
      </c>
      <c r="F69" s="712">
        <v>0</v>
      </c>
      <c r="G69" s="712">
        <v>0</v>
      </c>
      <c r="H69" s="712">
        <v>0</v>
      </c>
      <c r="I69" s="712">
        <v>0</v>
      </c>
      <c r="J69" s="712">
        <v>0</v>
      </c>
      <c r="K69" s="712">
        <v>0</v>
      </c>
      <c r="L69" s="712">
        <v>0</v>
      </c>
      <c r="M69" s="712">
        <v>0</v>
      </c>
      <c r="N69" s="712">
        <v>0</v>
      </c>
      <c r="O69" s="712">
        <v>0</v>
      </c>
      <c r="P69" s="712">
        <v>0</v>
      </c>
      <c r="Q69" s="712">
        <v>0</v>
      </c>
      <c r="R69" s="712">
        <v>0</v>
      </c>
      <c r="S69" s="712">
        <v>0</v>
      </c>
      <c r="T69" s="712">
        <v>0</v>
      </c>
      <c r="U69" s="712">
        <v>0</v>
      </c>
      <c r="V69" s="712">
        <v>0</v>
      </c>
      <c r="W69" s="712">
        <v>0</v>
      </c>
      <c r="X69" s="712">
        <v>0</v>
      </c>
      <c r="Y69" s="712">
        <v>0</v>
      </c>
      <c r="Z69" s="712">
        <v>0</v>
      </c>
      <c r="AA69" s="712">
        <v>0</v>
      </c>
      <c r="AB69" s="712">
        <v>0</v>
      </c>
      <c r="AC69" s="712">
        <v>0</v>
      </c>
      <c r="AD69" s="712">
        <v>0</v>
      </c>
      <c r="AE69" s="712">
        <v>0</v>
      </c>
      <c r="AF69" s="952"/>
      <c r="AG69" s="1063"/>
      <c r="AH69" s="683"/>
    </row>
    <row r="70" spans="1:35" ht="20.25" x14ac:dyDescent="0.3">
      <c r="A70" s="593" t="s">
        <v>33</v>
      </c>
      <c r="B70" s="594">
        <f>J70+L70+N70+P70+R70+T70+V70+X70+Z70+AB70+AD70+H70</f>
        <v>86347.815000000017</v>
      </c>
      <c r="C70" s="712">
        <f>H70+J70+L70</f>
        <v>19213.54</v>
      </c>
      <c r="D70" s="715">
        <f>E70</f>
        <v>71453.845000000001</v>
      </c>
      <c r="E70" s="712">
        <f>SUM(I70,K70,M70,O70,Q70,S70,U70,W70,Y70,AA70,AC70,AE70)</f>
        <v>71453.845000000001</v>
      </c>
      <c r="F70" s="594">
        <f>IFERROR(E70/B70*100,0)</f>
        <v>82.751190635223367</v>
      </c>
      <c r="G70" s="594">
        <f>IFERROR(E70/C70*100,0)</f>
        <v>371.89318053830789</v>
      </c>
      <c r="H70" s="1064">
        <v>4692.24</v>
      </c>
      <c r="I70" s="1064">
        <v>1723.4670000000001</v>
      </c>
      <c r="J70" s="1064">
        <v>6991.9</v>
      </c>
      <c r="K70" s="1064">
        <v>5954.1570000000002</v>
      </c>
      <c r="L70" s="1064">
        <v>7529.4</v>
      </c>
      <c r="M70" s="1064">
        <v>5166.808</v>
      </c>
      <c r="N70" s="1064">
        <v>7786.96</v>
      </c>
      <c r="O70" s="1064">
        <v>4644.0309999999999</v>
      </c>
      <c r="P70" s="1064">
        <v>7460.1</v>
      </c>
      <c r="Q70" s="1068">
        <v>6363.88</v>
      </c>
      <c r="R70" s="1064">
        <v>7409.66</v>
      </c>
      <c r="S70" s="1064">
        <v>7737.27</v>
      </c>
      <c r="T70" s="1064">
        <v>7010.89</v>
      </c>
      <c r="U70" s="1064">
        <v>7415.14</v>
      </c>
      <c r="V70" s="1064">
        <v>6967.37</v>
      </c>
      <c r="W70" s="1064">
        <v>4196.7700000000004</v>
      </c>
      <c r="X70" s="1064">
        <v>7173.57</v>
      </c>
      <c r="Y70" s="1064">
        <v>3720.7</v>
      </c>
      <c r="Z70" s="1064">
        <v>7166.13</v>
      </c>
      <c r="AA70" s="1064">
        <v>4293.93</v>
      </c>
      <c r="AB70" s="1064">
        <v>7664.12</v>
      </c>
      <c r="AC70" s="1064">
        <v>4774</v>
      </c>
      <c r="AD70" s="1082">
        <v>8495.4750000000004</v>
      </c>
      <c r="AE70" s="1081">
        <v>15463.691999999999</v>
      </c>
      <c r="AF70" s="952"/>
      <c r="AG70" s="1063"/>
      <c r="AH70" s="683"/>
    </row>
    <row r="71" spans="1:35" x14ac:dyDescent="0.3">
      <c r="A71" s="593" t="s">
        <v>170</v>
      </c>
      <c r="B71" s="594"/>
      <c r="C71" s="712"/>
      <c r="D71" s="715"/>
      <c r="E71" s="712"/>
      <c r="F71" s="594"/>
      <c r="G71" s="594"/>
      <c r="H71" s="1064"/>
      <c r="I71" s="1064"/>
      <c r="J71" s="1064"/>
      <c r="K71" s="1064"/>
      <c r="L71" s="1064"/>
      <c r="M71" s="1064"/>
      <c r="N71" s="1064"/>
      <c r="O71" s="1064"/>
      <c r="P71" s="1064"/>
      <c r="Q71" s="1064"/>
      <c r="R71" s="1064"/>
      <c r="S71" s="1064"/>
      <c r="T71" s="1064"/>
      <c r="U71" s="1064"/>
      <c r="V71" s="1064"/>
      <c r="W71" s="1064"/>
      <c r="X71" s="1064"/>
      <c r="Y71" s="1064"/>
      <c r="Z71" s="1064"/>
      <c r="AA71" s="1064"/>
      <c r="AB71" s="1064"/>
      <c r="AC71" s="1064"/>
      <c r="AD71" s="1064"/>
      <c r="AE71" s="1064"/>
      <c r="AF71" s="952"/>
      <c r="AG71" s="1063"/>
      <c r="AH71" s="683"/>
    </row>
    <row r="72" spans="1:35" ht="75" x14ac:dyDescent="0.3">
      <c r="A72" s="596" t="s">
        <v>260</v>
      </c>
      <c r="B72" s="591"/>
      <c r="C72" s="591"/>
      <c r="D72" s="591"/>
      <c r="E72" s="591"/>
      <c r="F72" s="591"/>
      <c r="G72" s="591"/>
      <c r="H72" s="591"/>
      <c r="I72" s="591"/>
      <c r="J72" s="591"/>
      <c r="K72" s="591"/>
      <c r="L72" s="591"/>
      <c r="M72" s="591"/>
      <c r="N72" s="591"/>
      <c r="O72" s="591"/>
      <c r="P72" s="591"/>
      <c r="Q72" s="591"/>
      <c r="R72" s="591"/>
      <c r="S72" s="591"/>
      <c r="T72" s="591"/>
      <c r="U72" s="591"/>
      <c r="V72" s="591"/>
      <c r="W72" s="591"/>
      <c r="X72" s="591"/>
      <c r="Y72" s="591"/>
      <c r="Z72" s="591"/>
      <c r="AA72" s="591"/>
      <c r="AB72" s="591"/>
      <c r="AC72" s="591"/>
      <c r="AD72" s="591"/>
      <c r="AE72" s="591"/>
      <c r="AF72" s="952"/>
      <c r="AG72" s="1063"/>
      <c r="AH72" s="683"/>
    </row>
    <row r="73" spans="1:35" x14ac:dyDescent="0.3">
      <c r="A73" s="598" t="s">
        <v>31</v>
      </c>
      <c r="B73" s="591">
        <f ca="1">B74+B75+B76+B77</f>
        <v>3491.4</v>
      </c>
      <c r="C73" s="591">
        <f ca="1">C74+C75+C76</f>
        <v>3491.4</v>
      </c>
      <c r="D73" s="591">
        <f ca="1">D74+D75+D76</f>
        <v>3491.4</v>
      </c>
      <c r="E73" s="591">
        <f ca="1">E74+E75+E76</f>
        <v>3491.4</v>
      </c>
      <c r="F73" s="592">
        <f ca="1">IFERROR(E73/B73*100,0)</f>
        <v>100</v>
      </c>
      <c r="G73" s="592">
        <f ca="1">IFERROR(E73/C73*100,0)</f>
        <v>100</v>
      </c>
      <c r="H73" s="591">
        <f ca="1">H74+H75+H76+H77</f>
        <v>1750</v>
      </c>
      <c r="I73" s="591">
        <f t="shared" ref="I73:AE73" ca="1" si="19">I74+I75+I76+I77</f>
        <v>1750</v>
      </c>
      <c r="J73" s="591">
        <f t="shared" ca="1" si="19"/>
        <v>1741.4</v>
      </c>
      <c r="K73" s="591">
        <f>SUM(K76)</f>
        <v>150</v>
      </c>
      <c r="L73" s="591">
        <f>SUM(L76)</f>
        <v>0</v>
      </c>
      <c r="M73" s="591">
        <f>SUM(M76)</f>
        <v>0</v>
      </c>
      <c r="N73" s="591">
        <f t="shared" ca="1" si="19"/>
        <v>0</v>
      </c>
      <c r="O73" s="591">
        <f t="shared" ca="1" si="19"/>
        <v>1591.4</v>
      </c>
      <c r="P73" s="591">
        <f t="shared" ca="1" si="19"/>
        <v>0</v>
      </c>
      <c r="Q73" s="591">
        <f t="shared" ca="1" si="19"/>
        <v>0</v>
      </c>
      <c r="R73" s="591">
        <f t="shared" ca="1" si="19"/>
        <v>0</v>
      </c>
      <c r="S73" s="591">
        <f t="shared" ca="1" si="19"/>
        <v>0</v>
      </c>
      <c r="T73" s="591">
        <f t="shared" ca="1" si="19"/>
        <v>0</v>
      </c>
      <c r="U73" s="591">
        <f t="shared" ca="1" si="19"/>
        <v>0</v>
      </c>
      <c r="V73" s="591">
        <f t="shared" ca="1" si="19"/>
        <v>0</v>
      </c>
      <c r="W73" s="591">
        <f t="shared" ca="1" si="19"/>
        <v>0</v>
      </c>
      <c r="X73" s="591">
        <f t="shared" ca="1" si="19"/>
        <v>0</v>
      </c>
      <c r="Y73" s="591">
        <f t="shared" ca="1" si="19"/>
        <v>0</v>
      </c>
      <c r="Z73" s="591">
        <f t="shared" ca="1" si="19"/>
        <v>0</v>
      </c>
      <c r="AA73" s="591">
        <f t="shared" ca="1" si="19"/>
        <v>0</v>
      </c>
      <c r="AB73" s="591">
        <f t="shared" ca="1" si="19"/>
        <v>0</v>
      </c>
      <c r="AC73" s="591">
        <f t="shared" ca="1" si="19"/>
        <v>0</v>
      </c>
      <c r="AD73" s="591">
        <f t="shared" ca="1" si="19"/>
        <v>0</v>
      </c>
      <c r="AE73" s="591">
        <f t="shared" ca="1" si="19"/>
        <v>0</v>
      </c>
      <c r="AF73" s="952"/>
      <c r="AG73" s="1063"/>
      <c r="AH73" s="683"/>
    </row>
    <row r="74" spans="1:35" x14ac:dyDescent="0.3">
      <c r="A74" s="599" t="s">
        <v>169</v>
      </c>
      <c r="B74" s="594">
        <f ca="1">J74+L74+N74+P74+R74+T74+V74+X74+Z74+AB74+AD74+H74</f>
        <v>0</v>
      </c>
      <c r="C74" s="594">
        <f ca="1">H74+J74+L74+N74+P74+R74+T74+V74+X74+Z74+AB74+AD74</f>
        <v>0</v>
      </c>
      <c r="D74" s="594">
        <f ca="1">E74</f>
        <v>0</v>
      </c>
      <c r="E74" s="594">
        <f ca="1">SUM(I74,K74,M74,O74,Q74,S74,U74,W74,Y74,AA74,AC74,AE74)</f>
        <v>0</v>
      </c>
      <c r="F74" s="594">
        <f ca="1">IFERROR(E74/B74*100,0)</f>
        <v>0</v>
      </c>
      <c r="G74" s="594">
        <f ca="1">IFERROR(E74/C74*100,0)</f>
        <v>0</v>
      </c>
      <c r="H74" s="594">
        <f t="shared" ref="H74:W75" ca="1" si="20">IFERROR(F74/D74*100,0)</f>
        <v>0</v>
      </c>
      <c r="I74" s="594">
        <f t="shared" ca="1" si="20"/>
        <v>0</v>
      </c>
      <c r="J74" s="594">
        <f t="shared" ca="1" si="20"/>
        <v>0</v>
      </c>
      <c r="K74" s="594">
        <f t="shared" ca="1" si="20"/>
        <v>0</v>
      </c>
      <c r="L74" s="594">
        <f t="shared" ca="1" si="20"/>
        <v>0</v>
      </c>
      <c r="M74" s="594">
        <f t="shared" ca="1" si="20"/>
        <v>0</v>
      </c>
      <c r="N74" s="594">
        <f t="shared" ca="1" si="20"/>
        <v>0</v>
      </c>
      <c r="O74" s="594">
        <f t="shared" ca="1" si="20"/>
        <v>0</v>
      </c>
      <c r="P74" s="594">
        <f t="shared" ca="1" si="20"/>
        <v>0</v>
      </c>
      <c r="Q74" s="594">
        <f t="shared" ca="1" si="20"/>
        <v>0</v>
      </c>
      <c r="R74" s="594">
        <f t="shared" ca="1" si="20"/>
        <v>0</v>
      </c>
      <c r="S74" s="594">
        <f t="shared" ca="1" si="20"/>
        <v>0</v>
      </c>
      <c r="T74" s="594">
        <f t="shared" ca="1" si="20"/>
        <v>0</v>
      </c>
      <c r="U74" s="594">
        <f t="shared" ca="1" si="20"/>
        <v>0</v>
      </c>
      <c r="V74" s="594">
        <f t="shared" ca="1" si="20"/>
        <v>0</v>
      </c>
      <c r="W74" s="594">
        <f t="shared" ca="1" si="20"/>
        <v>0</v>
      </c>
      <c r="X74" s="594">
        <f t="shared" ref="R74:AE75" ca="1" si="21">IFERROR(V74/T74*100,0)</f>
        <v>0</v>
      </c>
      <c r="Y74" s="594">
        <f t="shared" ca="1" si="21"/>
        <v>0</v>
      </c>
      <c r="Z74" s="594">
        <f t="shared" ca="1" si="21"/>
        <v>0</v>
      </c>
      <c r="AA74" s="594">
        <f t="shared" ca="1" si="21"/>
        <v>0</v>
      </c>
      <c r="AB74" s="594">
        <f t="shared" ca="1" si="21"/>
        <v>0</v>
      </c>
      <c r="AC74" s="594">
        <f t="shared" ca="1" si="21"/>
        <v>0</v>
      </c>
      <c r="AD74" s="594">
        <f t="shared" ca="1" si="21"/>
        <v>0</v>
      </c>
      <c r="AE74" s="594">
        <f t="shared" ca="1" si="21"/>
        <v>0</v>
      </c>
      <c r="AF74" s="952"/>
      <c r="AG74" s="1063"/>
      <c r="AH74" s="683"/>
    </row>
    <row r="75" spans="1:35" x14ac:dyDescent="0.3">
      <c r="A75" s="599" t="s">
        <v>32</v>
      </c>
      <c r="B75" s="594">
        <f ca="1">J75+L75+N75+P75+R75+T75+V75+X75+Z75+AB75+AD75+H75</f>
        <v>0</v>
      </c>
      <c r="C75" s="594">
        <f ca="1">H75+J75+L75+N75+P75+R75+T75+V75+X75+Z75+AB75+AD75</f>
        <v>0</v>
      </c>
      <c r="D75" s="594">
        <f ca="1">E75</f>
        <v>0</v>
      </c>
      <c r="E75" s="594">
        <f ca="1">SUM(I75,K75,M75,O75,Q75,S75,U75,W75,Y75,AA75,AC75,AE75)</f>
        <v>0</v>
      </c>
      <c r="F75" s="594">
        <f ca="1">IFERROR(E75/B75*100,0)</f>
        <v>0</v>
      </c>
      <c r="G75" s="594">
        <f ca="1">IFERROR(E75/C75*100,0)</f>
        <v>0</v>
      </c>
      <c r="H75" s="594">
        <f t="shared" ca="1" si="20"/>
        <v>0</v>
      </c>
      <c r="I75" s="594">
        <f t="shared" ca="1" si="20"/>
        <v>0</v>
      </c>
      <c r="J75" s="594">
        <f t="shared" ca="1" si="20"/>
        <v>0</v>
      </c>
      <c r="K75" s="594">
        <f t="shared" ca="1" si="20"/>
        <v>0</v>
      </c>
      <c r="L75" s="594">
        <f t="shared" ca="1" si="20"/>
        <v>0</v>
      </c>
      <c r="M75" s="594">
        <f t="shared" ca="1" si="20"/>
        <v>0</v>
      </c>
      <c r="N75" s="594">
        <f t="shared" ca="1" si="20"/>
        <v>0</v>
      </c>
      <c r="O75" s="594">
        <f t="shared" ca="1" si="20"/>
        <v>0</v>
      </c>
      <c r="P75" s="594">
        <f t="shared" ca="1" si="20"/>
        <v>0</v>
      </c>
      <c r="Q75" s="594">
        <f t="shared" ca="1" si="20"/>
        <v>0</v>
      </c>
      <c r="R75" s="594">
        <f t="shared" ca="1" si="21"/>
        <v>0</v>
      </c>
      <c r="S75" s="594">
        <f t="shared" ca="1" si="21"/>
        <v>0</v>
      </c>
      <c r="T75" s="594">
        <f t="shared" ca="1" si="21"/>
        <v>0</v>
      </c>
      <c r="U75" s="594">
        <f t="shared" ca="1" si="21"/>
        <v>0</v>
      </c>
      <c r="V75" s="594">
        <f t="shared" ca="1" si="21"/>
        <v>0</v>
      </c>
      <c r="W75" s="594">
        <f t="shared" ca="1" si="21"/>
        <v>0</v>
      </c>
      <c r="X75" s="594">
        <f t="shared" ca="1" si="21"/>
        <v>0</v>
      </c>
      <c r="Y75" s="594">
        <f t="shared" ca="1" si="21"/>
        <v>0</v>
      </c>
      <c r="Z75" s="594">
        <f t="shared" ca="1" si="21"/>
        <v>0</v>
      </c>
      <c r="AA75" s="594">
        <f t="shared" ca="1" si="21"/>
        <v>0</v>
      </c>
      <c r="AB75" s="594">
        <f t="shared" ca="1" si="21"/>
        <v>0</v>
      </c>
      <c r="AC75" s="594">
        <f t="shared" ca="1" si="21"/>
        <v>0</v>
      </c>
      <c r="AD75" s="594">
        <f t="shared" ca="1" si="21"/>
        <v>0</v>
      </c>
      <c r="AE75" s="594">
        <f t="shared" ca="1" si="21"/>
        <v>0</v>
      </c>
      <c r="AF75" s="952"/>
      <c r="AG75" s="1063"/>
      <c r="AH75" s="683"/>
    </row>
    <row r="76" spans="1:35" ht="81.75" customHeight="1" x14ac:dyDescent="0.3">
      <c r="A76" s="599" t="s">
        <v>33</v>
      </c>
      <c r="B76" s="594">
        <f>J76+L76+N76+P76+R76+T76+V76+X76+Z76+AB76+AD76+H76</f>
        <v>3491.4</v>
      </c>
      <c r="C76" s="594">
        <f>H76+J76+L76</f>
        <v>3491.4</v>
      </c>
      <c r="D76" s="594">
        <f>E76</f>
        <v>3491.4</v>
      </c>
      <c r="E76" s="594">
        <f>SUM(I76,K76,M76,O76,Q76,S76,U76,W76,Y76,AA76,AC76,AE76)</f>
        <v>3491.4</v>
      </c>
      <c r="F76" s="594">
        <f>IFERROR(E76/B76*100,0)</f>
        <v>100</v>
      </c>
      <c r="G76" s="594">
        <f>IFERROR(E76/C76*100,0)</f>
        <v>100</v>
      </c>
      <c r="H76" s="594">
        <v>1750</v>
      </c>
      <c r="I76" s="594">
        <v>1750</v>
      </c>
      <c r="J76" s="594">
        <f>150+1591.4</f>
        <v>1741.4</v>
      </c>
      <c r="K76" s="594">
        <v>150</v>
      </c>
      <c r="L76" s="594">
        <v>0</v>
      </c>
      <c r="M76" s="594">
        <v>0</v>
      </c>
      <c r="N76" s="594">
        <v>0</v>
      </c>
      <c r="O76" s="594">
        <v>1591.4</v>
      </c>
      <c r="P76" s="594">
        <v>0</v>
      </c>
      <c r="Q76" s="594">
        <v>0</v>
      </c>
      <c r="R76" s="594">
        <v>0</v>
      </c>
      <c r="S76" s="594">
        <v>0</v>
      </c>
      <c r="T76" s="594">
        <v>0</v>
      </c>
      <c r="U76" s="594">
        <v>0</v>
      </c>
      <c r="V76" s="594">
        <v>0</v>
      </c>
      <c r="W76" s="594">
        <v>0</v>
      </c>
      <c r="X76" s="594">
        <v>0</v>
      </c>
      <c r="Y76" s="594">
        <v>0</v>
      </c>
      <c r="Z76" s="594">
        <v>0</v>
      </c>
      <c r="AA76" s="594">
        <v>0</v>
      </c>
      <c r="AB76" s="594">
        <v>0</v>
      </c>
      <c r="AC76" s="594">
        <v>0</v>
      </c>
      <c r="AD76" s="594">
        <v>0</v>
      </c>
      <c r="AE76" s="594">
        <v>0</v>
      </c>
      <c r="AF76" s="1069" t="s">
        <v>505</v>
      </c>
      <c r="AG76" s="1063"/>
      <c r="AH76" s="683"/>
      <c r="AI76" s="1070"/>
    </row>
    <row r="77" spans="1:35" x14ac:dyDescent="0.3">
      <c r="A77" s="599" t="s">
        <v>170</v>
      </c>
      <c r="B77" s="594">
        <f>J77+L77+N77+P77+R77+T77+V77+X77+Z77+AB77+AD77+H77</f>
        <v>0</v>
      </c>
      <c r="C77" s="594">
        <f>H77+J77+L77+N77+P77+R77+T77+V77+X77+Z77+AB77+AD77</f>
        <v>0</v>
      </c>
      <c r="D77" s="594">
        <f>E77</f>
        <v>0</v>
      </c>
      <c r="E77" s="594">
        <f>SUM(I77,K77,M77,O77,Q77,S77,U77,W77,Y77,AA77,AC77,AE77)</f>
        <v>0</v>
      </c>
      <c r="F77" s="594">
        <f>IFERROR(E77/B77*100,0)</f>
        <v>0</v>
      </c>
      <c r="G77" s="594">
        <f>IFERROR(E77/C77*100,0)</f>
        <v>0</v>
      </c>
      <c r="H77" s="594"/>
      <c r="I77" s="594"/>
      <c r="J77" s="594"/>
      <c r="K77" s="594"/>
      <c r="L77" s="594"/>
      <c r="M77" s="594"/>
      <c r="N77" s="594"/>
      <c r="O77" s="594"/>
      <c r="P77" s="594"/>
      <c r="Q77" s="594"/>
      <c r="R77" s="594"/>
      <c r="S77" s="594"/>
      <c r="T77" s="594"/>
      <c r="U77" s="594"/>
      <c r="V77" s="594"/>
      <c r="W77" s="594"/>
      <c r="X77" s="594"/>
      <c r="Y77" s="594"/>
      <c r="Z77" s="594"/>
      <c r="AA77" s="594"/>
      <c r="AB77" s="594"/>
      <c r="AC77" s="594"/>
      <c r="AD77" s="594"/>
      <c r="AE77" s="594"/>
      <c r="AF77" s="952"/>
      <c r="AG77" s="1063"/>
      <c r="AH77" s="683"/>
    </row>
    <row r="78" spans="1:35" ht="78.75" x14ac:dyDescent="0.3">
      <c r="A78" s="596" t="s">
        <v>261</v>
      </c>
      <c r="B78" s="591"/>
      <c r="C78" s="591"/>
      <c r="D78" s="591"/>
      <c r="E78" s="591"/>
      <c r="F78" s="591"/>
      <c r="G78" s="591"/>
      <c r="H78" s="591"/>
      <c r="I78" s="591"/>
      <c r="J78" s="591"/>
      <c r="K78" s="591"/>
      <c r="L78" s="591"/>
      <c r="M78" s="591"/>
      <c r="N78" s="591"/>
      <c r="O78" s="591"/>
      <c r="P78" s="591"/>
      <c r="Q78" s="591"/>
      <c r="R78" s="591"/>
      <c r="S78" s="591"/>
      <c r="T78" s="591"/>
      <c r="U78" s="591"/>
      <c r="V78" s="591"/>
      <c r="W78" s="591"/>
      <c r="X78" s="591"/>
      <c r="Y78" s="591"/>
      <c r="Z78" s="591"/>
      <c r="AA78" s="591"/>
      <c r="AB78" s="591"/>
      <c r="AC78" s="591"/>
      <c r="AD78" s="591"/>
      <c r="AE78" s="591"/>
      <c r="AF78" s="1077" t="s">
        <v>691</v>
      </c>
      <c r="AG78" s="1063"/>
      <c r="AH78" s="683"/>
    </row>
    <row r="79" spans="1:35" x14ac:dyDescent="0.3">
      <c r="A79" s="598" t="s">
        <v>31</v>
      </c>
      <c r="B79" s="591">
        <f>B80+B81+B82+B83</f>
        <v>5574.1052600000003</v>
      </c>
      <c r="C79" s="591">
        <f>C80+C81+C82</f>
        <v>0</v>
      </c>
      <c r="D79" s="591">
        <f>D80+D81+D82</f>
        <v>0</v>
      </c>
      <c r="E79" s="591">
        <f>E80+E81+E82</f>
        <v>0</v>
      </c>
      <c r="F79" s="591">
        <f>IFERROR(E79/B79*100,0)</f>
        <v>0</v>
      </c>
      <c r="G79" s="591">
        <f>IFERROR(E79/C79*100,0)</f>
        <v>0</v>
      </c>
      <c r="H79" s="591">
        <f>H80+H81+H82</f>
        <v>0</v>
      </c>
      <c r="I79" s="591">
        <f t="shared" ref="I79:AE79" si="22">I80+I81+I82</f>
        <v>0</v>
      </c>
      <c r="J79" s="591">
        <f t="shared" si="22"/>
        <v>0</v>
      </c>
      <c r="K79" s="591">
        <f t="shared" si="22"/>
        <v>0</v>
      </c>
      <c r="L79" s="591">
        <f t="shared" si="22"/>
        <v>0</v>
      </c>
      <c r="M79" s="591">
        <f t="shared" si="22"/>
        <v>0</v>
      </c>
      <c r="N79" s="591">
        <f t="shared" si="22"/>
        <v>0</v>
      </c>
      <c r="O79" s="591">
        <f t="shared" si="22"/>
        <v>0</v>
      </c>
      <c r="P79" s="591">
        <f t="shared" si="22"/>
        <v>0</v>
      </c>
      <c r="Q79" s="591">
        <f t="shared" si="22"/>
        <v>0</v>
      </c>
      <c r="R79" s="591">
        <f t="shared" si="22"/>
        <v>0</v>
      </c>
      <c r="S79" s="591">
        <f t="shared" si="22"/>
        <v>0</v>
      </c>
      <c r="T79" s="591">
        <f t="shared" si="22"/>
        <v>0</v>
      </c>
      <c r="U79" s="591">
        <f t="shared" si="22"/>
        <v>0</v>
      </c>
      <c r="V79" s="591">
        <f t="shared" si="22"/>
        <v>0</v>
      </c>
      <c r="W79" s="591">
        <f t="shared" si="22"/>
        <v>0</v>
      </c>
      <c r="X79" s="591">
        <f t="shared" si="22"/>
        <v>0</v>
      </c>
      <c r="Y79" s="591">
        <f t="shared" si="22"/>
        <v>0</v>
      </c>
      <c r="Z79" s="591">
        <f t="shared" si="22"/>
        <v>0</v>
      </c>
      <c r="AA79" s="591">
        <f t="shared" si="22"/>
        <v>0</v>
      </c>
      <c r="AB79" s="591">
        <f t="shared" si="22"/>
        <v>0</v>
      </c>
      <c r="AC79" s="591">
        <f t="shared" si="22"/>
        <v>0</v>
      </c>
      <c r="AD79" s="591">
        <f t="shared" si="22"/>
        <v>5574.1052600000003</v>
      </c>
      <c r="AE79" s="591">
        <f t="shared" si="22"/>
        <v>0</v>
      </c>
      <c r="AF79" s="1079"/>
      <c r="AG79" s="1063"/>
      <c r="AH79" s="683"/>
    </row>
    <row r="80" spans="1:35" x14ac:dyDescent="0.3">
      <c r="A80" s="599" t="s">
        <v>169</v>
      </c>
      <c r="B80" s="594">
        <f>B86+B92</f>
        <v>0</v>
      </c>
      <c r="C80" s="594">
        <f>C86+C92</f>
        <v>0</v>
      </c>
      <c r="D80" s="594">
        <f>D86+D92</f>
        <v>0</v>
      </c>
      <c r="E80" s="594">
        <f>E86+E92</f>
        <v>0</v>
      </c>
      <c r="F80" s="594">
        <f>IFERROR(E80/B80*100,0)</f>
        <v>0</v>
      </c>
      <c r="G80" s="594">
        <f>IFERROR(E80/C80*100,0)</f>
        <v>0</v>
      </c>
      <c r="H80" s="594">
        <f t="shared" ref="H80:AE83" si="23">H86+H92</f>
        <v>0</v>
      </c>
      <c r="I80" s="594">
        <f t="shared" si="23"/>
        <v>0</v>
      </c>
      <c r="J80" s="594">
        <f t="shared" si="23"/>
        <v>0</v>
      </c>
      <c r="K80" s="594">
        <f t="shared" si="23"/>
        <v>0</v>
      </c>
      <c r="L80" s="594">
        <f t="shared" si="23"/>
        <v>0</v>
      </c>
      <c r="M80" s="594">
        <f t="shared" si="23"/>
        <v>0</v>
      </c>
      <c r="N80" s="594">
        <f t="shared" si="23"/>
        <v>0</v>
      </c>
      <c r="O80" s="594">
        <f t="shared" si="23"/>
        <v>0</v>
      </c>
      <c r="P80" s="594">
        <f t="shared" si="23"/>
        <v>0</v>
      </c>
      <c r="Q80" s="594">
        <f t="shared" si="23"/>
        <v>0</v>
      </c>
      <c r="R80" s="594">
        <f t="shared" si="23"/>
        <v>0</v>
      </c>
      <c r="S80" s="594">
        <f t="shared" si="23"/>
        <v>0</v>
      </c>
      <c r="T80" s="594">
        <f t="shared" si="23"/>
        <v>0</v>
      </c>
      <c r="U80" s="594">
        <f t="shared" si="23"/>
        <v>0</v>
      </c>
      <c r="V80" s="594">
        <f t="shared" si="23"/>
        <v>0</v>
      </c>
      <c r="W80" s="594">
        <f t="shared" si="23"/>
        <v>0</v>
      </c>
      <c r="X80" s="594">
        <f t="shared" si="23"/>
        <v>0</v>
      </c>
      <c r="Y80" s="594">
        <f t="shared" si="23"/>
        <v>0</v>
      </c>
      <c r="Z80" s="594">
        <f t="shared" si="23"/>
        <v>0</v>
      </c>
      <c r="AA80" s="594">
        <f t="shared" si="23"/>
        <v>0</v>
      </c>
      <c r="AB80" s="594">
        <f t="shared" si="23"/>
        <v>0</v>
      </c>
      <c r="AC80" s="594">
        <f t="shared" si="23"/>
        <v>0</v>
      </c>
      <c r="AD80" s="594">
        <f t="shared" si="23"/>
        <v>0</v>
      </c>
      <c r="AE80" s="594">
        <f t="shared" si="23"/>
        <v>0</v>
      </c>
      <c r="AF80" s="1079"/>
      <c r="AG80" s="1063"/>
      <c r="AH80" s="683"/>
    </row>
    <row r="81" spans="1:34" x14ac:dyDescent="0.3">
      <c r="A81" s="599" t="s">
        <v>32</v>
      </c>
      <c r="B81" s="594">
        <f t="shared" ref="B81:E83" si="24">B87+B93</f>
        <v>0</v>
      </c>
      <c r="C81" s="594">
        <f t="shared" si="24"/>
        <v>0</v>
      </c>
      <c r="D81" s="594">
        <f t="shared" si="24"/>
        <v>0</v>
      </c>
      <c r="E81" s="594">
        <f t="shared" si="24"/>
        <v>0</v>
      </c>
      <c r="F81" s="594">
        <f>IFERROR(E81/B81*100,0)</f>
        <v>0</v>
      </c>
      <c r="G81" s="594">
        <f>IFERROR(E81/C81*100,0)</f>
        <v>0</v>
      </c>
      <c r="H81" s="594">
        <f t="shared" si="23"/>
        <v>0</v>
      </c>
      <c r="I81" s="594">
        <f t="shared" si="23"/>
        <v>0</v>
      </c>
      <c r="J81" s="594">
        <f t="shared" si="23"/>
        <v>0</v>
      </c>
      <c r="K81" s="594">
        <f t="shared" si="23"/>
        <v>0</v>
      </c>
      <c r="L81" s="594">
        <f t="shared" si="23"/>
        <v>0</v>
      </c>
      <c r="M81" s="594">
        <f t="shared" si="23"/>
        <v>0</v>
      </c>
      <c r="N81" s="594">
        <f t="shared" si="23"/>
        <v>0</v>
      </c>
      <c r="O81" s="594">
        <f t="shared" si="23"/>
        <v>0</v>
      </c>
      <c r="P81" s="594">
        <f t="shared" si="23"/>
        <v>0</v>
      </c>
      <c r="Q81" s="594">
        <f t="shared" si="23"/>
        <v>0</v>
      </c>
      <c r="R81" s="594">
        <f t="shared" si="23"/>
        <v>0</v>
      </c>
      <c r="S81" s="594">
        <f t="shared" si="23"/>
        <v>0</v>
      </c>
      <c r="T81" s="594">
        <f t="shared" si="23"/>
        <v>0</v>
      </c>
      <c r="U81" s="594">
        <f t="shared" si="23"/>
        <v>0</v>
      </c>
      <c r="V81" s="594">
        <f t="shared" si="23"/>
        <v>0</v>
      </c>
      <c r="W81" s="594">
        <f t="shared" si="23"/>
        <v>0</v>
      </c>
      <c r="X81" s="594">
        <f t="shared" si="23"/>
        <v>0</v>
      </c>
      <c r="Y81" s="594">
        <f t="shared" si="23"/>
        <v>0</v>
      </c>
      <c r="Z81" s="594">
        <f t="shared" si="23"/>
        <v>0</v>
      </c>
      <c r="AA81" s="594">
        <f t="shared" si="23"/>
        <v>0</v>
      </c>
      <c r="AB81" s="594">
        <f t="shared" si="23"/>
        <v>0</v>
      </c>
      <c r="AC81" s="594">
        <f t="shared" si="23"/>
        <v>0</v>
      </c>
      <c r="AD81" s="594">
        <f t="shared" si="23"/>
        <v>0</v>
      </c>
      <c r="AE81" s="594">
        <f t="shared" si="23"/>
        <v>0</v>
      </c>
      <c r="AF81" s="1079"/>
      <c r="AG81" s="1063"/>
      <c r="AH81" s="683"/>
    </row>
    <row r="82" spans="1:34" x14ac:dyDescent="0.3">
      <c r="A82" s="599" t="s">
        <v>33</v>
      </c>
      <c r="B82" s="594">
        <f t="shared" si="24"/>
        <v>5574.1052600000003</v>
      </c>
      <c r="C82" s="594">
        <f>H82+J82+L82</f>
        <v>0</v>
      </c>
      <c r="D82" s="594">
        <f t="shared" si="24"/>
        <v>0</v>
      </c>
      <c r="E82" s="594">
        <f t="shared" si="24"/>
        <v>0</v>
      </c>
      <c r="F82" s="594">
        <f>IFERROR(E82/B82*100,0)</f>
        <v>0</v>
      </c>
      <c r="G82" s="594">
        <f>IFERROR(E82/C82*100,0)</f>
        <v>0</v>
      </c>
      <c r="H82" s="594">
        <f t="shared" si="23"/>
        <v>0</v>
      </c>
      <c r="I82" s="594">
        <f t="shared" si="23"/>
        <v>0</v>
      </c>
      <c r="J82" s="594">
        <f t="shared" si="23"/>
        <v>0</v>
      </c>
      <c r="K82" s="594">
        <f t="shared" si="23"/>
        <v>0</v>
      </c>
      <c r="L82" s="594">
        <f t="shared" si="23"/>
        <v>0</v>
      </c>
      <c r="M82" s="594">
        <f t="shared" si="23"/>
        <v>0</v>
      </c>
      <c r="N82" s="594">
        <f t="shared" si="23"/>
        <v>0</v>
      </c>
      <c r="O82" s="594">
        <f t="shared" si="23"/>
        <v>0</v>
      </c>
      <c r="P82" s="594">
        <f t="shared" si="23"/>
        <v>0</v>
      </c>
      <c r="Q82" s="594">
        <f t="shared" si="23"/>
        <v>0</v>
      </c>
      <c r="R82" s="594">
        <f t="shared" si="23"/>
        <v>0</v>
      </c>
      <c r="S82" s="594">
        <f t="shared" si="23"/>
        <v>0</v>
      </c>
      <c r="T82" s="594">
        <f t="shared" si="23"/>
        <v>0</v>
      </c>
      <c r="U82" s="594">
        <f t="shared" si="23"/>
        <v>0</v>
      </c>
      <c r="V82" s="594">
        <f t="shared" si="23"/>
        <v>0</v>
      </c>
      <c r="W82" s="594">
        <f t="shared" si="23"/>
        <v>0</v>
      </c>
      <c r="X82" s="594">
        <f t="shared" si="23"/>
        <v>0</v>
      </c>
      <c r="Y82" s="594">
        <f t="shared" si="23"/>
        <v>0</v>
      </c>
      <c r="Z82" s="594">
        <f t="shared" si="23"/>
        <v>0</v>
      </c>
      <c r="AA82" s="594">
        <f t="shared" si="23"/>
        <v>0</v>
      </c>
      <c r="AB82" s="594">
        <f t="shared" si="23"/>
        <v>0</v>
      </c>
      <c r="AC82" s="594">
        <f t="shared" si="23"/>
        <v>0</v>
      </c>
      <c r="AD82" s="594">
        <f t="shared" si="23"/>
        <v>5574.1052600000003</v>
      </c>
      <c r="AE82" s="594">
        <f t="shared" si="23"/>
        <v>0</v>
      </c>
      <c r="AF82" s="1079"/>
      <c r="AG82" s="1063"/>
      <c r="AH82" s="683"/>
    </row>
    <row r="83" spans="1:34" x14ac:dyDescent="0.3">
      <c r="A83" s="599" t="s">
        <v>170</v>
      </c>
      <c r="B83" s="594">
        <f t="shared" si="24"/>
        <v>0</v>
      </c>
      <c r="C83" s="594">
        <f t="shared" si="24"/>
        <v>0</v>
      </c>
      <c r="D83" s="594">
        <f t="shared" si="24"/>
        <v>0</v>
      </c>
      <c r="E83" s="594">
        <f t="shared" si="24"/>
        <v>0</v>
      </c>
      <c r="F83" s="594">
        <f>IFERROR(E83/B83*100,0)</f>
        <v>0</v>
      </c>
      <c r="G83" s="594">
        <f>IFERROR(E83/C83*100,0)</f>
        <v>0</v>
      </c>
      <c r="H83" s="594">
        <f t="shared" si="23"/>
        <v>0</v>
      </c>
      <c r="I83" s="594">
        <f t="shared" si="23"/>
        <v>0</v>
      </c>
      <c r="J83" s="594">
        <f t="shared" si="23"/>
        <v>0</v>
      </c>
      <c r="K83" s="594">
        <f t="shared" si="23"/>
        <v>0</v>
      </c>
      <c r="L83" s="594">
        <f t="shared" si="23"/>
        <v>0</v>
      </c>
      <c r="M83" s="594">
        <f t="shared" si="23"/>
        <v>0</v>
      </c>
      <c r="N83" s="594">
        <f t="shared" si="23"/>
        <v>0</v>
      </c>
      <c r="O83" s="594">
        <f t="shared" si="23"/>
        <v>0</v>
      </c>
      <c r="P83" s="594">
        <f t="shared" si="23"/>
        <v>0</v>
      </c>
      <c r="Q83" s="594">
        <f t="shared" si="23"/>
        <v>0</v>
      </c>
      <c r="R83" s="594">
        <f t="shared" si="23"/>
        <v>0</v>
      </c>
      <c r="S83" s="594">
        <f t="shared" si="23"/>
        <v>0</v>
      </c>
      <c r="T83" s="594">
        <f t="shared" si="23"/>
        <v>0</v>
      </c>
      <c r="U83" s="594">
        <f t="shared" si="23"/>
        <v>0</v>
      </c>
      <c r="V83" s="594">
        <f t="shared" si="23"/>
        <v>0</v>
      </c>
      <c r="W83" s="594">
        <f t="shared" si="23"/>
        <v>0</v>
      </c>
      <c r="X83" s="594">
        <f t="shared" si="23"/>
        <v>0</v>
      </c>
      <c r="Y83" s="594">
        <f t="shared" si="23"/>
        <v>0</v>
      </c>
      <c r="Z83" s="594">
        <f t="shared" si="23"/>
        <v>0</v>
      </c>
      <c r="AA83" s="594">
        <f t="shared" si="23"/>
        <v>0</v>
      </c>
      <c r="AB83" s="594">
        <f t="shared" si="23"/>
        <v>0</v>
      </c>
      <c r="AC83" s="594">
        <f t="shared" si="23"/>
        <v>0</v>
      </c>
      <c r="AD83" s="594">
        <f t="shared" si="23"/>
        <v>0</v>
      </c>
      <c r="AE83" s="594">
        <f t="shared" si="23"/>
        <v>0</v>
      </c>
      <c r="AF83" s="1079"/>
      <c r="AG83" s="1063"/>
      <c r="AH83" s="683"/>
    </row>
    <row r="84" spans="1:34" ht="56.25" x14ac:dyDescent="0.3">
      <c r="A84" s="713" t="s">
        <v>262</v>
      </c>
      <c r="B84" s="591"/>
      <c r="C84" s="591"/>
      <c r="D84" s="591"/>
      <c r="E84" s="591"/>
      <c r="F84" s="591"/>
      <c r="G84" s="591"/>
      <c r="H84" s="1064"/>
      <c r="I84" s="1064"/>
      <c r="J84" s="1064"/>
      <c r="K84" s="1064"/>
      <c r="L84" s="1064"/>
      <c r="M84" s="1064"/>
      <c r="N84" s="1064"/>
      <c r="O84" s="1064"/>
      <c r="P84" s="1064"/>
      <c r="Q84" s="1064"/>
      <c r="R84" s="1064"/>
      <c r="S84" s="1064"/>
      <c r="T84" s="1064"/>
      <c r="U84" s="1064"/>
      <c r="V84" s="1064"/>
      <c r="W84" s="1064"/>
      <c r="X84" s="1064"/>
      <c r="Y84" s="1064"/>
      <c r="Z84" s="1064"/>
      <c r="AA84" s="1064"/>
      <c r="AB84" s="1064"/>
      <c r="AC84" s="1064"/>
      <c r="AD84" s="1064"/>
      <c r="AE84" s="1064"/>
      <c r="AF84" s="1079"/>
      <c r="AG84" s="1063"/>
      <c r="AH84" s="683"/>
    </row>
    <row r="85" spans="1:34" ht="301.5" customHeight="1" x14ac:dyDescent="0.3">
      <c r="A85" s="590" t="s">
        <v>31</v>
      </c>
      <c r="B85" s="591">
        <f>B87+B88+B86+B89</f>
        <v>2849.7052600000002</v>
      </c>
      <c r="C85" s="591">
        <f>C87+C88+C86+C89</f>
        <v>0</v>
      </c>
      <c r="D85" s="591">
        <f>D87+D88+D86+D89</f>
        <v>0</v>
      </c>
      <c r="E85" s="591">
        <f>E87+E88+E86+E89</f>
        <v>0</v>
      </c>
      <c r="F85" s="591">
        <f>IFERROR(E85/B85*100,0)</f>
        <v>0</v>
      </c>
      <c r="G85" s="591">
        <f>IFERROR(E85/C85*100,0)</f>
        <v>0</v>
      </c>
      <c r="H85" s="591">
        <f t="shared" ref="H85:AE85" si="25">H87+H88+H86+H89</f>
        <v>0</v>
      </c>
      <c r="I85" s="591">
        <f t="shared" si="25"/>
        <v>0</v>
      </c>
      <c r="J85" s="591">
        <f t="shared" si="25"/>
        <v>0</v>
      </c>
      <c r="K85" s="591">
        <f t="shared" si="25"/>
        <v>0</v>
      </c>
      <c r="L85" s="591">
        <f t="shared" si="25"/>
        <v>0</v>
      </c>
      <c r="M85" s="591">
        <f t="shared" si="25"/>
        <v>0</v>
      </c>
      <c r="N85" s="591">
        <f t="shared" si="25"/>
        <v>0</v>
      </c>
      <c r="O85" s="591">
        <f t="shared" si="25"/>
        <v>0</v>
      </c>
      <c r="P85" s="591">
        <f t="shared" si="25"/>
        <v>0</v>
      </c>
      <c r="Q85" s="591">
        <f t="shared" si="25"/>
        <v>0</v>
      </c>
      <c r="R85" s="591">
        <f t="shared" si="25"/>
        <v>0</v>
      </c>
      <c r="S85" s="591">
        <f t="shared" si="25"/>
        <v>0</v>
      </c>
      <c r="T85" s="591">
        <f t="shared" si="25"/>
        <v>0</v>
      </c>
      <c r="U85" s="591">
        <f t="shared" si="25"/>
        <v>0</v>
      </c>
      <c r="V85" s="591">
        <f t="shared" si="25"/>
        <v>0</v>
      </c>
      <c r="W85" s="591">
        <f t="shared" si="25"/>
        <v>0</v>
      </c>
      <c r="X85" s="591">
        <f t="shared" si="25"/>
        <v>0</v>
      </c>
      <c r="Y85" s="591">
        <f t="shared" si="25"/>
        <v>0</v>
      </c>
      <c r="Z85" s="591">
        <f t="shared" si="25"/>
        <v>0</v>
      </c>
      <c r="AA85" s="591">
        <f t="shared" si="25"/>
        <v>0</v>
      </c>
      <c r="AB85" s="591">
        <f t="shared" si="25"/>
        <v>0</v>
      </c>
      <c r="AC85" s="591">
        <f t="shared" si="25"/>
        <v>0</v>
      </c>
      <c r="AD85" s="591">
        <f t="shared" si="25"/>
        <v>2849.7052600000002</v>
      </c>
      <c r="AE85" s="591">
        <f t="shared" si="25"/>
        <v>0</v>
      </c>
      <c r="AF85" s="1077" t="s">
        <v>690</v>
      </c>
      <c r="AG85" s="1063"/>
      <c r="AH85" s="683"/>
    </row>
    <row r="86" spans="1:34" x14ac:dyDescent="0.3">
      <c r="A86" s="593" t="s">
        <v>169</v>
      </c>
      <c r="B86" s="594"/>
      <c r="C86" s="712"/>
      <c r="D86" s="715"/>
      <c r="E86" s="712"/>
      <c r="F86" s="594"/>
      <c r="G86" s="594"/>
      <c r="H86" s="1064"/>
      <c r="I86" s="1064"/>
      <c r="J86" s="1064"/>
      <c r="K86" s="1064"/>
      <c r="L86" s="1064"/>
      <c r="M86" s="1064"/>
      <c r="N86" s="1064"/>
      <c r="O86" s="1064"/>
      <c r="P86" s="1064"/>
      <c r="Q86" s="1064"/>
      <c r="R86" s="1064"/>
      <c r="S86" s="1064"/>
      <c r="T86" s="1064"/>
      <c r="U86" s="1064"/>
      <c r="V86" s="1064"/>
      <c r="W86" s="1064"/>
      <c r="X86" s="1064"/>
      <c r="Y86" s="1064"/>
      <c r="Z86" s="1064"/>
      <c r="AA86" s="1064"/>
      <c r="AB86" s="1064"/>
      <c r="AC86" s="1064"/>
      <c r="AD86" s="1064"/>
      <c r="AE86" s="1064"/>
      <c r="AF86" s="1078"/>
      <c r="AG86" s="1063"/>
      <c r="AH86" s="683"/>
    </row>
    <row r="87" spans="1:34" x14ac:dyDescent="0.3">
      <c r="A87" s="593" t="s">
        <v>32</v>
      </c>
      <c r="B87" s="594"/>
      <c r="C87" s="712"/>
      <c r="D87" s="715"/>
      <c r="E87" s="712"/>
      <c r="F87" s="594"/>
      <c r="G87" s="594"/>
      <c r="H87" s="1064"/>
      <c r="I87" s="1064"/>
      <c r="J87" s="1064"/>
      <c r="K87" s="1064"/>
      <c r="L87" s="1064"/>
      <c r="M87" s="1064"/>
      <c r="N87" s="1064"/>
      <c r="O87" s="1064"/>
      <c r="P87" s="1064"/>
      <c r="Q87" s="1064"/>
      <c r="R87" s="1064"/>
      <c r="S87" s="1064"/>
      <c r="T87" s="1064"/>
      <c r="U87" s="1064"/>
      <c r="V87" s="1064"/>
      <c r="W87" s="1064"/>
      <c r="X87" s="1064"/>
      <c r="Y87" s="1064"/>
      <c r="Z87" s="1064"/>
      <c r="AA87" s="1064"/>
      <c r="AB87" s="1064"/>
      <c r="AC87" s="1064"/>
      <c r="AD87" s="1064"/>
      <c r="AE87" s="1064"/>
      <c r="AF87" s="1078"/>
      <c r="AG87" s="1063"/>
      <c r="AH87" s="683"/>
    </row>
    <row r="88" spans="1:34" x14ac:dyDescent="0.3">
      <c r="A88" s="593" t="s">
        <v>33</v>
      </c>
      <c r="B88" s="594">
        <f>J88+L88+N88+P88+R88+T88+V88+X88+Z88+AB88+AD88+H88</f>
        <v>2849.7052600000002</v>
      </c>
      <c r="C88" s="712">
        <f>H88+J88+L88</f>
        <v>0</v>
      </c>
      <c r="D88" s="715">
        <f>E88</f>
        <v>0</v>
      </c>
      <c r="E88" s="712">
        <f>SUM(I88,K88,M88,O88,Q88,S88,U88,W88,Y88,AA88,AC88,AE88)</f>
        <v>0</v>
      </c>
      <c r="F88" s="594">
        <f>IFERROR(E88/B88*100,0)</f>
        <v>0</v>
      </c>
      <c r="G88" s="594">
        <f>IFERROR(E88/C88*100,0)</f>
        <v>0</v>
      </c>
      <c r="H88" s="1064"/>
      <c r="I88" s="1064"/>
      <c r="J88" s="1064"/>
      <c r="K88" s="1064"/>
      <c r="L88" s="1064"/>
      <c r="M88" s="1064"/>
      <c r="N88" s="1064"/>
      <c r="O88" s="1064"/>
      <c r="P88" s="1064"/>
      <c r="Q88" s="1064"/>
      <c r="R88" s="1064"/>
      <c r="S88" s="1064"/>
      <c r="T88" s="1064"/>
      <c r="U88" s="1064"/>
      <c r="V88" s="1064"/>
      <c r="W88" s="1064"/>
      <c r="X88" s="1064"/>
      <c r="Y88" s="1064"/>
      <c r="Z88" s="1064"/>
      <c r="AA88" s="1064"/>
      <c r="AB88" s="1064"/>
      <c r="AC88" s="1064"/>
      <c r="AD88" s="1064">
        <v>2849.7052600000002</v>
      </c>
      <c r="AE88" s="1064"/>
      <c r="AF88" s="1078"/>
      <c r="AG88" s="1063"/>
      <c r="AH88" s="683"/>
    </row>
    <row r="89" spans="1:34" x14ac:dyDescent="0.3">
      <c r="A89" s="713" t="s">
        <v>170</v>
      </c>
      <c r="B89" s="594"/>
      <c r="C89" s="712"/>
      <c r="D89" s="715"/>
      <c r="E89" s="712"/>
      <c r="F89" s="594"/>
      <c r="G89" s="594"/>
      <c r="H89" s="1064"/>
      <c r="I89" s="1064"/>
      <c r="J89" s="1064"/>
      <c r="K89" s="1064"/>
      <c r="L89" s="1064"/>
      <c r="M89" s="1064"/>
      <c r="N89" s="1064"/>
      <c r="O89" s="1064"/>
      <c r="P89" s="1064"/>
      <c r="Q89" s="1064"/>
      <c r="R89" s="1064"/>
      <c r="S89" s="1064"/>
      <c r="T89" s="1064"/>
      <c r="U89" s="1064"/>
      <c r="V89" s="1064"/>
      <c r="W89" s="1064"/>
      <c r="X89" s="1064"/>
      <c r="Y89" s="1064"/>
      <c r="Z89" s="1064"/>
      <c r="AA89" s="1064"/>
      <c r="AB89" s="1064"/>
      <c r="AC89" s="1064"/>
      <c r="AD89" s="1064"/>
      <c r="AE89" s="1064"/>
      <c r="AF89" s="1078"/>
      <c r="AG89" s="1063"/>
      <c r="AH89" s="683"/>
    </row>
    <row r="90" spans="1:34" ht="56.25" x14ac:dyDescent="0.3">
      <c r="A90" s="713" t="s">
        <v>263</v>
      </c>
      <c r="B90" s="591"/>
      <c r="C90" s="591"/>
      <c r="D90" s="591"/>
      <c r="E90" s="591"/>
      <c r="F90" s="591"/>
      <c r="G90" s="591"/>
      <c r="H90" s="1064"/>
      <c r="I90" s="1064"/>
      <c r="J90" s="1064"/>
      <c r="K90" s="1064"/>
      <c r="L90" s="1064"/>
      <c r="M90" s="1064"/>
      <c r="N90" s="1064"/>
      <c r="O90" s="1064"/>
      <c r="P90" s="1064"/>
      <c r="Q90" s="1064"/>
      <c r="R90" s="1064"/>
      <c r="S90" s="1064"/>
      <c r="T90" s="1064"/>
      <c r="U90" s="1064"/>
      <c r="V90" s="1064"/>
      <c r="W90" s="1064"/>
      <c r="X90" s="1064"/>
      <c r="Y90" s="1064"/>
      <c r="Z90" s="1064"/>
      <c r="AA90" s="1064"/>
      <c r="AB90" s="1064"/>
      <c r="AC90" s="1064"/>
      <c r="AD90" s="1064"/>
      <c r="AE90" s="1064"/>
      <c r="AF90" s="1078"/>
      <c r="AG90" s="1063"/>
      <c r="AH90" s="683"/>
    </row>
    <row r="91" spans="1:34" x14ac:dyDescent="0.3">
      <c r="A91" s="590" t="s">
        <v>31</v>
      </c>
      <c r="B91" s="591">
        <f>B93+B94+B92+B95</f>
        <v>2724.4</v>
      </c>
      <c r="C91" s="591">
        <f>C93+C94+C92+C95</f>
        <v>0</v>
      </c>
      <c r="D91" s="591">
        <f>D93+D94+D92+D95</f>
        <v>0</v>
      </c>
      <c r="E91" s="591">
        <f>E93+E94+E92+E95</f>
        <v>0</v>
      </c>
      <c r="F91" s="591">
        <f>IFERROR(E91/B91*100,0)</f>
        <v>0</v>
      </c>
      <c r="G91" s="591">
        <f>IFERROR(E91/C91*100,0)</f>
        <v>0</v>
      </c>
      <c r="H91" s="591">
        <f t="shared" ref="H91:AE91" si="26">H93+H94+H92+H95</f>
        <v>0</v>
      </c>
      <c r="I91" s="591">
        <f t="shared" si="26"/>
        <v>0</v>
      </c>
      <c r="J91" s="591">
        <f t="shared" si="26"/>
        <v>0</v>
      </c>
      <c r="K91" s="591">
        <f t="shared" si="26"/>
        <v>0</v>
      </c>
      <c r="L91" s="591">
        <f t="shared" si="26"/>
        <v>0</v>
      </c>
      <c r="M91" s="591">
        <f t="shared" si="26"/>
        <v>0</v>
      </c>
      <c r="N91" s="591">
        <f t="shared" si="26"/>
        <v>0</v>
      </c>
      <c r="O91" s="591">
        <f t="shared" si="26"/>
        <v>0</v>
      </c>
      <c r="P91" s="591">
        <f t="shared" si="26"/>
        <v>0</v>
      </c>
      <c r="Q91" s="591">
        <f t="shared" si="26"/>
        <v>0</v>
      </c>
      <c r="R91" s="591">
        <f t="shared" si="26"/>
        <v>0</v>
      </c>
      <c r="S91" s="591">
        <f t="shared" si="26"/>
        <v>0</v>
      </c>
      <c r="T91" s="591">
        <f t="shared" si="26"/>
        <v>0</v>
      </c>
      <c r="U91" s="591">
        <f t="shared" si="26"/>
        <v>0</v>
      </c>
      <c r="V91" s="591">
        <f t="shared" si="26"/>
        <v>0</v>
      </c>
      <c r="W91" s="591">
        <f t="shared" si="26"/>
        <v>0</v>
      </c>
      <c r="X91" s="591">
        <f t="shared" si="26"/>
        <v>0</v>
      </c>
      <c r="Y91" s="591">
        <f t="shared" si="26"/>
        <v>0</v>
      </c>
      <c r="Z91" s="591">
        <f t="shared" si="26"/>
        <v>0</v>
      </c>
      <c r="AA91" s="591">
        <f t="shared" si="26"/>
        <v>0</v>
      </c>
      <c r="AB91" s="591">
        <f t="shared" si="26"/>
        <v>0</v>
      </c>
      <c r="AC91" s="591">
        <f t="shared" si="26"/>
        <v>0</v>
      </c>
      <c r="AD91" s="591">
        <f t="shared" si="26"/>
        <v>2724.4</v>
      </c>
      <c r="AE91" s="591">
        <f t="shared" si="26"/>
        <v>0</v>
      </c>
      <c r="AF91" s="777"/>
      <c r="AG91" s="1063"/>
      <c r="AH91" s="683"/>
    </row>
    <row r="92" spans="1:34" x14ac:dyDescent="0.3">
      <c r="A92" s="593" t="s">
        <v>169</v>
      </c>
      <c r="B92" s="594"/>
      <c r="C92" s="712"/>
      <c r="D92" s="715"/>
      <c r="E92" s="712"/>
      <c r="F92" s="594"/>
      <c r="G92" s="594"/>
      <c r="H92" s="1064"/>
      <c r="I92" s="1064"/>
      <c r="J92" s="1064"/>
      <c r="K92" s="1064"/>
      <c r="L92" s="1064"/>
      <c r="M92" s="1064"/>
      <c r="N92" s="1064"/>
      <c r="O92" s="1064"/>
      <c r="P92" s="1064"/>
      <c r="Q92" s="1064"/>
      <c r="R92" s="1064"/>
      <c r="S92" s="1064"/>
      <c r="T92" s="1064"/>
      <c r="U92" s="1064"/>
      <c r="V92" s="1064"/>
      <c r="W92" s="1064"/>
      <c r="X92" s="1064"/>
      <c r="Y92" s="1064"/>
      <c r="Z92" s="1064"/>
      <c r="AA92" s="1064"/>
      <c r="AB92" s="1064"/>
      <c r="AC92" s="1064"/>
      <c r="AD92" s="1064"/>
      <c r="AE92" s="1064"/>
      <c r="AF92" s="952"/>
      <c r="AG92" s="1063"/>
      <c r="AH92" s="683"/>
    </row>
    <row r="93" spans="1:34" x14ac:dyDescent="0.3">
      <c r="A93" s="593" t="s">
        <v>32</v>
      </c>
      <c r="B93" s="594"/>
      <c r="C93" s="712"/>
      <c r="D93" s="715"/>
      <c r="E93" s="712"/>
      <c r="F93" s="594"/>
      <c r="G93" s="594"/>
      <c r="H93" s="1064"/>
      <c r="I93" s="1064"/>
      <c r="J93" s="1064"/>
      <c r="K93" s="1064"/>
      <c r="L93" s="1064"/>
      <c r="M93" s="1064"/>
      <c r="N93" s="1064"/>
      <c r="O93" s="1064"/>
      <c r="P93" s="1064"/>
      <c r="Q93" s="1064"/>
      <c r="R93" s="1064"/>
      <c r="S93" s="1064"/>
      <c r="T93" s="1064"/>
      <c r="U93" s="1064"/>
      <c r="V93" s="1064"/>
      <c r="W93" s="1064"/>
      <c r="X93" s="1064"/>
      <c r="Y93" s="1064"/>
      <c r="Z93" s="1064"/>
      <c r="AA93" s="1064"/>
      <c r="AB93" s="1064"/>
      <c r="AC93" s="1064"/>
      <c r="AD93" s="1064"/>
      <c r="AE93" s="1064"/>
      <c r="AF93" s="952"/>
      <c r="AG93" s="1063"/>
      <c r="AH93" s="683"/>
    </row>
    <row r="94" spans="1:34" x14ac:dyDescent="0.3">
      <c r="A94" s="593" t="s">
        <v>33</v>
      </c>
      <c r="B94" s="594">
        <f>J94+L94+N94+P94+R94+T94+V94+X94+Z94+AB94+AD94+H94</f>
        <v>2724.4</v>
      </c>
      <c r="C94" s="712">
        <f>H94+J94+L94</f>
        <v>0</v>
      </c>
      <c r="D94" s="715">
        <f>E94</f>
        <v>0</v>
      </c>
      <c r="E94" s="712">
        <f>SUM(I94,K94,M94,O94,Q94,S94,U94,W94,Y94,AA94,AC94,AE94)</f>
        <v>0</v>
      </c>
      <c r="F94" s="594">
        <f>IFERROR(E94/B94*100,0)</f>
        <v>0</v>
      </c>
      <c r="G94" s="594">
        <f>IFERROR(E94/C94*100,0)</f>
        <v>0</v>
      </c>
      <c r="H94" s="1064"/>
      <c r="I94" s="1064"/>
      <c r="J94" s="1064"/>
      <c r="K94" s="1064"/>
      <c r="L94" s="1064"/>
      <c r="M94" s="1064"/>
      <c r="N94" s="1064"/>
      <c r="O94" s="1064"/>
      <c r="P94" s="1064"/>
      <c r="Q94" s="1064"/>
      <c r="R94" s="1064"/>
      <c r="S94" s="1064"/>
      <c r="T94" s="1064"/>
      <c r="U94" s="1064"/>
      <c r="V94" s="1064"/>
      <c r="W94" s="1064"/>
      <c r="X94" s="1064"/>
      <c r="Y94" s="1064"/>
      <c r="Z94" s="1064"/>
      <c r="AA94" s="1064"/>
      <c r="AB94" s="1064"/>
      <c r="AC94" s="1064"/>
      <c r="AD94" s="1064">
        <v>2724.4</v>
      </c>
      <c r="AE94" s="1064"/>
      <c r="AF94" s="952"/>
      <c r="AG94" s="1063"/>
      <c r="AH94" s="683"/>
    </row>
    <row r="95" spans="1:34" x14ac:dyDescent="0.3">
      <c r="A95" s="713" t="s">
        <v>170</v>
      </c>
      <c r="B95" s="594"/>
      <c r="C95" s="712"/>
      <c r="D95" s="715"/>
      <c r="E95" s="712"/>
      <c r="F95" s="594"/>
      <c r="G95" s="594"/>
      <c r="H95" s="1064"/>
      <c r="I95" s="1064"/>
      <c r="J95" s="1064"/>
      <c r="K95" s="1064"/>
      <c r="L95" s="1064"/>
      <c r="M95" s="1064"/>
      <c r="N95" s="1064"/>
      <c r="O95" s="1064"/>
      <c r="P95" s="1064"/>
      <c r="Q95" s="1064"/>
      <c r="R95" s="1064"/>
      <c r="S95" s="1064"/>
      <c r="T95" s="1064"/>
      <c r="U95" s="1064"/>
      <c r="V95" s="1064"/>
      <c r="W95" s="1064"/>
      <c r="X95" s="1064"/>
      <c r="Y95" s="1064"/>
      <c r="Z95" s="1064"/>
      <c r="AA95" s="1064"/>
      <c r="AB95" s="1064"/>
      <c r="AC95" s="1064"/>
      <c r="AD95" s="1064"/>
      <c r="AE95" s="1064"/>
      <c r="AF95" s="952"/>
      <c r="AG95" s="1063"/>
      <c r="AH95" s="683"/>
    </row>
    <row r="96" spans="1:34" x14ac:dyDescent="0.3">
      <c r="A96" s="1059" t="s">
        <v>264</v>
      </c>
      <c r="B96" s="1048"/>
      <c r="C96" s="1048"/>
      <c r="D96" s="1048"/>
      <c r="E96" s="1048"/>
      <c r="F96" s="1048"/>
      <c r="G96" s="1048"/>
      <c r="H96" s="1048"/>
      <c r="I96" s="1048"/>
      <c r="J96" s="1048"/>
      <c r="K96" s="1048"/>
      <c r="L96" s="1048"/>
      <c r="M96" s="1048"/>
      <c r="N96" s="1048"/>
      <c r="O96" s="1048"/>
      <c r="P96" s="1048"/>
      <c r="Q96" s="1048"/>
      <c r="R96" s="1048"/>
      <c r="S96" s="1048"/>
      <c r="T96" s="1048"/>
      <c r="U96" s="1048"/>
      <c r="V96" s="1048"/>
      <c r="W96" s="1048"/>
      <c r="X96" s="1048"/>
      <c r="Y96" s="1048"/>
      <c r="Z96" s="1048"/>
      <c r="AA96" s="1048"/>
      <c r="AB96" s="1048"/>
      <c r="AC96" s="1048"/>
      <c r="AD96" s="1048"/>
      <c r="AE96" s="1048"/>
      <c r="AF96" s="1049"/>
      <c r="AG96" s="1063"/>
      <c r="AH96" s="683"/>
    </row>
    <row r="97" spans="1:34" x14ac:dyDescent="0.3">
      <c r="A97" s="1059" t="s">
        <v>54</v>
      </c>
      <c r="B97" s="1048"/>
      <c r="C97" s="1048"/>
      <c r="D97" s="1048"/>
      <c r="E97" s="1048"/>
      <c r="F97" s="1048"/>
      <c r="G97" s="1048"/>
      <c r="H97" s="1048"/>
      <c r="I97" s="1048"/>
      <c r="J97" s="1048"/>
      <c r="K97" s="1048"/>
      <c r="L97" s="1048"/>
      <c r="M97" s="1048"/>
      <c r="N97" s="1048"/>
      <c r="O97" s="1048"/>
      <c r="P97" s="1048"/>
      <c r="Q97" s="1048"/>
      <c r="R97" s="1048"/>
      <c r="S97" s="1048"/>
      <c r="T97" s="1048"/>
      <c r="U97" s="1048"/>
      <c r="V97" s="1048"/>
      <c r="W97" s="1048"/>
      <c r="X97" s="1048"/>
      <c r="Y97" s="1048"/>
      <c r="Z97" s="1048"/>
      <c r="AA97" s="1048"/>
      <c r="AB97" s="1048"/>
      <c r="AC97" s="1048"/>
      <c r="AD97" s="1048"/>
      <c r="AE97" s="1048"/>
      <c r="AF97" s="1049"/>
      <c r="AG97" s="1063"/>
      <c r="AH97" s="683"/>
    </row>
    <row r="98" spans="1:34" ht="78" customHeight="1" x14ac:dyDescent="0.3">
      <c r="A98" s="596" t="s">
        <v>265</v>
      </c>
      <c r="B98" s="600"/>
      <c r="C98" s="600"/>
      <c r="D98" s="600"/>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c r="AF98" s="552" t="s">
        <v>503</v>
      </c>
      <c r="AG98" s="1063"/>
      <c r="AH98" s="683"/>
    </row>
    <row r="99" spans="1:34" x14ac:dyDescent="0.3">
      <c r="A99" s="590" t="s">
        <v>31</v>
      </c>
      <c r="B99" s="591">
        <f>B100+B101+B102</f>
        <v>6225.0999999999995</v>
      </c>
      <c r="C99" s="591">
        <f>C100+C101+C102</f>
        <v>4902.7</v>
      </c>
      <c r="D99" s="591">
        <f>D100+D101+D102</f>
        <v>4270.8999999999996</v>
      </c>
      <c r="E99" s="591">
        <f>E100+E101+E102</f>
        <v>4270.8999999999996</v>
      </c>
      <c r="F99" s="594">
        <f>IFERROR(E99/B99*100,0)</f>
        <v>68.607733209105078</v>
      </c>
      <c r="G99" s="594">
        <f>IFERROR(E99/C99*100,0)</f>
        <v>87.113223325922448</v>
      </c>
      <c r="H99" s="591">
        <f t="shared" ref="H99:AE99" si="27">H100+H101+H102</f>
        <v>864.9</v>
      </c>
      <c r="I99" s="591">
        <f t="shared" si="27"/>
        <v>691.6</v>
      </c>
      <c r="J99" s="591">
        <f t="shared" si="27"/>
        <v>3672.1</v>
      </c>
      <c r="K99" s="591">
        <f t="shared" si="27"/>
        <v>879.6</v>
      </c>
      <c r="L99" s="591">
        <f t="shared" si="27"/>
        <v>365.7</v>
      </c>
      <c r="M99" s="591">
        <f t="shared" si="27"/>
        <v>506.3</v>
      </c>
      <c r="N99" s="591">
        <f t="shared" si="27"/>
        <v>384.8</v>
      </c>
      <c r="O99" s="591">
        <f t="shared" si="27"/>
        <v>358.1</v>
      </c>
      <c r="P99" s="591">
        <f t="shared" si="27"/>
        <v>179.6</v>
      </c>
      <c r="Q99" s="591">
        <f t="shared" si="27"/>
        <v>435.7</v>
      </c>
      <c r="R99" s="591">
        <f t="shared" si="27"/>
        <v>0</v>
      </c>
      <c r="S99" s="591">
        <f t="shared" si="27"/>
        <v>0</v>
      </c>
      <c r="T99" s="591">
        <f t="shared" si="27"/>
        <v>0</v>
      </c>
      <c r="U99" s="591">
        <f t="shared" si="27"/>
        <v>0</v>
      </c>
      <c r="V99" s="591">
        <f t="shared" si="27"/>
        <v>0</v>
      </c>
      <c r="W99" s="591">
        <f t="shared" si="27"/>
        <v>0</v>
      </c>
      <c r="X99" s="591">
        <f t="shared" si="27"/>
        <v>0</v>
      </c>
      <c r="Y99" s="591">
        <f t="shared" si="27"/>
        <v>0</v>
      </c>
      <c r="Z99" s="591">
        <f t="shared" si="27"/>
        <v>266.39999999999998</v>
      </c>
      <c r="AA99" s="591">
        <f t="shared" si="27"/>
        <v>390.8</v>
      </c>
      <c r="AB99" s="591">
        <f t="shared" si="27"/>
        <v>245.8</v>
      </c>
      <c r="AC99" s="591">
        <f t="shared" si="27"/>
        <v>270.3</v>
      </c>
      <c r="AD99" s="591">
        <f t="shared" si="27"/>
        <v>245.8</v>
      </c>
      <c r="AE99" s="591">
        <f t="shared" si="27"/>
        <v>738.5</v>
      </c>
      <c r="AF99" s="952"/>
      <c r="AG99" s="1063"/>
      <c r="AH99" s="683"/>
    </row>
    <row r="100" spans="1:34" x14ac:dyDescent="0.3">
      <c r="A100" s="593" t="s">
        <v>169</v>
      </c>
      <c r="B100" s="594">
        <f>J100+L100+N100+P100+R100+T100+V100+X100+Z100+AB100+AD100+H100</f>
        <v>0</v>
      </c>
      <c r="C100" s="594">
        <f>SUM(H100)</f>
        <v>0</v>
      </c>
      <c r="D100" s="594">
        <f>E100</f>
        <v>0</v>
      </c>
      <c r="E100" s="594">
        <f>SUM(I100,K100,M100,O100,Q100,S100,U100,W100,Y100,AA100,AC100,AE100)</f>
        <v>0</v>
      </c>
      <c r="F100" s="594">
        <f>IFERROR(E100/B100*100,0)</f>
        <v>0</v>
      </c>
      <c r="G100" s="594">
        <f>IFERROR(E100/C100*100,0)</f>
        <v>0</v>
      </c>
      <c r="H100" s="594"/>
      <c r="I100" s="594"/>
      <c r="J100" s="594"/>
      <c r="K100" s="594"/>
      <c r="L100" s="594"/>
      <c r="M100" s="594"/>
      <c r="N100" s="594"/>
      <c r="O100" s="594"/>
      <c r="P100" s="594"/>
      <c r="Q100" s="594"/>
      <c r="R100" s="594"/>
      <c r="S100" s="594"/>
      <c r="T100" s="594"/>
      <c r="U100" s="594"/>
      <c r="V100" s="594"/>
      <c r="W100" s="594"/>
      <c r="X100" s="594"/>
      <c r="Y100" s="594"/>
      <c r="Z100" s="594"/>
      <c r="AA100" s="594"/>
      <c r="AB100" s="594"/>
      <c r="AC100" s="594"/>
      <c r="AD100" s="594"/>
      <c r="AE100" s="594"/>
      <c r="AF100" s="952"/>
      <c r="AG100" s="1063"/>
      <c r="AH100" s="683"/>
    </row>
    <row r="101" spans="1:34" x14ac:dyDescent="0.3">
      <c r="A101" s="593" t="s">
        <v>32</v>
      </c>
      <c r="B101" s="594">
        <f>J101+L101+N101+P101+R101+T101+V101+X101+Z101+AB101+AD101+H101</f>
        <v>0</v>
      </c>
      <c r="C101" s="594">
        <f>SUM(H101)</f>
        <v>0</v>
      </c>
      <c r="D101" s="594">
        <f>E101</f>
        <v>0</v>
      </c>
      <c r="E101" s="594">
        <f>SUM(I101,K101,M101,O101,Q101,S101,U101,W101,Y101,AA101,AC101,AE101)</f>
        <v>0</v>
      </c>
      <c r="F101" s="594"/>
      <c r="G101" s="594"/>
      <c r="H101" s="594"/>
      <c r="I101" s="594"/>
      <c r="J101" s="594"/>
      <c r="K101" s="594"/>
      <c r="L101" s="594"/>
      <c r="M101" s="594"/>
      <c r="N101" s="594"/>
      <c r="O101" s="594"/>
      <c r="P101" s="594"/>
      <c r="Q101" s="594"/>
      <c r="R101" s="594"/>
      <c r="S101" s="594"/>
      <c r="T101" s="594"/>
      <c r="U101" s="594"/>
      <c r="V101" s="594"/>
      <c r="W101" s="594"/>
      <c r="X101" s="594"/>
      <c r="Y101" s="594"/>
      <c r="Z101" s="594"/>
      <c r="AA101" s="594"/>
      <c r="AB101" s="594"/>
      <c r="AC101" s="594"/>
      <c r="AD101" s="594"/>
      <c r="AE101" s="594"/>
      <c r="AF101" s="952"/>
      <c r="AG101" s="1063"/>
      <c r="AH101" s="683"/>
    </row>
    <row r="102" spans="1:34" x14ac:dyDescent="0.3">
      <c r="A102" s="593" t="s">
        <v>33</v>
      </c>
      <c r="B102" s="594">
        <f>J102+L102+N102+P102+R102+T102+V102+X102+Z102+AB102+AD102+H102</f>
        <v>6225.0999999999995</v>
      </c>
      <c r="C102" s="594">
        <f>H102+J102+L102</f>
        <v>4902.7</v>
      </c>
      <c r="D102" s="594">
        <f>E102</f>
        <v>4270.8999999999996</v>
      </c>
      <c r="E102" s="594">
        <f>SUM(I102,K102,M102,O102,Q102,S102,U102,W102,Y102,AA102,AC102,AE102)</f>
        <v>4270.8999999999996</v>
      </c>
      <c r="F102" s="594">
        <f>IFERROR(E102/B102*100,0)</f>
        <v>68.607733209105078</v>
      </c>
      <c r="G102" s="594">
        <f>IFERROR(E102/C102*100,0)</f>
        <v>87.113223325922448</v>
      </c>
      <c r="H102" s="594">
        <v>864.9</v>
      </c>
      <c r="I102" s="594">
        <v>691.6</v>
      </c>
      <c r="J102" s="594">
        <v>3672.1</v>
      </c>
      <c r="K102" s="594">
        <v>879.6</v>
      </c>
      <c r="L102" s="594">
        <v>365.7</v>
      </c>
      <c r="M102" s="594">
        <v>506.3</v>
      </c>
      <c r="N102" s="594">
        <v>384.8</v>
      </c>
      <c r="O102" s="594">
        <v>358.1</v>
      </c>
      <c r="P102" s="594">
        <v>179.6</v>
      </c>
      <c r="Q102" s="594">
        <v>435.7</v>
      </c>
      <c r="R102" s="594">
        <v>0</v>
      </c>
      <c r="S102" s="594">
        <v>0</v>
      </c>
      <c r="T102" s="594">
        <v>0</v>
      </c>
      <c r="U102" s="594">
        <v>0</v>
      </c>
      <c r="V102" s="594">
        <v>0</v>
      </c>
      <c r="W102" s="594">
        <v>0</v>
      </c>
      <c r="X102" s="594">
        <v>0</v>
      </c>
      <c r="Y102" s="594">
        <v>0</v>
      </c>
      <c r="Z102" s="594">
        <v>266.39999999999998</v>
      </c>
      <c r="AA102" s="594">
        <v>390.8</v>
      </c>
      <c r="AB102" s="594">
        <v>245.8</v>
      </c>
      <c r="AC102" s="594">
        <v>270.3</v>
      </c>
      <c r="AD102" s="594">
        <v>245.8</v>
      </c>
      <c r="AE102" s="594">
        <v>738.5</v>
      </c>
      <c r="AF102" s="952"/>
      <c r="AG102" s="1063"/>
      <c r="AH102" s="683"/>
    </row>
    <row r="103" spans="1:34" x14ac:dyDescent="0.3">
      <c r="A103" s="593" t="s">
        <v>170</v>
      </c>
      <c r="B103" s="594">
        <f>J103+L103+N103+P103+R103+T103+V103+X103+Z103+AB103+AD103+H103</f>
        <v>0</v>
      </c>
      <c r="C103" s="594">
        <f>SUM(H103)</f>
        <v>0</v>
      </c>
      <c r="D103" s="594">
        <f>E103</f>
        <v>0</v>
      </c>
      <c r="E103" s="594">
        <f>SUM(I103,K103,M103,O103,Q103,S103,U103,W103,Y103,AA103,AC103,AE103)</f>
        <v>0</v>
      </c>
      <c r="F103" s="594">
        <f>IFERROR(E103/B103*100,0)</f>
        <v>0</v>
      </c>
      <c r="G103" s="594">
        <f>IFERROR(E103/C103*100,0)</f>
        <v>0</v>
      </c>
      <c r="H103" s="594"/>
      <c r="I103" s="594"/>
      <c r="J103" s="594"/>
      <c r="K103" s="594"/>
      <c r="L103" s="594"/>
      <c r="M103" s="594"/>
      <c r="N103" s="594"/>
      <c r="O103" s="594"/>
      <c r="P103" s="594"/>
      <c r="Q103" s="594"/>
      <c r="R103" s="594"/>
      <c r="S103" s="594"/>
      <c r="T103" s="594"/>
      <c r="U103" s="594"/>
      <c r="V103" s="594"/>
      <c r="W103" s="594"/>
      <c r="X103" s="594"/>
      <c r="Y103" s="594"/>
      <c r="Z103" s="594"/>
      <c r="AA103" s="594"/>
      <c r="AB103" s="594"/>
      <c r="AC103" s="594"/>
      <c r="AD103" s="594"/>
      <c r="AE103" s="594"/>
      <c r="AF103" s="952"/>
      <c r="AG103" s="1063"/>
      <c r="AH103" s="683"/>
    </row>
    <row r="104" spans="1:34" ht="65.25" customHeight="1" x14ac:dyDescent="0.3">
      <c r="A104" s="596" t="s">
        <v>266</v>
      </c>
      <c r="B104" s="594"/>
      <c r="C104" s="594"/>
      <c r="D104" s="594"/>
      <c r="E104" s="594"/>
      <c r="F104" s="594"/>
      <c r="G104" s="594"/>
      <c r="H104" s="594"/>
      <c r="I104" s="594"/>
      <c r="J104" s="594"/>
      <c r="K104" s="594"/>
      <c r="L104" s="594"/>
      <c r="M104" s="594"/>
      <c r="N104" s="594"/>
      <c r="O104" s="594"/>
      <c r="P104" s="594"/>
      <c r="Q104" s="594"/>
      <c r="R104" s="594"/>
      <c r="S104" s="594"/>
      <c r="T104" s="594"/>
      <c r="U104" s="594"/>
      <c r="V104" s="594"/>
      <c r="W104" s="594"/>
      <c r="X104" s="594"/>
      <c r="Y104" s="594"/>
      <c r="Z104" s="594"/>
      <c r="AA104" s="594"/>
      <c r="AB104" s="594"/>
      <c r="AC104" s="594"/>
      <c r="AD104" s="594"/>
      <c r="AE104" s="594"/>
      <c r="AF104" s="1084" t="s">
        <v>692</v>
      </c>
      <c r="AG104" s="1063"/>
      <c r="AH104" s="683"/>
    </row>
    <row r="105" spans="1:34" x14ac:dyDescent="0.3">
      <c r="A105" s="590" t="s">
        <v>31</v>
      </c>
      <c r="B105" s="591">
        <f>B106+B107+B108+B109</f>
        <v>24540.301299999999</v>
      </c>
      <c r="C105" s="591">
        <f>C106+C107+C108+C109</f>
        <v>5144.3370000000004</v>
      </c>
      <c r="D105" s="591">
        <f>D106+D107+D108+D109</f>
        <v>15053.880000000001</v>
      </c>
      <c r="E105" s="591">
        <f>E106+E107+E108+E109</f>
        <v>15053.880000000001</v>
      </c>
      <c r="F105" s="594">
        <v>0</v>
      </c>
      <c r="G105" s="594">
        <v>0</v>
      </c>
      <c r="H105" s="591">
        <f>H106+H107+H108+H109</f>
        <v>1840.1669999999999</v>
      </c>
      <c r="I105" s="591">
        <f t="shared" ref="I105:AE105" si="28">I106+I107+I108+I109</f>
        <v>1840.17</v>
      </c>
      <c r="J105" s="591">
        <f t="shared" si="28"/>
        <v>1214.27</v>
      </c>
      <c r="K105" s="591">
        <f t="shared" si="28"/>
        <v>1103.78</v>
      </c>
      <c r="L105" s="591">
        <f t="shared" si="28"/>
        <v>2089.9</v>
      </c>
      <c r="M105" s="591">
        <f t="shared" si="28"/>
        <v>1900.1100000000001</v>
      </c>
      <c r="N105" s="591">
        <f t="shared" si="28"/>
        <v>2923.2709999999997</v>
      </c>
      <c r="O105" s="591">
        <f t="shared" si="28"/>
        <v>1545.22</v>
      </c>
      <c r="P105" s="591">
        <f t="shared" si="28"/>
        <v>7151.32</v>
      </c>
      <c r="Q105" s="591">
        <f>SUM(Q108+Q107)</f>
        <v>4084.4799999999996</v>
      </c>
      <c r="R105" s="591">
        <f t="shared" si="28"/>
        <v>3549.3666599999997</v>
      </c>
      <c r="S105" s="591">
        <f t="shared" si="28"/>
        <v>0</v>
      </c>
      <c r="T105" s="591">
        <f t="shared" si="28"/>
        <v>774.67</v>
      </c>
      <c r="U105" s="591">
        <f t="shared" si="28"/>
        <v>0</v>
      </c>
      <c r="V105" s="591">
        <f t="shared" si="28"/>
        <v>938.06999999999994</v>
      </c>
      <c r="W105" s="591">
        <f t="shared" si="28"/>
        <v>0</v>
      </c>
      <c r="X105" s="591">
        <f t="shared" si="28"/>
        <v>1079.6666600000001</v>
      </c>
      <c r="Y105" s="591">
        <f t="shared" si="28"/>
        <v>0</v>
      </c>
      <c r="Z105" s="591">
        <f t="shared" si="28"/>
        <v>1973.9166599999999</v>
      </c>
      <c r="AA105" s="591">
        <f t="shared" si="28"/>
        <v>1679.03</v>
      </c>
      <c r="AB105" s="591">
        <f t="shared" si="28"/>
        <v>991.41665999999998</v>
      </c>
      <c r="AC105" s="591">
        <f t="shared" si="28"/>
        <v>1973.3899999999999</v>
      </c>
      <c r="AD105" s="591">
        <f t="shared" si="28"/>
        <v>14.26666</v>
      </c>
      <c r="AE105" s="591">
        <f t="shared" si="28"/>
        <v>927.7</v>
      </c>
      <c r="AF105" s="952"/>
      <c r="AG105" s="1063"/>
      <c r="AH105" s="683"/>
    </row>
    <row r="106" spans="1:34" x14ac:dyDescent="0.3">
      <c r="A106" s="593" t="s">
        <v>169</v>
      </c>
      <c r="B106" s="594">
        <f>J106+L106+N106+P106+R106+T106+V106+X106+Z106+AB106+AD106+H106</f>
        <v>0</v>
      </c>
      <c r="C106" s="594">
        <f>H106+J106+L106+N106+P106+R106+T106+V106+X106+Z106+AB106+AD106</f>
        <v>0</v>
      </c>
      <c r="D106" s="594">
        <f>E106</f>
        <v>0</v>
      </c>
      <c r="E106" s="594">
        <f t="shared" ref="E106:AE106" si="29">SUM(I106,K106,M106,O106,Q106,S106,U106,W106,Y106,AA106,AC106,AE106)</f>
        <v>0</v>
      </c>
      <c r="F106" s="594">
        <f t="shared" si="29"/>
        <v>0</v>
      </c>
      <c r="G106" s="594">
        <f t="shared" si="29"/>
        <v>0</v>
      </c>
      <c r="H106" s="594">
        <f t="shared" si="29"/>
        <v>0</v>
      </c>
      <c r="I106" s="594">
        <f t="shared" si="29"/>
        <v>0</v>
      </c>
      <c r="J106" s="594">
        <f t="shared" si="29"/>
        <v>0</v>
      </c>
      <c r="K106" s="594">
        <f t="shared" si="29"/>
        <v>0</v>
      </c>
      <c r="L106" s="594">
        <f t="shared" si="29"/>
        <v>0</v>
      </c>
      <c r="M106" s="594">
        <f t="shared" si="29"/>
        <v>0</v>
      </c>
      <c r="N106" s="594">
        <f t="shared" si="29"/>
        <v>0</v>
      </c>
      <c r="O106" s="594">
        <f t="shared" si="29"/>
        <v>0</v>
      </c>
      <c r="P106" s="594">
        <f t="shared" si="29"/>
        <v>0</v>
      </c>
      <c r="Q106" s="594">
        <f t="shared" si="29"/>
        <v>0</v>
      </c>
      <c r="R106" s="594">
        <f t="shared" si="29"/>
        <v>0</v>
      </c>
      <c r="S106" s="594">
        <f t="shared" si="29"/>
        <v>0</v>
      </c>
      <c r="T106" s="594">
        <f t="shared" si="29"/>
        <v>0</v>
      </c>
      <c r="U106" s="594">
        <f t="shared" si="29"/>
        <v>0</v>
      </c>
      <c r="V106" s="594">
        <f t="shared" si="29"/>
        <v>0</v>
      </c>
      <c r="W106" s="594">
        <f t="shared" si="29"/>
        <v>0</v>
      </c>
      <c r="X106" s="594">
        <f t="shared" si="29"/>
        <v>0</v>
      </c>
      <c r="Y106" s="594">
        <f t="shared" si="29"/>
        <v>0</v>
      </c>
      <c r="Z106" s="594">
        <f t="shared" si="29"/>
        <v>0</v>
      </c>
      <c r="AA106" s="594">
        <f t="shared" si="29"/>
        <v>0</v>
      </c>
      <c r="AB106" s="594">
        <f t="shared" si="29"/>
        <v>0</v>
      </c>
      <c r="AC106" s="594">
        <f t="shared" si="29"/>
        <v>0</v>
      </c>
      <c r="AD106" s="594">
        <f t="shared" si="29"/>
        <v>0</v>
      </c>
      <c r="AE106" s="594">
        <f t="shared" si="29"/>
        <v>0</v>
      </c>
      <c r="AF106" s="952"/>
      <c r="AG106" s="1063"/>
      <c r="AH106" s="683"/>
    </row>
    <row r="107" spans="1:34" x14ac:dyDescent="0.3">
      <c r="A107" s="593" t="s">
        <v>32</v>
      </c>
      <c r="B107" s="594">
        <f>J107+L107+N107+P107+R107+T107+V107+X107+Z107+AB107+AD107+H107</f>
        <v>8211.9950000000008</v>
      </c>
      <c r="C107" s="594">
        <f>H107+J107+L107</f>
        <v>372.46</v>
      </c>
      <c r="D107" s="594">
        <f>E107</f>
        <v>4811.4299999999994</v>
      </c>
      <c r="E107" s="594">
        <f>SUM(I107,K107,M107,O107,Q107,S107,U107,W107,Y107,AA107,AC107,AE107)</f>
        <v>4811.4299999999994</v>
      </c>
      <c r="F107" s="594"/>
      <c r="G107" s="594"/>
      <c r="H107" s="594">
        <v>0</v>
      </c>
      <c r="I107" s="594">
        <v>0</v>
      </c>
      <c r="J107" s="594">
        <v>0</v>
      </c>
      <c r="K107" s="594">
        <v>0</v>
      </c>
      <c r="L107" s="594">
        <v>372.46</v>
      </c>
      <c r="M107" s="594">
        <v>372.46</v>
      </c>
      <c r="N107" s="594">
        <v>1545.22</v>
      </c>
      <c r="O107" s="594">
        <v>1545.22</v>
      </c>
      <c r="P107" s="594">
        <v>3234.65</v>
      </c>
      <c r="Q107" s="594">
        <v>2493.14</v>
      </c>
      <c r="R107" s="594">
        <v>2435.1</v>
      </c>
      <c r="S107" s="594">
        <v>0</v>
      </c>
      <c r="T107" s="594">
        <v>0</v>
      </c>
      <c r="U107" s="594">
        <v>0</v>
      </c>
      <c r="V107" s="594">
        <v>223.95</v>
      </c>
      <c r="W107" s="594">
        <v>0</v>
      </c>
      <c r="X107" s="594">
        <v>0</v>
      </c>
      <c r="Y107" s="594">
        <v>0</v>
      </c>
      <c r="Z107" s="594">
        <v>246.95249999999999</v>
      </c>
      <c r="AA107" s="594">
        <v>0</v>
      </c>
      <c r="AB107" s="594">
        <v>153.66249999999999</v>
      </c>
      <c r="AC107" s="594">
        <v>400.61</v>
      </c>
      <c r="AD107" s="594">
        <v>0</v>
      </c>
      <c r="AE107" s="594">
        <v>0</v>
      </c>
      <c r="AF107" s="952"/>
      <c r="AG107" s="1063"/>
      <c r="AH107" s="683"/>
    </row>
    <row r="108" spans="1:34" ht="25.5" customHeight="1" x14ac:dyDescent="0.3">
      <c r="A108" s="593" t="s">
        <v>33</v>
      </c>
      <c r="B108" s="594">
        <f>J108+L108+N108+P108+R108+T108+V108+X108+Z108+AB108+AD108+H108</f>
        <v>16328.3063</v>
      </c>
      <c r="C108" s="594">
        <f>H108+J108+L108</f>
        <v>4771.8770000000004</v>
      </c>
      <c r="D108" s="594">
        <f>E108</f>
        <v>10242.450000000001</v>
      </c>
      <c r="E108" s="594">
        <f>SUM(I108,K108,M108,O108,Q108,S108,U108,W108,Y108,AA108,AC108,AE108)</f>
        <v>10242.450000000001</v>
      </c>
      <c r="F108" s="594">
        <f>IFERROR(E108/B108*100,0)</f>
        <v>62.72818387783429</v>
      </c>
      <c r="G108" s="594">
        <f>IFERROR(E108/C108*100,0)</f>
        <v>214.64195326073994</v>
      </c>
      <c r="H108" s="594">
        <v>1840.1669999999999</v>
      </c>
      <c r="I108" s="594">
        <v>1840.17</v>
      </c>
      <c r="J108" s="594">
        <v>1214.27</v>
      </c>
      <c r="K108" s="594">
        <v>1103.78</v>
      </c>
      <c r="L108" s="594">
        <v>1717.44</v>
      </c>
      <c r="M108" s="594">
        <v>1527.65</v>
      </c>
      <c r="N108" s="594">
        <v>1378.0509999999999</v>
      </c>
      <c r="O108" s="594">
        <v>0</v>
      </c>
      <c r="P108" s="594">
        <v>3916.67</v>
      </c>
      <c r="Q108" s="594">
        <v>1591.34</v>
      </c>
      <c r="R108" s="594">
        <v>1114.26666</v>
      </c>
      <c r="S108" s="594">
        <v>0</v>
      </c>
      <c r="T108" s="594">
        <v>774.67</v>
      </c>
      <c r="U108" s="594">
        <v>0</v>
      </c>
      <c r="V108" s="594">
        <v>714.12</v>
      </c>
      <c r="W108" s="594">
        <v>0</v>
      </c>
      <c r="X108" s="594">
        <v>1079.6666600000001</v>
      </c>
      <c r="Y108" s="594">
        <v>0</v>
      </c>
      <c r="Z108" s="594">
        <v>1726.96416</v>
      </c>
      <c r="AA108" s="594">
        <v>1679.03</v>
      </c>
      <c r="AB108" s="594">
        <v>837.75415999999996</v>
      </c>
      <c r="AC108" s="594">
        <v>1572.78</v>
      </c>
      <c r="AD108" s="594">
        <v>14.26666</v>
      </c>
      <c r="AE108" s="594">
        <v>927.7</v>
      </c>
      <c r="AF108" s="1080" t="s">
        <v>528</v>
      </c>
      <c r="AG108" s="1063"/>
      <c r="AH108" s="683"/>
    </row>
    <row r="109" spans="1:34" x14ac:dyDescent="0.3">
      <c r="A109" s="593" t="s">
        <v>170</v>
      </c>
      <c r="B109" s="594">
        <f>J109+L109+N109+P109+R109+T109+V109+X109+Z109+AB109+AD109+H109</f>
        <v>0</v>
      </c>
      <c r="C109" s="594">
        <f>H109+J109+L109+N109+P109+R109+T109+V109+X109+Z109+AB109+AD109</f>
        <v>0</v>
      </c>
      <c r="D109" s="594">
        <f>E109</f>
        <v>0</v>
      </c>
      <c r="E109" s="594">
        <f>SUM(I109,K109,M109,O109,Q109,S109,U109,W109,Y109,AA109,AC109,AE109)</f>
        <v>0</v>
      </c>
      <c r="F109" s="594"/>
      <c r="G109" s="594"/>
      <c r="H109" s="594"/>
      <c r="I109" s="594"/>
      <c r="J109" s="594"/>
      <c r="K109" s="594"/>
      <c r="L109" s="594"/>
      <c r="M109" s="594"/>
      <c r="N109" s="594"/>
      <c r="O109" s="594"/>
      <c r="P109" s="594"/>
      <c r="Q109" s="594"/>
      <c r="R109" s="594"/>
      <c r="S109" s="594"/>
      <c r="T109" s="594"/>
      <c r="U109" s="594"/>
      <c r="V109" s="594"/>
      <c r="W109" s="594"/>
      <c r="X109" s="594"/>
      <c r="Y109" s="594"/>
      <c r="Z109" s="594"/>
      <c r="AA109" s="594"/>
      <c r="AB109" s="594"/>
      <c r="AC109" s="594"/>
      <c r="AD109" s="594"/>
      <c r="AE109" s="594"/>
      <c r="AF109" s="952"/>
      <c r="AG109" s="1063"/>
      <c r="AH109" s="683"/>
    </row>
    <row r="110" spans="1:34" x14ac:dyDescent="0.3">
      <c r="A110" s="1059" t="s">
        <v>267</v>
      </c>
      <c r="B110" s="1048"/>
      <c r="C110" s="1048"/>
      <c r="D110" s="1048"/>
      <c r="E110" s="1048"/>
      <c r="F110" s="1048"/>
      <c r="G110" s="1048"/>
      <c r="H110" s="1048"/>
      <c r="I110" s="1048"/>
      <c r="J110" s="1048"/>
      <c r="K110" s="1048"/>
      <c r="L110" s="1048"/>
      <c r="M110" s="1048"/>
      <c r="N110" s="1048"/>
      <c r="O110" s="1048"/>
      <c r="P110" s="1048"/>
      <c r="Q110" s="1048"/>
      <c r="R110" s="1048"/>
      <c r="S110" s="1048"/>
      <c r="T110" s="1048"/>
      <c r="U110" s="1048"/>
      <c r="V110" s="1048"/>
      <c r="W110" s="1048"/>
      <c r="X110" s="1048"/>
      <c r="Y110" s="1048"/>
      <c r="Z110" s="1048"/>
      <c r="AA110" s="1048"/>
      <c r="AB110" s="1048"/>
      <c r="AC110" s="1048"/>
      <c r="AD110" s="1048"/>
      <c r="AE110" s="1048"/>
      <c r="AF110" s="1049"/>
      <c r="AG110" s="1063"/>
      <c r="AH110" s="683"/>
    </row>
    <row r="111" spans="1:34" x14ac:dyDescent="0.3">
      <c r="A111" s="1059" t="s">
        <v>54</v>
      </c>
      <c r="B111" s="1048"/>
      <c r="C111" s="1048"/>
      <c r="D111" s="1048"/>
      <c r="E111" s="1048"/>
      <c r="F111" s="1048"/>
      <c r="G111" s="1048"/>
      <c r="H111" s="1048"/>
      <c r="I111" s="1048"/>
      <c r="J111" s="1048"/>
      <c r="K111" s="1048"/>
      <c r="L111" s="1048"/>
      <c r="M111" s="1048"/>
      <c r="N111" s="1048"/>
      <c r="O111" s="1048"/>
      <c r="P111" s="1048"/>
      <c r="Q111" s="1048"/>
      <c r="R111" s="1048"/>
      <c r="S111" s="1048"/>
      <c r="T111" s="1048"/>
      <c r="U111" s="1048"/>
      <c r="V111" s="1048"/>
      <c r="W111" s="1048"/>
      <c r="X111" s="1048"/>
      <c r="Y111" s="1048"/>
      <c r="Z111" s="1048"/>
      <c r="AA111" s="1048"/>
      <c r="AB111" s="1048"/>
      <c r="AC111" s="1048"/>
      <c r="AD111" s="1048"/>
      <c r="AE111" s="1048"/>
      <c r="AF111" s="1049"/>
      <c r="AG111" s="1063"/>
      <c r="AH111" s="683"/>
    </row>
    <row r="112" spans="1:34" ht="75" x14ac:dyDescent="0.3">
      <c r="A112" s="603" t="s">
        <v>268</v>
      </c>
      <c r="B112" s="604"/>
      <c r="C112" s="604"/>
      <c r="D112" s="604"/>
      <c r="E112" s="604"/>
      <c r="F112" s="604"/>
      <c r="G112" s="604"/>
      <c r="H112" s="604"/>
      <c r="I112" s="604"/>
      <c r="J112" s="604"/>
      <c r="K112" s="604"/>
      <c r="L112" s="604"/>
      <c r="M112" s="604"/>
      <c r="N112" s="604"/>
      <c r="O112" s="604"/>
      <c r="P112" s="604"/>
      <c r="Q112" s="604"/>
      <c r="R112" s="604"/>
      <c r="S112" s="604"/>
      <c r="T112" s="604"/>
      <c r="U112" s="604"/>
      <c r="V112" s="604"/>
      <c r="W112" s="604"/>
      <c r="X112" s="604"/>
      <c r="Y112" s="604"/>
      <c r="Z112" s="604"/>
      <c r="AA112" s="604"/>
      <c r="AB112" s="604"/>
      <c r="AC112" s="604"/>
      <c r="AD112" s="604"/>
      <c r="AE112" s="604"/>
      <c r="AF112" s="952"/>
      <c r="AG112" s="1063"/>
      <c r="AH112" s="683"/>
    </row>
    <row r="113" spans="1:34" x14ac:dyDescent="0.3">
      <c r="A113" s="590" t="s">
        <v>31</v>
      </c>
      <c r="B113" s="591">
        <f>B114+B115+B116+B117</f>
        <v>7595.7899999999991</v>
      </c>
      <c r="C113" s="591">
        <f>C114+C115+C116+C117</f>
        <v>2262.1779999999999</v>
      </c>
      <c r="D113" s="591">
        <f>D114+D115+D116+D117</f>
        <v>6581.2070000000012</v>
      </c>
      <c r="E113" s="591">
        <f>E114+E115+E116+E117</f>
        <v>6581.2070000000012</v>
      </c>
      <c r="F113" s="594">
        <f>IFERROR(E113/B113*100,0)</f>
        <v>86.642824511999436</v>
      </c>
      <c r="G113" s="594">
        <f>IFERROR(E113/C113*100,0)</f>
        <v>290.92348170656783</v>
      </c>
      <c r="H113" s="591">
        <f>H114+H115+H116+H117</f>
        <v>1041.415</v>
      </c>
      <c r="I113" s="591">
        <f t="shared" ref="I113:AE113" si="30">I114+I115+I116+I117</f>
        <v>647.00599999999997</v>
      </c>
      <c r="J113" s="591">
        <f t="shared" si="30"/>
        <v>637.91399999999999</v>
      </c>
      <c r="K113" s="591">
        <f>K114+K115+K116+K117</f>
        <v>662.84900000000005</v>
      </c>
      <c r="L113" s="591">
        <f t="shared" si="30"/>
        <v>506.85899999999998</v>
      </c>
      <c r="M113" s="591">
        <f t="shared" si="30"/>
        <v>510.65899999999999</v>
      </c>
      <c r="N113" s="591">
        <f t="shared" si="30"/>
        <v>746.16800000000001</v>
      </c>
      <c r="O113" s="591">
        <f t="shared" si="30"/>
        <v>509.983</v>
      </c>
      <c r="P113" s="591">
        <f t="shared" si="30"/>
        <v>655.12099999999998</v>
      </c>
      <c r="Q113" s="591">
        <f t="shared" si="30"/>
        <v>774.42</v>
      </c>
      <c r="R113" s="591">
        <f t="shared" si="30"/>
        <v>506.85899999999998</v>
      </c>
      <c r="S113" s="591">
        <f t="shared" si="30"/>
        <v>709.31</v>
      </c>
      <c r="T113" s="591">
        <f t="shared" si="30"/>
        <v>746.16800000000001</v>
      </c>
      <c r="U113" s="591">
        <f t="shared" si="30"/>
        <v>837.83</v>
      </c>
      <c r="V113" s="591">
        <f t="shared" si="30"/>
        <v>579.13099999999997</v>
      </c>
      <c r="W113" s="591">
        <f t="shared" si="30"/>
        <v>603.59</v>
      </c>
      <c r="X113" s="591">
        <f t="shared" si="30"/>
        <v>506.85899999999998</v>
      </c>
      <c r="Y113" s="591">
        <f t="shared" si="30"/>
        <v>473.29</v>
      </c>
      <c r="Z113" s="591">
        <f t="shared" si="30"/>
        <v>746.16800000000001</v>
      </c>
      <c r="AA113" s="591">
        <f t="shared" si="30"/>
        <v>414.55</v>
      </c>
      <c r="AB113" s="591">
        <f t="shared" si="30"/>
        <v>563.83399999999995</v>
      </c>
      <c r="AC113" s="591">
        <f t="shared" si="30"/>
        <v>437.72</v>
      </c>
      <c r="AD113" s="591">
        <f t="shared" si="30"/>
        <v>359.29399999999998</v>
      </c>
      <c r="AE113" s="591">
        <f t="shared" si="30"/>
        <v>0</v>
      </c>
      <c r="AF113" s="952"/>
      <c r="AG113" s="1063"/>
      <c r="AH113" s="683"/>
    </row>
    <row r="114" spans="1:34" x14ac:dyDescent="0.3">
      <c r="A114" s="593" t="s">
        <v>169</v>
      </c>
      <c r="B114" s="594">
        <f>J114+L114+N114+P114+R114+T114+V114+X114+Z114+AB114+AD114+H114</f>
        <v>0</v>
      </c>
      <c r="C114" s="594">
        <f>H114+J114+L114+N114+P114+R114+T114+V114+X114+Z114+AB114+AD114</f>
        <v>0</v>
      </c>
      <c r="D114" s="594">
        <f>E114</f>
        <v>0</v>
      </c>
      <c r="E114" s="594">
        <f>SUM(I114,K114,M114,O114,Q114,S114,U114,W114,Y114,AA114,AC114,AE114)</f>
        <v>0</v>
      </c>
      <c r="F114" s="594"/>
      <c r="G114" s="594"/>
      <c r="H114" s="594"/>
      <c r="I114" s="594"/>
      <c r="J114" s="594"/>
      <c r="K114" s="594"/>
      <c r="L114" s="594"/>
      <c r="M114" s="594"/>
      <c r="N114" s="594"/>
      <c r="O114" s="594"/>
      <c r="P114" s="594"/>
      <c r="Q114" s="594"/>
      <c r="R114" s="594"/>
      <c r="S114" s="594"/>
      <c r="T114" s="594"/>
      <c r="U114" s="594"/>
      <c r="V114" s="594"/>
      <c r="W114" s="594"/>
      <c r="X114" s="594"/>
      <c r="Y114" s="594"/>
      <c r="Z114" s="594"/>
      <c r="AA114" s="594"/>
      <c r="AB114" s="594"/>
      <c r="AC114" s="594"/>
      <c r="AD114" s="594"/>
      <c r="AE114" s="594"/>
      <c r="AF114" s="952"/>
      <c r="AG114" s="1063"/>
      <c r="AH114" s="683"/>
    </row>
    <row r="115" spans="1:34" x14ac:dyDescent="0.3">
      <c r="A115" s="593" t="s">
        <v>32</v>
      </c>
      <c r="B115" s="594">
        <f>J115+L115+N115+P115+R115+T115+V115+X115+Z115+AB115+AD115+H115</f>
        <v>75.989999999999995</v>
      </c>
      <c r="C115" s="594">
        <f>H115+J115+L115+N115+P115+R115+T115+V115+X115+Z115+AB115+AD115</f>
        <v>75.989999999999995</v>
      </c>
      <c r="D115" s="594">
        <f>E115</f>
        <v>0</v>
      </c>
      <c r="E115" s="594">
        <f>SUM(I115,K115,M115,O115,Q115,S115,U115,W115,Y115,AA115,AC115,AE115)</f>
        <v>0</v>
      </c>
      <c r="F115" s="594">
        <v>0</v>
      </c>
      <c r="G115" s="594">
        <v>0</v>
      </c>
      <c r="H115" s="594">
        <v>0</v>
      </c>
      <c r="I115" s="594">
        <v>0</v>
      </c>
      <c r="J115" s="594">
        <v>0</v>
      </c>
      <c r="K115" s="594">
        <v>0</v>
      </c>
      <c r="L115" s="594">
        <v>0</v>
      </c>
      <c r="M115" s="1071">
        <v>0</v>
      </c>
      <c r="N115" s="594">
        <v>0</v>
      </c>
      <c r="O115" s="594">
        <v>0</v>
      </c>
      <c r="P115" s="594">
        <v>75.989999999999995</v>
      </c>
      <c r="Q115" s="594">
        <v>0</v>
      </c>
      <c r="R115" s="594">
        <v>0</v>
      </c>
      <c r="S115" s="594">
        <v>0</v>
      </c>
      <c r="T115" s="594">
        <v>0</v>
      </c>
      <c r="U115" s="594">
        <v>0</v>
      </c>
      <c r="V115" s="594">
        <v>0</v>
      </c>
      <c r="W115" s="594">
        <v>0</v>
      </c>
      <c r="X115" s="594">
        <v>0</v>
      </c>
      <c r="Y115" s="594">
        <v>0</v>
      </c>
      <c r="Z115" s="594">
        <v>0</v>
      </c>
      <c r="AA115" s="594">
        <v>0</v>
      </c>
      <c r="AB115" s="594">
        <v>0</v>
      </c>
      <c r="AC115" s="594">
        <v>0</v>
      </c>
      <c r="AD115" s="594">
        <v>0</v>
      </c>
      <c r="AE115" s="594">
        <v>0</v>
      </c>
      <c r="AF115" s="952"/>
      <c r="AG115" s="1063"/>
      <c r="AH115" s="683"/>
    </row>
    <row r="116" spans="1:34" x14ac:dyDescent="0.3">
      <c r="A116" s="593" t="s">
        <v>33</v>
      </c>
      <c r="B116" s="594">
        <f>J116+L116+N116+P116+R116+T116+V116+X116+Z116+AB116+AD116+H116</f>
        <v>7519.7999999999993</v>
      </c>
      <c r="C116" s="594">
        <f>H116+J116+L116</f>
        <v>2186.1880000000001</v>
      </c>
      <c r="D116" s="594">
        <f>E116</f>
        <v>6581.2070000000012</v>
      </c>
      <c r="E116" s="594">
        <f>SUM(I116,K116,M116,O116,Q116,S116,U116,W116,Y116,AA116,AC116,AE116)</f>
        <v>6581.2070000000012</v>
      </c>
      <c r="F116" s="594">
        <f>IFERROR(E116/B116*100,0)</f>
        <v>87.51837814835504</v>
      </c>
      <c r="G116" s="594">
        <f>IFERROR(E116/C116*100,0)</f>
        <v>301.03572977255391</v>
      </c>
      <c r="H116" s="594">
        <v>1041.415</v>
      </c>
      <c r="I116" s="594">
        <v>647.00599999999997</v>
      </c>
      <c r="J116" s="594">
        <v>637.91399999999999</v>
      </c>
      <c r="K116" s="594">
        <v>662.84900000000005</v>
      </c>
      <c r="L116" s="594">
        <v>506.85899999999998</v>
      </c>
      <c r="M116" s="1072">
        <v>510.65899999999999</v>
      </c>
      <c r="N116" s="594">
        <v>746.16800000000001</v>
      </c>
      <c r="O116" s="594">
        <v>509.983</v>
      </c>
      <c r="P116" s="594">
        <v>579.13099999999997</v>
      </c>
      <c r="Q116" s="594">
        <v>774.42</v>
      </c>
      <c r="R116" s="594">
        <v>506.85899999999998</v>
      </c>
      <c r="S116" s="594">
        <v>709.31</v>
      </c>
      <c r="T116" s="594">
        <v>746.16800000000001</v>
      </c>
      <c r="U116" s="594">
        <v>837.83</v>
      </c>
      <c r="V116" s="594">
        <v>579.13099999999997</v>
      </c>
      <c r="W116" s="594">
        <v>603.59</v>
      </c>
      <c r="X116" s="594">
        <v>506.85899999999998</v>
      </c>
      <c r="Y116" s="594">
        <v>473.29</v>
      </c>
      <c r="Z116" s="594">
        <v>746.16800000000001</v>
      </c>
      <c r="AA116" s="594">
        <v>414.55</v>
      </c>
      <c r="AB116" s="594">
        <v>563.83399999999995</v>
      </c>
      <c r="AC116" s="594">
        <v>437.72</v>
      </c>
      <c r="AD116" s="594">
        <v>359.29399999999998</v>
      </c>
      <c r="AE116" s="594"/>
      <c r="AF116" s="952"/>
      <c r="AG116" s="1063"/>
      <c r="AH116" s="683"/>
    </row>
    <row r="117" spans="1:34" x14ac:dyDescent="0.3">
      <c r="A117" s="593" t="s">
        <v>170</v>
      </c>
      <c r="B117" s="594">
        <f>J117+L117+N117+P117+R117+T117+V117+X117+Z117+AB117+AD117+H117</f>
        <v>0</v>
      </c>
      <c r="C117" s="594">
        <f>H117+J117+L117+N117+P117+R117+T117+V117+X117+Z117+AB117+AD117</f>
        <v>0</v>
      </c>
      <c r="D117" s="594">
        <f>E117</f>
        <v>0</v>
      </c>
      <c r="E117" s="594">
        <f>SUM(I117,K117,M117,O117,Q117,S117,U117,W117,Y117,AA117,AC117,AE117)</f>
        <v>0</v>
      </c>
      <c r="F117" s="594"/>
      <c r="G117" s="594"/>
      <c r="H117" s="594"/>
      <c r="I117" s="594"/>
      <c r="J117" s="594"/>
      <c r="K117" s="594"/>
      <c r="L117" s="594"/>
      <c r="M117" s="1073"/>
      <c r="N117" s="594"/>
      <c r="O117" s="594"/>
      <c r="P117" s="594"/>
      <c r="Q117" s="594"/>
      <c r="R117" s="594"/>
      <c r="S117" s="594"/>
      <c r="T117" s="594"/>
      <c r="U117" s="594"/>
      <c r="V117" s="594"/>
      <c r="W117" s="594"/>
      <c r="X117" s="594"/>
      <c r="Y117" s="594"/>
      <c r="Z117" s="594"/>
      <c r="AA117" s="594"/>
      <c r="AB117" s="594"/>
      <c r="AC117" s="594"/>
      <c r="AD117" s="594"/>
      <c r="AE117" s="594"/>
      <c r="AF117" s="952"/>
      <c r="AG117" s="1063"/>
      <c r="AH117" s="683"/>
    </row>
    <row r="118" spans="1:34" x14ac:dyDescent="0.3">
      <c r="A118" s="1059" t="s">
        <v>269</v>
      </c>
      <c r="B118" s="1048"/>
      <c r="C118" s="1048"/>
      <c r="D118" s="1048"/>
      <c r="E118" s="1048"/>
      <c r="F118" s="1048"/>
      <c r="G118" s="1048"/>
      <c r="H118" s="1048"/>
      <c r="I118" s="1048"/>
      <c r="J118" s="1048"/>
      <c r="K118" s="1048"/>
      <c r="L118" s="1048"/>
      <c r="M118" s="1048"/>
      <c r="N118" s="1048"/>
      <c r="O118" s="1048"/>
      <c r="P118" s="1048"/>
      <c r="Q118" s="1048"/>
      <c r="R118" s="1048"/>
      <c r="S118" s="1048"/>
      <c r="T118" s="1048"/>
      <c r="U118" s="1048"/>
      <c r="V118" s="1048"/>
      <c r="W118" s="1048"/>
      <c r="X118" s="1048"/>
      <c r="Y118" s="1048"/>
      <c r="Z118" s="1048"/>
      <c r="AA118" s="1048"/>
      <c r="AB118" s="1048"/>
      <c r="AC118" s="1048"/>
      <c r="AD118" s="1048"/>
      <c r="AE118" s="1048"/>
      <c r="AF118" s="1049"/>
      <c r="AG118" s="1063"/>
      <c r="AH118" s="683"/>
    </row>
    <row r="119" spans="1:34" x14ac:dyDescent="0.3">
      <c r="A119" s="1059" t="s">
        <v>54</v>
      </c>
      <c r="B119" s="1048"/>
      <c r="C119" s="1048"/>
      <c r="D119" s="1048"/>
      <c r="E119" s="1048"/>
      <c r="F119" s="1048"/>
      <c r="G119" s="1048"/>
      <c r="H119" s="1048"/>
      <c r="I119" s="1048"/>
      <c r="J119" s="1048"/>
      <c r="K119" s="1048"/>
      <c r="L119" s="1048"/>
      <c r="M119" s="1048"/>
      <c r="N119" s="1048"/>
      <c r="O119" s="1048"/>
      <c r="P119" s="1048"/>
      <c r="Q119" s="1048"/>
      <c r="R119" s="1048"/>
      <c r="S119" s="1048"/>
      <c r="T119" s="1048"/>
      <c r="U119" s="1048"/>
      <c r="V119" s="1048"/>
      <c r="W119" s="1048"/>
      <c r="X119" s="1048"/>
      <c r="Y119" s="1048"/>
      <c r="Z119" s="1048"/>
      <c r="AA119" s="1048"/>
      <c r="AB119" s="1048"/>
      <c r="AC119" s="1048"/>
      <c r="AD119" s="1048"/>
      <c r="AE119" s="1048"/>
      <c r="AF119" s="1049"/>
      <c r="AG119" s="1063"/>
      <c r="AH119" s="683"/>
    </row>
    <row r="120" spans="1:34" ht="43.5" customHeight="1" x14ac:dyDescent="0.3">
      <c r="A120" s="584" t="s">
        <v>270</v>
      </c>
      <c r="B120" s="1074"/>
      <c r="C120" s="1074"/>
      <c r="D120" s="1074"/>
      <c r="E120" s="1074"/>
      <c r="F120" s="1074"/>
      <c r="G120" s="1074"/>
      <c r="H120" s="1074"/>
      <c r="I120" s="1074"/>
      <c r="J120" s="1074"/>
      <c r="K120" s="1074"/>
      <c r="L120" s="1074"/>
      <c r="M120" s="1074"/>
      <c r="N120" s="1074"/>
      <c r="O120" s="1074"/>
      <c r="P120" s="1074"/>
      <c r="Q120" s="1074"/>
      <c r="R120" s="1074"/>
      <c r="S120" s="1074"/>
      <c r="T120" s="1074"/>
      <c r="U120" s="1074"/>
      <c r="V120" s="1074"/>
      <c r="W120" s="1074"/>
      <c r="X120" s="1074"/>
      <c r="Y120" s="1074"/>
      <c r="Z120" s="1074"/>
      <c r="AA120" s="1074"/>
      <c r="AB120" s="1074"/>
      <c r="AC120" s="1074"/>
      <c r="AD120" s="1074"/>
      <c r="AE120" s="1074"/>
      <c r="AF120" s="1075" t="s">
        <v>504</v>
      </c>
      <c r="AG120" s="1063"/>
      <c r="AH120" s="683"/>
    </row>
    <row r="121" spans="1:34" x14ac:dyDescent="0.3">
      <c r="A121" s="1066" t="s">
        <v>31</v>
      </c>
      <c r="B121" s="591">
        <f>B122+B123+B124+B125</f>
        <v>1301.9076</v>
      </c>
      <c r="C121" s="591">
        <f>C122+C123+C124+C125</f>
        <v>995.57640000000004</v>
      </c>
      <c r="D121" s="591">
        <f>D122+D123+D124+D125</f>
        <v>2490.0100000000007</v>
      </c>
      <c r="E121" s="591">
        <f>E122+E123+E124+E125</f>
        <v>2490.0100000000007</v>
      </c>
      <c r="F121" s="594">
        <f>IFERROR(E121/B121*100,0)</f>
        <v>191.25858087010175</v>
      </c>
      <c r="G121" s="594">
        <f>IFERROR(E121/C121*100,0)</f>
        <v>250.10737498397918</v>
      </c>
      <c r="H121" s="591">
        <f t="shared" ref="H121:AE121" si="31">H122+H123+H124+H125</f>
        <v>497.78820000000007</v>
      </c>
      <c r="I121" s="591">
        <f t="shared" si="31"/>
        <v>951.04</v>
      </c>
      <c r="J121" s="591">
        <f t="shared" si="31"/>
        <v>306.33120000000002</v>
      </c>
      <c r="K121" s="591">
        <f t="shared" si="31"/>
        <v>587.93000000000006</v>
      </c>
      <c r="L121" s="591">
        <f t="shared" si="31"/>
        <v>191.45700000000002</v>
      </c>
      <c r="M121" s="591">
        <f t="shared" si="31"/>
        <v>363.11</v>
      </c>
      <c r="N121" s="591">
        <f t="shared" si="31"/>
        <v>114.8742</v>
      </c>
      <c r="O121" s="591">
        <f t="shared" si="31"/>
        <v>224.82000000000002</v>
      </c>
      <c r="P121" s="591">
        <f t="shared" si="31"/>
        <v>76.582800000000006</v>
      </c>
      <c r="Q121" s="591">
        <f t="shared" si="31"/>
        <v>138.29</v>
      </c>
      <c r="R121" s="591">
        <f t="shared" si="31"/>
        <v>38.291400000000003</v>
      </c>
      <c r="S121" s="591">
        <f t="shared" si="31"/>
        <v>86.530000000000015</v>
      </c>
      <c r="T121" s="591">
        <f t="shared" si="31"/>
        <v>38.291400000000003</v>
      </c>
      <c r="U121" s="591">
        <f t="shared" si="31"/>
        <v>51.76</v>
      </c>
      <c r="V121" s="591">
        <f t="shared" si="31"/>
        <v>0</v>
      </c>
      <c r="W121" s="591">
        <f t="shared" si="31"/>
        <v>34.770000000000003</v>
      </c>
      <c r="X121" s="591">
        <f t="shared" si="31"/>
        <v>38.291400000000003</v>
      </c>
      <c r="Y121" s="591">
        <f t="shared" si="31"/>
        <v>16.990000000000002</v>
      </c>
      <c r="Z121" s="591">
        <f t="shared" si="31"/>
        <v>0</v>
      </c>
      <c r="AA121" s="591">
        <f t="shared" si="31"/>
        <v>17.78</v>
      </c>
      <c r="AB121" s="591">
        <f t="shared" si="31"/>
        <v>0</v>
      </c>
      <c r="AC121" s="591">
        <f t="shared" si="31"/>
        <v>13.48</v>
      </c>
      <c r="AD121" s="591">
        <f t="shared" si="31"/>
        <v>0</v>
      </c>
      <c r="AE121" s="591">
        <f t="shared" si="31"/>
        <v>3.51</v>
      </c>
      <c r="AF121" s="952"/>
      <c r="AG121" s="1063"/>
      <c r="AH121" s="683"/>
    </row>
    <row r="122" spans="1:34" x14ac:dyDescent="0.3">
      <c r="A122" s="640" t="s">
        <v>169</v>
      </c>
      <c r="B122" s="594">
        <f>J122+L122+N122+P122+R122+T122+V122+X122+Z122+AB122+AD122+H122</f>
        <v>0</v>
      </c>
      <c r="C122" s="594">
        <f>H122+J122+L122+N122+P122+R122+T122+V122+X122+Z122+AB122+AD122</f>
        <v>0</v>
      </c>
      <c r="D122" s="594">
        <f>E122</f>
        <v>0</v>
      </c>
      <c r="E122" s="594">
        <f>SUM(I122,K122,M122,O122,Q122,S122,U122,W122,Y122,AA122,AC122,AE122)</f>
        <v>0</v>
      </c>
      <c r="F122" s="594">
        <f t="shared" ref="F122:U125" si="32">SUM(J122,L122,N122,P122,R122,T122,V122,X122,Z122,AB122,AD122,AF122)</f>
        <v>0</v>
      </c>
      <c r="G122" s="594">
        <f t="shared" si="32"/>
        <v>0</v>
      </c>
      <c r="H122" s="594">
        <f t="shared" si="32"/>
        <v>0</v>
      </c>
      <c r="I122" s="594">
        <f t="shared" si="32"/>
        <v>0</v>
      </c>
      <c r="J122" s="594">
        <f t="shared" si="32"/>
        <v>0</v>
      </c>
      <c r="K122" s="594">
        <f t="shared" si="32"/>
        <v>0</v>
      </c>
      <c r="L122" s="594">
        <f t="shared" si="32"/>
        <v>0</v>
      </c>
      <c r="M122" s="594">
        <f t="shared" si="32"/>
        <v>0</v>
      </c>
      <c r="N122" s="594">
        <f t="shared" si="32"/>
        <v>0</v>
      </c>
      <c r="O122" s="594">
        <f t="shared" si="32"/>
        <v>0</v>
      </c>
      <c r="P122" s="594">
        <f t="shared" si="32"/>
        <v>0</v>
      </c>
      <c r="Q122" s="594">
        <f t="shared" si="32"/>
        <v>0</v>
      </c>
      <c r="R122" s="594">
        <f t="shared" si="32"/>
        <v>0</v>
      </c>
      <c r="S122" s="594">
        <f t="shared" si="32"/>
        <v>0</v>
      </c>
      <c r="T122" s="594">
        <f t="shared" si="32"/>
        <v>0</v>
      </c>
      <c r="U122" s="594">
        <f t="shared" si="32"/>
        <v>0</v>
      </c>
      <c r="V122" s="594">
        <f t="shared" ref="V122:AE125" si="33">SUM(Z122,AB122,AD122,AF122,AH122,AJ122,AL122,AN122,AP122,AR122,AT122,AV122)</f>
        <v>0</v>
      </c>
      <c r="W122" s="594">
        <f t="shared" si="33"/>
        <v>0</v>
      </c>
      <c r="X122" s="594">
        <f t="shared" si="33"/>
        <v>0</v>
      </c>
      <c r="Y122" s="594">
        <f t="shared" si="33"/>
        <v>0</v>
      </c>
      <c r="Z122" s="594">
        <f t="shared" si="33"/>
        <v>0</v>
      </c>
      <c r="AA122" s="594">
        <f t="shared" si="33"/>
        <v>0</v>
      </c>
      <c r="AB122" s="594">
        <f t="shared" si="33"/>
        <v>0</v>
      </c>
      <c r="AC122" s="594">
        <f t="shared" si="33"/>
        <v>0</v>
      </c>
      <c r="AD122" s="594">
        <f t="shared" si="33"/>
        <v>0</v>
      </c>
      <c r="AE122" s="594">
        <f t="shared" si="33"/>
        <v>0</v>
      </c>
      <c r="AF122" s="952"/>
      <c r="AG122" s="1063"/>
      <c r="AH122" s="683"/>
    </row>
    <row r="123" spans="1:34" x14ac:dyDescent="0.3">
      <c r="A123" s="640" t="s">
        <v>32</v>
      </c>
      <c r="B123" s="594">
        <f>J123+L123+N123+P123+R123+T123+V123+X123+Z123+AB123+AD123+H123</f>
        <v>0</v>
      </c>
      <c r="C123" s="594">
        <f>H123+J123+L123+N123+P123+R123+T123+V123+X123+Z123+AB123+AD123</f>
        <v>0</v>
      </c>
      <c r="D123" s="594">
        <f>E123</f>
        <v>0</v>
      </c>
      <c r="E123" s="594">
        <f>SUM(I123,K123,M123,O123,Q123,S123,U123,W123,Y123,AA123,AC123,AE123)</f>
        <v>0</v>
      </c>
      <c r="F123" s="594">
        <f t="shared" si="32"/>
        <v>0</v>
      </c>
      <c r="G123" s="594">
        <f t="shared" si="32"/>
        <v>0</v>
      </c>
      <c r="H123" s="594">
        <f t="shared" si="32"/>
        <v>0</v>
      </c>
      <c r="I123" s="594">
        <f t="shared" si="32"/>
        <v>0</v>
      </c>
      <c r="J123" s="594">
        <f t="shared" si="32"/>
        <v>0</v>
      </c>
      <c r="K123" s="594">
        <f t="shared" si="32"/>
        <v>0</v>
      </c>
      <c r="L123" s="594">
        <f t="shared" si="32"/>
        <v>0</v>
      </c>
      <c r="M123" s="594">
        <f t="shared" si="32"/>
        <v>0</v>
      </c>
      <c r="N123" s="594">
        <f t="shared" si="32"/>
        <v>0</v>
      </c>
      <c r="O123" s="594">
        <f t="shared" si="32"/>
        <v>0</v>
      </c>
      <c r="P123" s="594">
        <f t="shared" si="32"/>
        <v>0</v>
      </c>
      <c r="Q123" s="594">
        <f t="shared" si="32"/>
        <v>0</v>
      </c>
      <c r="R123" s="594">
        <f t="shared" si="32"/>
        <v>0</v>
      </c>
      <c r="S123" s="594">
        <f t="shared" si="32"/>
        <v>0</v>
      </c>
      <c r="T123" s="594">
        <f t="shared" si="32"/>
        <v>0</v>
      </c>
      <c r="U123" s="594">
        <f t="shared" si="32"/>
        <v>0</v>
      </c>
      <c r="V123" s="594">
        <f t="shared" si="33"/>
        <v>0</v>
      </c>
      <c r="W123" s="594">
        <f t="shared" si="33"/>
        <v>0</v>
      </c>
      <c r="X123" s="594">
        <f t="shared" si="33"/>
        <v>0</v>
      </c>
      <c r="Y123" s="594">
        <f t="shared" si="33"/>
        <v>0</v>
      </c>
      <c r="Z123" s="594">
        <f t="shared" si="33"/>
        <v>0</v>
      </c>
      <c r="AA123" s="594">
        <f t="shared" si="33"/>
        <v>0</v>
      </c>
      <c r="AB123" s="594">
        <f t="shared" si="33"/>
        <v>0</v>
      </c>
      <c r="AC123" s="594">
        <f t="shared" si="33"/>
        <v>0</v>
      </c>
      <c r="AD123" s="594">
        <f t="shared" si="33"/>
        <v>0</v>
      </c>
      <c r="AE123" s="594">
        <f t="shared" si="33"/>
        <v>0</v>
      </c>
      <c r="AF123" s="952"/>
      <c r="AG123" s="1063"/>
      <c r="AH123" s="683"/>
    </row>
    <row r="124" spans="1:34" x14ac:dyDescent="0.3">
      <c r="A124" s="640" t="s">
        <v>33</v>
      </c>
      <c r="B124" s="594">
        <f>J124+L124+N124+P124+R124+T124+V124+X124+Z124+AB124+AD124+H124</f>
        <v>1301.9076</v>
      </c>
      <c r="C124" s="594">
        <f>H124+J124+L124</f>
        <v>995.57640000000004</v>
      </c>
      <c r="D124" s="594">
        <f>E124</f>
        <v>2490.0100000000007</v>
      </c>
      <c r="E124" s="594">
        <f>SUM(I124,K124,M124,O124,Q124,S124,U124,W124,Y124,AA124,AC124,AE124)</f>
        <v>2490.0100000000007</v>
      </c>
      <c r="F124" s="594">
        <f>IFERROR(E124/B124*100,0)</f>
        <v>191.25858087010175</v>
      </c>
      <c r="G124" s="594">
        <f t="shared" si="32"/>
        <v>1538.97</v>
      </c>
      <c r="H124" s="594">
        <f t="shared" si="32"/>
        <v>497.78820000000007</v>
      </c>
      <c r="I124" s="594">
        <f t="shared" si="32"/>
        <v>951.04</v>
      </c>
      <c r="J124" s="594">
        <f t="shared" si="32"/>
        <v>306.33120000000002</v>
      </c>
      <c r="K124" s="594">
        <f t="shared" si="32"/>
        <v>587.93000000000006</v>
      </c>
      <c r="L124" s="594">
        <f t="shared" si="32"/>
        <v>191.45700000000002</v>
      </c>
      <c r="M124" s="594">
        <f t="shared" si="32"/>
        <v>363.11</v>
      </c>
      <c r="N124" s="594">
        <f t="shared" si="32"/>
        <v>114.8742</v>
      </c>
      <c r="O124" s="594">
        <f t="shared" si="32"/>
        <v>224.82000000000002</v>
      </c>
      <c r="P124" s="594">
        <f t="shared" si="32"/>
        <v>76.582800000000006</v>
      </c>
      <c r="Q124" s="594">
        <f t="shared" si="32"/>
        <v>138.29</v>
      </c>
      <c r="R124" s="594">
        <f t="shared" si="32"/>
        <v>38.291400000000003</v>
      </c>
      <c r="S124" s="594">
        <f t="shared" si="32"/>
        <v>86.530000000000015</v>
      </c>
      <c r="T124" s="594">
        <f t="shared" si="32"/>
        <v>38.291400000000003</v>
      </c>
      <c r="U124" s="594">
        <f t="shared" si="32"/>
        <v>51.76</v>
      </c>
      <c r="V124" s="594">
        <f t="shared" si="33"/>
        <v>0</v>
      </c>
      <c r="W124" s="594">
        <f t="shared" si="33"/>
        <v>34.770000000000003</v>
      </c>
      <c r="X124" s="594">
        <v>38.291400000000003</v>
      </c>
      <c r="Y124" s="594">
        <f t="shared" si="33"/>
        <v>16.990000000000002</v>
      </c>
      <c r="Z124" s="594">
        <f t="shared" si="33"/>
        <v>0</v>
      </c>
      <c r="AA124" s="594">
        <v>17.78</v>
      </c>
      <c r="AB124" s="594">
        <f t="shared" si="33"/>
        <v>0</v>
      </c>
      <c r="AC124" s="594">
        <v>13.48</v>
      </c>
      <c r="AD124" s="594">
        <f t="shared" si="33"/>
        <v>0</v>
      </c>
      <c r="AE124" s="594">
        <v>3.51</v>
      </c>
      <c r="AF124" s="952"/>
      <c r="AG124" s="1063"/>
      <c r="AH124" s="683"/>
    </row>
    <row r="125" spans="1:34" x14ac:dyDescent="0.3">
      <c r="A125" s="640" t="s">
        <v>170</v>
      </c>
      <c r="B125" s="594">
        <f>J125+L125+N125+P125+R125+T125+V125+X125+Z125+AB125+AD125+H125</f>
        <v>0</v>
      </c>
      <c r="C125" s="594">
        <f>H125+J125+L125+N125+P125+R125+T125+V125+X125+Z125+AB125+AD125</f>
        <v>0</v>
      </c>
      <c r="D125" s="594">
        <f>E125</f>
        <v>0</v>
      </c>
      <c r="E125" s="594">
        <f>SUM(I125,K125,M125,O125,Q125,S125,U125,W125,Y125,AA125,AC125,AE125)</f>
        <v>0</v>
      </c>
      <c r="F125" s="594">
        <f t="shared" ref="F125" si="34">SUM(J125,L125,N125,P125,R125,T125,V125,X125,Z125,AB125,AD125,AF125)</f>
        <v>0</v>
      </c>
      <c r="G125" s="594">
        <f t="shared" si="32"/>
        <v>0</v>
      </c>
      <c r="H125" s="594">
        <f t="shared" si="32"/>
        <v>0</v>
      </c>
      <c r="I125" s="594">
        <f t="shared" si="32"/>
        <v>0</v>
      </c>
      <c r="J125" s="594">
        <f t="shared" si="32"/>
        <v>0</v>
      </c>
      <c r="K125" s="594">
        <f t="shared" si="32"/>
        <v>0</v>
      </c>
      <c r="L125" s="594">
        <f t="shared" si="32"/>
        <v>0</v>
      </c>
      <c r="M125" s="594">
        <f t="shared" si="32"/>
        <v>0</v>
      </c>
      <c r="N125" s="594">
        <f t="shared" si="32"/>
        <v>0</v>
      </c>
      <c r="O125" s="594">
        <f t="shared" si="32"/>
        <v>0</v>
      </c>
      <c r="P125" s="594">
        <f t="shared" si="32"/>
        <v>0</v>
      </c>
      <c r="Q125" s="594">
        <f t="shared" si="32"/>
        <v>0</v>
      </c>
      <c r="R125" s="594">
        <f t="shared" si="32"/>
        <v>0</v>
      </c>
      <c r="S125" s="594">
        <f t="shared" si="32"/>
        <v>0</v>
      </c>
      <c r="T125" s="594">
        <f t="shared" si="32"/>
        <v>0</v>
      </c>
      <c r="U125" s="594">
        <f t="shared" si="32"/>
        <v>0</v>
      </c>
      <c r="V125" s="594">
        <f t="shared" si="33"/>
        <v>0</v>
      </c>
      <c r="W125" s="594">
        <f t="shared" si="33"/>
        <v>0</v>
      </c>
      <c r="X125" s="594">
        <f t="shared" si="33"/>
        <v>0</v>
      </c>
      <c r="Y125" s="594">
        <f t="shared" si="33"/>
        <v>0</v>
      </c>
      <c r="Z125" s="594">
        <f t="shared" si="33"/>
        <v>0</v>
      </c>
      <c r="AA125" s="594">
        <f t="shared" si="33"/>
        <v>0</v>
      </c>
      <c r="AB125" s="594">
        <f t="shared" si="33"/>
        <v>0</v>
      </c>
      <c r="AC125" s="594">
        <f t="shared" si="33"/>
        <v>0</v>
      </c>
      <c r="AD125" s="594">
        <f t="shared" si="33"/>
        <v>0</v>
      </c>
      <c r="AE125" s="594">
        <f t="shared" si="33"/>
        <v>0</v>
      </c>
      <c r="AF125" s="952"/>
      <c r="AG125" s="1063"/>
      <c r="AH125" s="683"/>
    </row>
    <row r="126" spans="1:34" ht="83.25" customHeight="1" x14ac:dyDescent="0.3">
      <c r="A126" s="584" t="s">
        <v>271</v>
      </c>
      <c r="B126" s="1074"/>
      <c r="C126" s="1074"/>
      <c r="D126" s="1074"/>
      <c r="E126" s="1074"/>
      <c r="F126" s="1074"/>
      <c r="G126" s="1074"/>
      <c r="H126" s="1074"/>
      <c r="I126" s="1074"/>
      <c r="J126" s="1074"/>
      <c r="K126" s="1074"/>
      <c r="L126" s="1074"/>
      <c r="M126" s="1074"/>
      <c r="N126" s="1074"/>
      <c r="O126" s="1074"/>
      <c r="P126" s="1074"/>
      <c r="Q126" s="1074"/>
      <c r="R126" s="1074"/>
      <c r="S126" s="1074"/>
      <c r="T126" s="1074"/>
      <c r="U126" s="1074"/>
      <c r="V126" s="1074"/>
      <c r="W126" s="1074"/>
      <c r="X126" s="1074"/>
      <c r="Y126" s="1074"/>
      <c r="Z126" s="1074"/>
      <c r="AA126" s="1074"/>
      <c r="AB126" s="1074"/>
      <c r="AC126" s="1074"/>
      <c r="AD126" s="1074"/>
      <c r="AE126" s="1074"/>
      <c r="AF126" s="952"/>
      <c r="AG126" s="1063"/>
      <c r="AH126" s="683"/>
    </row>
    <row r="127" spans="1:34" x14ac:dyDescent="0.3">
      <c r="A127" s="1066" t="s">
        <v>31</v>
      </c>
      <c r="B127" s="591">
        <f>B128+B129+B130+B131</f>
        <v>0</v>
      </c>
      <c r="C127" s="591">
        <f>C128+C129+C130+C131</f>
        <v>0</v>
      </c>
      <c r="D127" s="591">
        <f>D128+D129+D130+D131</f>
        <v>0</v>
      </c>
      <c r="E127" s="591">
        <f>E128+E129+E130+E131</f>
        <v>0</v>
      </c>
      <c r="F127" s="594">
        <f>IFERROR(E127/B127*100,0)</f>
        <v>0</v>
      </c>
      <c r="G127" s="594">
        <f>IFERROR(E127/C127*100,0)</f>
        <v>0</v>
      </c>
      <c r="H127" s="591">
        <f t="shared" ref="H127:AE127" si="35">H128+H129+H130+H131</f>
        <v>0</v>
      </c>
      <c r="I127" s="591">
        <f t="shared" si="35"/>
        <v>0</v>
      </c>
      <c r="J127" s="591">
        <f t="shared" si="35"/>
        <v>0</v>
      </c>
      <c r="K127" s="591">
        <f t="shared" si="35"/>
        <v>0</v>
      </c>
      <c r="L127" s="591">
        <f t="shared" si="35"/>
        <v>0</v>
      </c>
      <c r="M127" s="591">
        <f t="shared" si="35"/>
        <v>0</v>
      </c>
      <c r="N127" s="591">
        <f t="shared" si="35"/>
        <v>0</v>
      </c>
      <c r="O127" s="591">
        <f t="shared" si="35"/>
        <v>0</v>
      </c>
      <c r="P127" s="591">
        <f t="shared" si="35"/>
        <v>0</v>
      </c>
      <c r="Q127" s="591">
        <f t="shared" si="35"/>
        <v>0</v>
      </c>
      <c r="R127" s="591">
        <f t="shared" si="35"/>
        <v>0</v>
      </c>
      <c r="S127" s="591">
        <f t="shared" si="35"/>
        <v>0</v>
      </c>
      <c r="T127" s="591">
        <f t="shared" si="35"/>
        <v>0</v>
      </c>
      <c r="U127" s="591">
        <f t="shared" si="35"/>
        <v>0</v>
      </c>
      <c r="V127" s="591">
        <f t="shared" si="35"/>
        <v>0</v>
      </c>
      <c r="W127" s="591">
        <f t="shared" si="35"/>
        <v>0</v>
      </c>
      <c r="X127" s="591">
        <f t="shared" si="35"/>
        <v>0</v>
      </c>
      <c r="Y127" s="591">
        <f t="shared" si="35"/>
        <v>0</v>
      </c>
      <c r="Z127" s="591">
        <f t="shared" si="35"/>
        <v>0</v>
      </c>
      <c r="AA127" s="591">
        <f t="shared" si="35"/>
        <v>0</v>
      </c>
      <c r="AB127" s="591">
        <f t="shared" si="35"/>
        <v>0</v>
      </c>
      <c r="AC127" s="591">
        <f t="shared" si="35"/>
        <v>0</v>
      </c>
      <c r="AD127" s="591">
        <f t="shared" si="35"/>
        <v>0</v>
      </c>
      <c r="AE127" s="591">
        <f t="shared" si="35"/>
        <v>0</v>
      </c>
      <c r="AF127" s="952"/>
      <c r="AG127" s="1063"/>
      <c r="AH127" s="683"/>
    </row>
    <row r="128" spans="1:34" x14ac:dyDescent="0.3">
      <c r="A128" s="640" t="s">
        <v>169</v>
      </c>
      <c r="B128" s="594">
        <f>J128+L128+N128+P128+R128+T128+V128+X128+Z128+AB128+AD128+H128</f>
        <v>0</v>
      </c>
      <c r="C128" s="594">
        <f>SUM(H128)</f>
        <v>0</v>
      </c>
      <c r="D128" s="594">
        <f>E128</f>
        <v>0</v>
      </c>
      <c r="E128" s="594">
        <f>SUM(I128,K128,M128,O128,Q128,S128,U128,W128,Y128,AA128,AC128,AE128)</f>
        <v>0</v>
      </c>
      <c r="F128" s="594"/>
      <c r="G128" s="594"/>
      <c r="H128" s="594"/>
      <c r="I128" s="594"/>
      <c r="J128" s="594"/>
      <c r="K128" s="594"/>
      <c r="L128" s="594"/>
      <c r="M128" s="594"/>
      <c r="N128" s="594"/>
      <c r="O128" s="594"/>
      <c r="P128" s="594"/>
      <c r="Q128" s="594"/>
      <c r="R128" s="594"/>
      <c r="S128" s="594"/>
      <c r="T128" s="594"/>
      <c r="U128" s="594"/>
      <c r="V128" s="594"/>
      <c r="W128" s="594"/>
      <c r="X128" s="594"/>
      <c r="Y128" s="594"/>
      <c r="Z128" s="594"/>
      <c r="AA128" s="594"/>
      <c r="AB128" s="594"/>
      <c r="AC128" s="594"/>
      <c r="AD128" s="594"/>
      <c r="AE128" s="594"/>
      <c r="AF128" s="952"/>
      <c r="AG128" s="1063"/>
      <c r="AH128" s="683"/>
    </row>
    <row r="129" spans="1:34" x14ac:dyDescent="0.3">
      <c r="A129" s="640" t="s">
        <v>32</v>
      </c>
      <c r="B129" s="594">
        <f>J129+L129+N129+P129+R129+T129+V129+X129+Z129+AB129+AD129+H129</f>
        <v>0</v>
      </c>
      <c r="C129" s="594">
        <f>SUM(H129)</f>
        <v>0</v>
      </c>
      <c r="D129" s="594">
        <f>E129</f>
        <v>0</v>
      </c>
      <c r="E129" s="594">
        <f>SUM(I129,K129,M129,O129,Q129,S129,U129,W129,Y129,AA129,AC129,AE129)</f>
        <v>0</v>
      </c>
      <c r="F129" s="594"/>
      <c r="G129" s="594"/>
      <c r="H129" s="594"/>
      <c r="I129" s="594"/>
      <c r="J129" s="594"/>
      <c r="K129" s="594"/>
      <c r="L129" s="594"/>
      <c r="M129" s="594"/>
      <c r="N129" s="594"/>
      <c r="O129" s="594"/>
      <c r="P129" s="594"/>
      <c r="Q129" s="594"/>
      <c r="R129" s="594"/>
      <c r="S129" s="594"/>
      <c r="T129" s="594"/>
      <c r="U129" s="594"/>
      <c r="V129" s="594"/>
      <c r="W129" s="594"/>
      <c r="X129" s="594"/>
      <c r="Y129" s="594"/>
      <c r="Z129" s="594"/>
      <c r="AA129" s="594"/>
      <c r="AB129" s="594"/>
      <c r="AC129" s="594"/>
      <c r="AD129" s="594"/>
      <c r="AE129" s="594"/>
      <c r="AF129" s="952"/>
      <c r="AG129" s="1063"/>
      <c r="AH129" s="683"/>
    </row>
    <row r="130" spans="1:34" x14ac:dyDescent="0.3">
      <c r="A130" s="640" t="s">
        <v>33</v>
      </c>
      <c r="B130" s="594">
        <f>J130+L130+N130+P130+R130+T130+V130+X130+Z130+AB130+AD130+H130</f>
        <v>0</v>
      </c>
      <c r="C130" s="594">
        <f>SUM(H130)</f>
        <v>0</v>
      </c>
      <c r="D130" s="594">
        <f>E130</f>
        <v>0</v>
      </c>
      <c r="E130" s="594">
        <f>SUM(I130,K130,M130,O130,Q130,S130,U130,W130,Y130,AA130,AC130,AE130)</f>
        <v>0</v>
      </c>
      <c r="F130" s="594">
        <f>IFERROR(E130/B130*100,0)</f>
        <v>0</v>
      </c>
      <c r="G130" s="594">
        <f>IFERROR(E130/C130*100,0)</f>
        <v>0</v>
      </c>
      <c r="H130" s="594"/>
      <c r="I130" s="594"/>
      <c r="J130" s="594"/>
      <c r="K130" s="594"/>
      <c r="L130" s="594"/>
      <c r="M130" s="594"/>
      <c r="N130" s="594"/>
      <c r="O130" s="594"/>
      <c r="P130" s="594"/>
      <c r="Q130" s="594"/>
      <c r="R130" s="594"/>
      <c r="S130" s="594"/>
      <c r="T130" s="594"/>
      <c r="U130" s="594"/>
      <c r="V130" s="594"/>
      <c r="W130" s="594"/>
      <c r="X130" s="594"/>
      <c r="Y130" s="594"/>
      <c r="Z130" s="594"/>
      <c r="AA130" s="594"/>
      <c r="AB130" s="594"/>
      <c r="AC130" s="594"/>
      <c r="AD130" s="594"/>
      <c r="AE130" s="594"/>
      <c r="AF130" s="952"/>
      <c r="AG130" s="1063"/>
      <c r="AH130" s="683"/>
    </row>
    <row r="131" spans="1:34" x14ac:dyDescent="0.3">
      <c r="A131" s="640" t="s">
        <v>170</v>
      </c>
      <c r="B131" s="594">
        <f>J131+L131+N131+P131+R131+T131+V131+X131+Z131+AB131+AD131+H131</f>
        <v>0</v>
      </c>
      <c r="C131" s="594">
        <f>SUM(H131)</f>
        <v>0</v>
      </c>
      <c r="D131" s="594">
        <f>E131</f>
        <v>0</v>
      </c>
      <c r="E131" s="594">
        <f>SUM(I131,K131,M131,O131,Q131,S131,U131,W131,Y131,AA131,AC131,AE131)</f>
        <v>0</v>
      </c>
      <c r="F131" s="594"/>
      <c r="G131" s="594"/>
      <c r="H131" s="594"/>
      <c r="I131" s="594"/>
      <c r="J131" s="594"/>
      <c r="K131" s="594"/>
      <c r="L131" s="594"/>
      <c r="M131" s="594"/>
      <c r="N131" s="594"/>
      <c r="O131" s="594"/>
      <c r="P131" s="594"/>
      <c r="Q131" s="594"/>
      <c r="R131" s="594"/>
      <c r="S131" s="594"/>
      <c r="T131" s="594"/>
      <c r="U131" s="594"/>
      <c r="V131" s="594"/>
      <c r="W131" s="594"/>
      <c r="X131" s="594"/>
      <c r="Y131" s="594"/>
      <c r="Z131" s="594"/>
      <c r="AA131" s="594"/>
      <c r="AB131" s="594"/>
      <c r="AC131" s="594"/>
      <c r="AD131" s="594"/>
      <c r="AE131" s="594"/>
      <c r="AF131" s="952"/>
      <c r="AG131" s="1063"/>
      <c r="AH131" s="683"/>
    </row>
    <row r="132" spans="1:34" ht="68.25" customHeight="1" x14ac:dyDescent="0.3">
      <c r="A132" s="584" t="s">
        <v>272</v>
      </c>
      <c r="B132" s="1074"/>
      <c r="C132" s="1074"/>
      <c r="D132" s="1074"/>
      <c r="E132" s="1074"/>
      <c r="F132" s="1074"/>
      <c r="G132" s="1074"/>
      <c r="H132" s="1074"/>
      <c r="I132" s="1074"/>
      <c r="J132" s="1074"/>
      <c r="K132" s="1074"/>
      <c r="L132" s="1074"/>
      <c r="M132" s="1074"/>
      <c r="N132" s="1074"/>
      <c r="O132" s="1074"/>
      <c r="P132" s="1074"/>
      <c r="Q132" s="1074"/>
      <c r="R132" s="1074"/>
      <c r="S132" s="1074"/>
      <c r="T132" s="1074"/>
      <c r="U132" s="1074"/>
      <c r="V132" s="1074"/>
      <c r="W132" s="1074"/>
      <c r="X132" s="1074"/>
      <c r="Y132" s="1074"/>
      <c r="Z132" s="1074"/>
      <c r="AA132" s="1074"/>
      <c r="AB132" s="1074"/>
      <c r="AC132" s="1074"/>
      <c r="AD132" s="1074"/>
      <c r="AE132" s="1074"/>
      <c r="AF132" s="952"/>
      <c r="AG132" s="1063"/>
      <c r="AH132" s="683"/>
    </row>
    <row r="133" spans="1:34" x14ac:dyDescent="0.3">
      <c r="A133" s="1066" t="s">
        <v>31</v>
      </c>
      <c r="B133" s="591">
        <f>B134+B135+B136+B137</f>
        <v>0</v>
      </c>
      <c r="C133" s="591">
        <f>C134+C135+C136+C137</f>
        <v>0</v>
      </c>
      <c r="D133" s="591">
        <f>D134+D135+D136+D137</f>
        <v>0</v>
      </c>
      <c r="E133" s="591">
        <f>E134+E135+E136+E137</f>
        <v>0</v>
      </c>
      <c r="F133" s="594">
        <f>IFERROR(E133/B133*100,0)</f>
        <v>0</v>
      </c>
      <c r="G133" s="594">
        <f>IFERROR(E133/C133*100,0)</f>
        <v>0</v>
      </c>
      <c r="H133" s="591">
        <f t="shared" ref="H133:AE133" si="36">H134+H135+H136+H137</f>
        <v>0</v>
      </c>
      <c r="I133" s="591">
        <f t="shared" si="36"/>
        <v>0</v>
      </c>
      <c r="J133" s="591">
        <f t="shared" si="36"/>
        <v>0</v>
      </c>
      <c r="K133" s="591">
        <f t="shared" si="36"/>
        <v>0</v>
      </c>
      <c r="L133" s="591">
        <f t="shared" si="36"/>
        <v>0</v>
      </c>
      <c r="M133" s="591">
        <f t="shared" si="36"/>
        <v>0</v>
      </c>
      <c r="N133" s="591">
        <f t="shared" si="36"/>
        <v>0</v>
      </c>
      <c r="O133" s="591">
        <f t="shared" si="36"/>
        <v>0</v>
      </c>
      <c r="P133" s="591">
        <f t="shared" si="36"/>
        <v>0</v>
      </c>
      <c r="Q133" s="591">
        <f t="shared" si="36"/>
        <v>0</v>
      </c>
      <c r="R133" s="591">
        <f t="shared" si="36"/>
        <v>0</v>
      </c>
      <c r="S133" s="591">
        <f t="shared" si="36"/>
        <v>0</v>
      </c>
      <c r="T133" s="591">
        <f t="shared" si="36"/>
        <v>0</v>
      </c>
      <c r="U133" s="591">
        <f t="shared" si="36"/>
        <v>0</v>
      </c>
      <c r="V133" s="591">
        <f t="shared" si="36"/>
        <v>0</v>
      </c>
      <c r="W133" s="591">
        <f t="shared" si="36"/>
        <v>0</v>
      </c>
      <c r="X133" s="591">
        <f t="shared" si="36"/>
        <v>0</v>
      </c>
      <c r="Y133" s="591">
        <f t="shared" si="36"/>
        <v>0</v>
      </c>
      <c r="Z133" s="591">
        <f t="shared" si="36"/>
        <v>0</v>
      </c>
      <c r="AA133" s="591">
        <f t="shared" si="36"/>
        <v>0</v>
      </c>
      <c r="AB133" s="591">
        <f t="shared" si="36"/>
        <v>0</v>
      </c>
      <c r="AC133" s="591">
        <f t="shared" si="36"/>
        <v>0</v>
      </c>
      <c r="AD133" s="591">
        <f t="shared" si="36"/>
        <v>0</v>
      </c>
      <c r="AE133" s="591">
        <f t="shared" si="36"/>
        <v>0</v>
      </c>
      <c r="AF133" s="952"/>
      <c r="AG133" s="1063"/>
      <c r="AH133" s="683"/>
    </row>
    <row r="134" spans="1:34" x14ac:dyDescent="0.3">
      <c r="A134" s="640" t="s">
        <v>169</v>
      </c>
      <c r="B134" s="594">
        <f>J134+L134+N134+P134+R134+T134+V134+X134+Z134+AB134+AD134+H134</f>
        <v>0</v>
      </c>
      <c r="C134" s="594">
        <f>SUM(H134)</f>
        <v>0</v>
      </c>
      <c r="D134" s="594">
        <f>E134</f>
        <v>0</v>
      </c>
      <c r="E134" s="594">
        <f>SUM(I134,K134,M134,O134,Q134,S134,U134,W134,Y134,AA134,AC134,AE134)</f>
        <v>0</v>
      </c>
      <c r="F134" s="594"/>
      <c r="G134" s="594"/>
      <c r="H134" s="594"/>
      <c r="I134" s="594"/>
      <c r="J134" s="594"/>
      <c r="K134" s="594"/>
      <c r="L134" s="594"/>
      <c r="M134" s="594"/>
      <c r="N134" s="594"/>
      <c r="O134" s="594"/>
      <c r="P134" s="594"/>
      <c r="Q134" s="594"/>
      <c r="R134" s="594"/>
      <c r="S134" s="594"/>
      <c r="T134" s="594"/>
      <c r="U134" s="594"/>
      <c r="V134" s="594"/>
      <c r="W134" s="594"/>
      <c r="X134" s="594"/>
      <c r="Y134" s="594"/>
      <c r="Z134" s="594"/>
      <c r="AA134" s="594"/>
      <c r="AB134" s="594"/>
      <c r="AC134" s="594"/>
      <c r="AD134" s="594"/>
      <c r="AE134" s="594"/>
      <c r="AF134" s="952"/>
      <c r="AG134" s="1063"/>
      <c r="AH134" s="683"/>
    </row>
    <row r="135" spans="1:34" x14ac:dyDescent="0.3">
      <c r="A135" s="640" t="s">
        <v>32</v>
      </c>
      <c r="B135" s="594">
        <f>J135+L135+N135+P135+R135+T135+V135+X135+Z135+AB135+AD135+H135</f>
        <v>0</v>
      </c>
      <c r="C135" s="594">
        <f>SUM(H135)</f>
        <v>0</v>
      </c>
      <c r="D135" s="594">
        <f>E135</f>
        <v>0</v>
      </c>
      <c r="E135" s="594">
        <f>SUM(I135,K135,M135,O135,Q135,S135,U135,W135,Y135,AA135,AC135,AE135)</f>
        <v>0</v>
      </c>
      <c r="F135" s="594"/>
      <c r="G135" s="594"/>
      <c r="H135" s="594"/>
      <c r="I135" s="594"/>
      <c r="J135" s="594"/>
      <c r="K135" s="594"/>
      <c r="L135" s="594"/>
      <c r="M135" s="594"/>
      <c r="N135" s="594"/>
      <c r="O135" s="594"/>
      <c r="P135" s="594"/>
      <c r="Q135" s="594"/>
      <c r="R135" s="594"/>
      <c r="S135" s="594"/>
      <c r="T135" s="594"/>
      <c r="U135" s="594"/>
      <c r="V135" s="594"/>
      <c r="W135" s="594"/>
      <c r="X135" s="594"/>
      <c r="Y135" s="594"/>
      <c r="Z135" s="594"/>
      <c r="AA135" s="594"/>
      <c r="AB135" s="594"/>
      <c r="AC135" s="594"/>
      <c r="AD135" s="594"/>
      <c r="AE135" s="594"/>
      <c r="AF135" s="952"/>
      <c r="AG135" s="1063"/>
      <c r="AH135" s="683"/>
    </row>
    <row r="136" spans="1:34" x14ac:dyDescent="0.3">
      <c r="A136" s="640" t="s">
        <v>33</v>
      </c>
      <c r="B136" s="594">
        <f>J136+L136+N136+P136+R136+T136+V136+X136+Z136+AB136+AD136+H136</f>
        <v>0</v>
      </c>
      <c r="C136" s="594">
        <f>SUM(H136)</f>
        <v>0</v>
      </c>
      <c r="D136" s="594">
        <f>E136</f>
        <v>0</v>
      </c>
      <c r="E136" s="594">
        <f>SUM(I136,K136,M136,O136,Q136,S136,U136,W136,Y136,AA136,AC136,AE136)</f>
        <v>0</v>
      </c>
      <c r="F136" s="594">
        <f>IFERROR(E136/B136*100,0)</f>
        <v>0</v>
      </c>
      <c r="G136" s="594">
        <f>IFERROR(E136/C136*100,0)</f>
        <v>0</v>
      </c>
      <c r="H136" s="594"/>
      <c r="I136" s="594"/>
      <c r="J136" s="594"/>
      <c r="K136" s="594"/>
      <c r="L136" s="594"/>
      <c r="M136" s="594"/>
      <c r="N136" s="594"/>
      <c r="O136" s="594"/>
      <c r="P136" s="594"/>
      <c r="Q136" s="594"/>
      <c r="R136" s="594"/>
      <c r="S136" s="594"/>
      <c r="T136" s="594"/>
      <c r="U136" s="594"/>
      <c r="V136" s="594"/>
      <c r="W136" s="594"/>
      <c r="X136" s="594"/>
      <c r="Y136" s="594"/>
      <c r="Z136" s="594"/>
      <c r="AA136" s="594"/>
      <c r="AB136" s="594"/>
      <c r="AC136" s="594"/>
      <c r="AD136" s="594"/>
      <c r="AE136" s="594"/>
      <c r="AF136" s="952"/>
      <c r="AG136" s="1063"/>
      <c r="AH136" s="683"/>
    </row>
    <row r="137" spans="1:34" x14ac:dyDescent="0.3">
      <c r="A137" s="640" t="s">
        <v>170</v>
      </c>
      <c r="B137" s="594">
        <f>J137+L137+N137+P137+R137+T137+V137+X137+Z137+AB137+AD137+H137</f>
        <v>0</v>
      </c>
      <c r="C137" s="594">
        <f>SUM(H137)</f>
        <v>0</v>
      </c>
      <c r="D137" s="594">
        <f>E137</f>
        <v>0</v>
      </c>
      <c r="E137" s="594">
        <f>SUM(I137,K137,M137,O137,Q137,S137,U137,W137,Y137,AA137,AC137,AE137)</f>
        <v>0</v>
      </c>
      <c r="F137" s="594"/>
      <c r="G137" s="594"/>
      <c r="H137" s="594"/>
      <c r="I137" s="594"/>
      <c r="J137" s="594"/>
      <c r="K137" s="594"/>
      <c r="L137" s="594"/>
      <c r="M137" s="594"/>
      <c r="N137" s="594"/>
      <c r="O137" s="594"/>
      <c r="P137" s="594"/>
      <c r="Q137" s="594"/>
      <c r="R137" s="594"/>
      <c r="S137" s="594"/>
      <c r="T137" s="594"/>
      <c r="U137" s="594"/>
      <c r="V137" s="594"/>
      <c r="W137" s="594"/>
      <c r="X137" s="594"/>
      <c r="Y137" s="594"/>
      <c r="Z137" s="594"/>
      <c r="AA137" s="594"/>
      <c r="AB137" s="594"/>
      <c r="AC137" s="594"/>
      <c r="AD137" s="594"/>
      <c r="AE137" s="594"/>
      <c r="AF137" s="952"/>
      <c r="AG137" s="1063"/>
      <c r="AH137" s="683"/>
    </row>
    <row r="138" spans="1:34" x14ac:dyDescent="0.3">
      <c r="A138" s="590" t="s">
        <v>217</v>
      </c>
      <c r="B138" s="591">
        <f ca="1">B139+B140+B141+B142</f>
        <v>298207.75417999999</v>
      </c>
      <c r="C138" s="591">
        <f ca="1">C139+C140+C141</f>
        <v>105652.65931999998</v>
      </c>
      <c r="D138" s="591">
        <f ca="1">D139+D140+D141</f>
        <v>123372.56000000003</v>
      </c>
      <c r="E138" s="591">
        <f ca="1">E139+E140+E141</f>
        <v>123372.56000000003</v>
      </c>
      <c r="F138" s="591">
        <f t="shared" ref="F138:F152" ca="1" si="37">IFERROR(E138/B138*100,0)</f>
        <v>41.371345402887009</v>
      </c>
      <c r="G138" s="591">
        <f t="shared" ref="G138:U152" ca="1" si="38">IFERROR(E138/C138*100,0)</f>
        <v>116.7718453979754</v>
      </c>
      <c r="H138" s="591">
        <f t="shared" ref="H138:AE138" ca="1" si="39">H139+H140+H141+H142</f>
        <v>44037.336600000002</v>
      </c>
      <c r="I138" s="591">
        <f t="shared" ca="1" si="39"/>
        <v>45180.282999999996</v>
      </c>
      <c r="J138" s="591">
        <f t="shared" ca="1" si="39"/>
        <v>33621.776099999988</v>
      </c>
      <c r="K138" s="591">
        <f t="shared" ca="1" si="39"/>
        <v>22511.485999999994</v>
      </c>
      <c r="L138" s="591">
        <f t="shared" ca="1" si="39"/>
        <v>27917.556619999999</v>
      </c>
      <c r="M138" s="591">
        <f t="shared" ca="1" si="39"/>
        <v>21624.206999999999</v>
      </c>
      <c r="N138" s="591">
        <f t="shared" ca="1" si="39"/>
        <v>31811.3681</v>
      </c>
      <c r="O138" s="591">
        <f t="shared" ca="1" si="39"/>
        <v>20540.434000000001</v>
      </c>
      <c r="P138" s="591">
        <f t="shared" ca="1" si="39"/>
        <v>30051.880999999994</v>
      </c>
      <c r="Q138" s="591">
        <f t="shared" ca="1" si="39"/>
        <v>14924.760000000002</v>
      </c>
      <c r="R138" s="591">
        <f t="shared" ca="1" si="39"/>
        <v>24939.145660000002</v>
      </c>
      <c r="S138" s="591">
        <f t="shared" ca="1" si="39"/>
        <v>0</v>
      </c>
      <c r="T138" s="591">
        <f t="shared" ca="1" si="39"/>
        <v>19852.039799999999</v>
      </c>
      <c r="U138" s="591">
        <f t="shared" ca="1" si="39"/>
        <v>0</v>
      </c>
      <c r="V138" s="591">
        <f t="shared" ca="1" si="39"/>
        <v>18274.712800000001</v>
      </c>
      <c r="W138" s="591">
        <f t="shared" ca="1" si="39"/>
        <v>0</v>
      </c>
      <c r="X138" s="591">
        <f t="shared" ca="1" si="39"/>
        <v>14365.533460000001</v>
      </c>
      <c r="Y138" s="591">
        <f t="shared" ca="1" si="39"/>
        <v>0</v>
      </c>
      <c r="Z138" s="591">
        <f t="shared" ca="1" si="39"/>
        <v>18109.728160000002</v>
      </c>
      <c r="AA138" s="591">
        <f t="shared" ca="1" si="39"/>
        <v>0</v>
      </c>
      <c r="AB138" s="591">
        <f t="shared" ca="1" si="39"/>
        <v>16560.870159999999</v>
      </c>
      <c r="AC138" s="591">
        <f t="shared" ca="1" si="39"/>
        <v>0</v>
      </c>
      <c r="AD138" s="591">
        <f t="shared" ca="1" si="39"/>
        <v>18864.705719999998</v>
      </c>
      <c r="AE138" s="591">
        <f t="shared" ca="1" si="39"/>
        <v>0</v>
      </c>
      <c r="AF138" s="591"/>
      <c r="AG138" s="1063"/>
      <c r="AH138" s="683"/>
    </row>
    <row r="139" spans="1:34" x14ac:dyDescent="0.3">
      <c r="A139" s="593" t="s">
        <v>169</v>
      </c>
      <c r="B139" s="594">
        <f t="shared" ref="B139:E141" ca="1" si="40">B26+B62+B74+B100+B106+B114+B122+B80+B13+B128+B134</f>
        <v>0</v>
      </c>
      <c r="C139" s="594">
        <f t="shared" ca="1" si="40"/>
        <v>0</v>
      </c>
      <c r="D139" s="594">
        <f t="shared" ca="1" si="40"/>
        <v>0</v>
      </c>
      <c r="E139" s="594">
        <f t="shared" ca="1" si="40"/>
        <v>0</v>
      </c>
      <c r="F139" s="594">
        <f t="shared" ca="1" si="37"/>
        <v>0</v>
      </c>
      <c r="G139" s="594">
        <f t="shared" ca="1" si="38"/>
        <v>0</v>
      </c>
      <c r="H139" s="594">
        <f t="shared" ref="H139:AE142" ca="1" si="41">H26+H62+H74+H100+H106+H114+H122+H80+H13+H128+H134</f>
        <v>0</v>
      </c>
      <c r="I139" s="594">
        <f t="shared" ca="1" si="41"/>
        <v>0</v>
      </c>
      <c r="J139" s="594">
        <f t="shared" ca="1" si="41"/>
        <v>0</v>
      </c>
      <c r="K139" s="594">
        <f t="shared" ca="1" si="41"/>
        <v>0</v>
      </c>
      <c r="L139" s="594">
        <f t="shared" ca="1" si="41"/>
        <v>0</v>
      </c>
      <c r="M139" s="594">
        <f t="shared" ca="1" si="41"/>
        <v>0</v>
      </c>
      <c r="N139" s="594">
        <f t="shared" ca="1" si="41"/>
        <v>0</v>
      </c>
      <c r="O139" s="594">
        <f t="shared" ca="1" si="41"/>
        <v>0</v>
      </c>
      <c r="P139" s="594">
        <f t="shared" ca="1" si="41"/>
        <v>0</v>
      </c>
      <c r="Q139" s="594">
        <f t="shared" ca="1" si="41"/>
        <v>0</v>
      </c>
      <c r="R139" s="594">
        <f t="shared" ca="1" si="41"/>
        <v>0</v>
      </c>
      <c r="S139" s="594">
        <f t="shared" ca="1" si="41"/>
        <v>0</v>
      </c>
      <c r="T139" s="594">
        <f t="shared" ca="1" si="41"/>
        <v>0</v>
      </c>
      <c r="U139" s="594">
        <f t="shared" ca="1" si="41"/>
        <v>0</v>
      </c>
      <c r="V139" s="594">
        <f t="shared" ca="1" si="41"/>
        <v>0</v>
      </c>
      <c r="W139" s="594">
        <f t="shared" ca="1" si="41"/>
        <v>0</v>
      </c>
      <c r="X139" s="594">
        <f t="shared" ca="1" si="41"/>
        <v>0</v>
      </c>
      <c r="Y139" s="594">
        <f t="shared" ca="1" si="41"/>
        <v>0</v>
      </c>
      <c r="Z139" s="594">
        <f t="shared" ca="1" si="41"/>
        <v>0</v>
      </c>
      <c r="AA139" s="594">
        <f t="shared" ca="1" si="41"/>
        <v>0</v>
      </c>
      <c r="AB139" s="594">
        <f t="shared" ca="1" si="41"/>
        <v>0</v>
      </c>
      <c r="AC139" s="594">
        <f t="shared" ca="1" si="41"/>
        <v>0</v>
      </c>
      <c r="AD139" s="594">
        <f t="shared" ca="1" si="41"/>
        <v>0</v>
      </c>
      <c r="AE139" s="594">
        <f t="shared" ca="1" si="41"/>
        <v>0</v>
      </c>
      <c r="AF139" s="594"/>
      <c r="AG139" s="1063"/>
      <c r="AH139" s="683"/>
    </row>
    <row r="140" spans="1:34" x14ac:dyDescent="0.3">
      <c r="A140" s="593" t="s">
        <v>32</v>
      </c>
      <c r="B140" s="594">
        <f t="shared" ca="1" si="40"/>
        <v>10029.184999999999</v>
      </c>
      <c r="C140" s="594">
        <f t="shared" ca="1" si="40"/>
        <v>448.45</v>
      </c>
      <c r="D140" s="594">
        <f t="shared" ca="1" si="40"/>
        <v>4410.82</v>
      </c>
      <c r="E140" s="594">
        <f t="shared" ca="1" si="40"/>
        <v>4410.82</v>
      </c>
      <c r="F140" s="594">
        <f t="shared" ca="1" si="37"/>
        <v>43.979844822884409</v>
      </c>
      <c r="G140" s="594">
        <f t="shared" ca="1" si="38"/>
        <v>983.57007470175051</v>
      </c>
      <c r="H140" s="594">
        <f t="shared" ca="1" si="41"/>
        <v>0</v>
      </c>
      <c r="I140" s="594">
        <f t="shared" ca="1" si="41"/>
        <v>0</v>
      </c>
      <c r="J140" s="594">
        <f t="shared" ca="1" si="41"/>
        <v>0</v>
      </c>
      <c r="K140" s="594">
        <f t="shared" ca="1" si="41"/>
        <v>0</v>
      </c>
      <c r="L140" s="594">
        <f t="shared" ca="1" si="41"/>
        <v>372.46</v>
      </c>
      <c r="M140" s="594">
        <f t="shared" ca="1" si="41"/>
        <v>372.46</v>
      </c>
      <c r="N140" s="594">
        <f t="shared" ca="1" si="41"/>
        <v>1545.22</v>
      </c>
      <c r="O140" s="594">
        <f t="shared" ca="1" si="41"/>
        <v>1545.22</v>
      </c>
      <c r="P140" s="594">
        <f t="shared" ca="1" si="41"/>
        <v>3310.64</v>
      </c>
      <c r="Q140" s="594">
        <f t="shared" ca="1" si="41"/>
        <v>3901.75</v>
      </c>
      <c r="R140" s="594">
        <f t="shared" ca="1" si="41"/>
        <v>3525.7</v>
      </c>
      <c r="S140" s="594">
        <f t="shared" ca="1" si="41"/>
        <v>0</v>
      </c>
      <c r="T140" s="594">
        <f t="shared" ca="1" si="41"/>
        <v>650.6</v>
      </c>
      <c r="U140" s="594">
        <f t="shared" ca="1" si="41"/>
        <v>0</v>
      </c>
      <c r="V140" s="594">
        <f t="shared" ca="1" si="41"/>
        <v>223.95</v>
      </c>
      <c r="W140" s="594">
        <f t="shared" ca="1" si="41"/>
        <v>0</v>
      </c>
      <c r="X140" s="594">
        <f t="shared" ca="1" si="41"/>
        <v>0</v>
      </c>
      <c r="Y140" s="594">
        <f t="shared" ca="1" si="41"/>
        <v>0</v>
      </c>
      <c r="Z140" s="594">
        <f t="shared" ca="1" si="41"/>
        <v>246.95249999999999</v>
      </c>
      <c r="AA140" s="594">
        <f t="shared" ca="1" si="41"/>
        <v>0</v>
      </c>
      <c r="AB140" s="594">
        <f t="shared" ca="1" si="41"/>
        <v>153.66249999999999</v>
      </c>
      <c r="AC140" s="594">
        <f t="shared" ca="1" si="41"/>
        <v>0</v>
      </c>
      <c r="AD140" s="594">
        <f t="shared" ca="1" si="41"/>
        <v>0</v>
      </c>
      <c r="AE140" s="594">
        <f t="shared" ca="1" si="41"/>
        <v>0</v>
      </c>
      <c r="AF140" s="594"/>
      <c r="AG140" s="1063"/>
      <c r="AH140" s="683"/>
    </row>
    <row r="141" spans="1:34" x14ac:dyDescent="0.3">
      <c r="A141" s="593" t="s">
        <v>33</v>
      </c>
      <c r="B141" s="594">
        <f t="shared" ca="1" si="40"/>
        <v>288178.56917999999</v>
      </c>
      <c r="C141" s="594">
        <f t="shared" ca="1" si="40"/>
        <v>105204.20931999998</v>
      </c>
      <c r="D141" s="594">
        <f t="shared" ca="1" si="40"/>
        <v>118961.74000000002</v>
      </c>
      <c r="E141" s="594">
        <f t="shared" ca="1" si="40"/>
        <v>118961.74000000002</v>
      </c>
      <c r="F141" s="594">
        <f t="shared" ca="1" si="37"/>
        <v>41.28056445644124</v>
      </c>
      <c r="G141" s="594">
        <f t="shared" ca="1" si="38"/>
        <v>113.07697740320799</v>
      </c>
      <c r="H141" s="594">
        <f t="shared" ca="1" si="41"/>
        <v>44037.336600000002</v>
      </c>
      <c r="I141" s="594">
        <f t="shared" ca="1" si="41"/>
        <v>45180.282999999996</v>
      </c>
      <c r="J141" s="594">
        <f t="shared" ca="1" si="41"/>
        <v>33621.776099999988</v>
      </c>
      <c r="K141" s="594">
        <f t="shared" ca="1" si="41"/>
        <v>22511.485999999994</v>
      </c>
      <c r="L141" s="594">
        <f t="shared" si="41"/>
        <v>25361.103619999998</v>
      </c>
      <c r="M141" s="594">
        <f t="shared" si="41"/>
        <v>21588.857</v>
      </c>
      <c r="N141" s="594">
        <f t="shared" si="41"/>
        <v>30668.232299999996</v>
      </c>
      <c r="O141" s="594">
        <f t="shared" si="41"/>
        <v>19220.034</v>
      </c>
      <c r="P141" s="594">
        <f t="shared" si="41"/>
        <v>28042.0638</v>
      </c>
      <c r="Q141" s="594">
        <f t="shared" si="41"/>
        <v>11161.300000000003</v>
      </c>
      <c r="R141" s="594">
        <f t="shared" si="41"/>
        <v>22625.537059999999</v>
      </c>
      <c r="S141" s="594">
        <f t="shared" si="41"/>
        <v>8533.11</v>
      </c>
      <c r="T141" s="594">
        <f t="shared" si="41"/>
        <v>21746.181199999999</v>
      </c>
      <c r="U141" s="594">
        <f t="shared" si="41"/>
        <v>8304.7300000000014</v>
      </c>
      <c r="V141" s="594">
        <f t="shared" si="41"/>
        <v>19841.052800000001</v>
      </c>
      <c r="W141" s="594">
        <f t="shared" si="41"/>
        <v>4835.130000000001</v>
      </c>
      <c r="X141" s="594">
        <f t="shared" si="41"/>
        <v>16362.02346</v>
      </c>
      <c r="Y141" s="594">
        <f t="shared" si="41"/>
        <v>4210.9799999999996</v>
      </c>
      <c r="Z141" s="594">
        <f t="shared" si="41"/>
        <v>20364.485660000002</v>
      </c>
      <c r="AA141" s="594">
        <f t="shared" si="41"/>
        <v>18665.989999999998</v>
      </c>
      <c r="AB141" s="594">
        <f t="shared" si="41"/>
        <v>19545.247659999997</v>
      </c>
      <c r="AC141" s="594">
        <f t="shared" si="41"/>
        <v>18285.79</v>
      </c>
      <c r="AD141" s="594">
        <f t="shared" si="41"/>
        <v>24027.430720000004</v>
      </c>
      <c r="AE141" s="594">
        <f t="shared" si="41"/>
        <v>41546.302000000003</v>
      </c>
      <c r="AF141" s="594"/>
      <c r="AG141" s="1063"/>
      <c r="AH141" s="683"/>
    </row>
    <row r="142" spans="1:34" x14ac:dyDescent="0.3">
      <c r="A142" s="606" t="s">
        <v>170</v>
      </c>
      <c r="B142" s="594">
        <f>B29+B65+B77+B103+B109+B117+B125+B83+B16+B131+B137</f>
        <v>0</v>
      </c>
      <c r="C142" s="594">
        <f ca="1">C29+C65+C77+C103+C109+C117+C125+C83+C16+C131+C137</f>
        <v>0</v>
      </c>
      <c r="D142" s="594">
        <f>D29+D65+D77+D103+D109+D117+D125+D83+D16+D131+D137</f>
        <v>0</v>
      </c>
      <c r="E142" s="594">
        <f>E29+E65+E77+E103+E109+E117+E125+E83+E16+E131+E137</f>
        <v>0</v>
      </c>
      <c r="F142" s="594">
        <f t="shared" si="37"/>
        <v>0</v>
      </c>
      <c r="G142" s="594">
        <f t="shared" ca="1" si="38"/>
        <v>0</v>
      </c>
      <c r="H142" s="594">
        <f t="shared" ca="1" si="41"/>
        <v>0</v>
      </c>
      <c r="I142" s="594">
        <f t="shared" ca="1" si="41"/>
        <v>0</v>
      </c>
      <c r="J142" s="594">
        <f t="shared" ca="1" si="41"/>
        <v>0</v>
      </c>
      <c r="K142" s="594">
        <f t="shared" ca="1" si="41"/>
        <v>0</v>
      </c>
      <c r="L142" s="594">
        <f t="shared" si="41"/>
        <v>0</v>
      </c>
      <c r="M142" s="594">
        <f t="shared" si="41"/>
        <v>0</v>
      </c>
      <c r="N142" s="594">
        <f t="shared" si="41"/>
        <v>198.9</v>
      </c>
      <c r="O142" s="594">
        <f t="shared" si="41"/>
        <v>0</v>
      </c>
      <c r="P142" s="594">
        <f t="shared" si="41"/>
        <v>0</v>
      </c>
      <c r="Q142" s="594">
        <f t="shared" si="41"/>
        <v>0</v>
      </c>
      <c r="R142" s="594">
        <f t="shared" si="41"/>
        <v>0</v>
      </c>
      <c r="S142" s="594">
        <f t="shared" si="41"/>
        <v>0</v>
      </c>
      <c r="T142" s="594">
        <f t="shared" si="41"/>
        <v>0</v>
      </c>
      <c r="U142" s="594">
        <f t="shared" si="41"/>
        <v>0</v>
      </c>
      <c r="V142" s="594">
        <f t="shared" si="41"/>
        <v>0</v>
      </c>
      <c r="W142" s="594">
        <f t="shared" si="41"/>
        <v>0</v>
      </c>
      <c r="X142" s="594">
        <f t="shared" si="41"/>
        <v>0</v>
      </c>
      <c r="Y142" s="594">
        <f t="shared" si="41"/>
        <v>0</v>
      </c>
      <c r="Z142" s="594">
        <f t="shared" si="41"/>
        <v>0</v>
      </c>
      <c r="AA142" s="594">
        <f t="shared" si="41"/>
        <v>0</v>
      </c>
      <c r="AB142" s="594">
        <f t="shared" si="41"/>
        <v>0</v>
      </c>
      <c r="AC142" s="594">
        <f t="shared" si="41"/>
        <v>0</v>
      </c>
      <c r="AD142" s="594">
        <f t="shared" si="41"/>
        <v>0</v>
      </c>
      <c r="AE142" s="594">
        <f t="shared" si="41"/>
        <v>0</v>
      </c>
      <c r="AF142" s="594"/>
      <c r="AG142" s="1063"/>
      <c r="AH142" s="683"/>
    </row>
    <row r="143" spans="1:34" ht="37.5" x14ac:dyDescent="0.3">
      <c r="A143" s="590" t="s">
        <v>218</v>
      </c>
      <c r="B143" s="591">
        <f ca="1">B144+B145+B146+B147</f>
        <v>15871.8</v>
      </c>
      <c r="C143" s="591">
        <f ca="1">C144+C145+C146+C147</f>
        <v>0</v>
      </c>
      <c r="D143" s="591">
        <f ca="1">D144+D145+D146+D147</f>
        <v>0</v>
      </c>
      <c r="E143" s="591">
        <f ca="1">E144+E145+E146+E147</f>
        <v>0</v>
      </c>
      <c r="F143" s="592">
        <f t="shared" ca="1" si="37"/>
        <v>0</v>
      </c>
      <c r="G143" s="592">
        <f t="shared" ca="1" si="38"/>
        <v>0</v>
      </c>
      <c r="H143" s="592">
        <f t="shared" ca="1" si="38"/>
        <v>0</v>
      </c>
      <c r="I143" s="592">
        <f t="shared" ca="1" si="38"/>
        <v>0</v>
      </c>
      <c r="J143" s="592">
        <f t="shared" ca="1" si="38"/>
        <v>0</v>
      </c>
      <c r="K143" s="592">
        <f t="shared" ca="1" si="38"/>
        <v>0</v>
      </c>
      <c r="L143" s="592">
        <f t="shared" ca="1" si="38"/>
        <v>0</v>
      </c>
      <c r="M143" s="592">
        <f t="shared" ca="1" si="38"/>
        <v>0</v>
      </c>
      <c r="N143" s="592">
        <f t="shared" ca="1" si="38"/>
        <v>0</v>
      </c>
      <c r="O143" s="592">
        <f t="shared" ca="1" si="38"/>
        <v>0</v>
      </c>
      <c r="P143" s="592">
        <f t="shared" ca="1" si="38"/>
        <v>0</v>
      </c>
      <c r="Q143" s="592">
        <f t="shared" ca="1" si="38"/>
        <v>0</v>
      </c>
      <c r="R143" s="592">
        <f t="shared" ca="1" si="38"/>
        <v>0</v>
      </c>
      <c r="S143" s="592">
        <f t="shared" ca="1" si="38"/>
        <v>0</v>
      </c>
      <c r="T143" s="592">
        <f t="shared" ca="1" si="38"/>
        <v>0</v>
      </c>
      <c r="U143" s="592">
        <f t="shared" ca="1" si="38"/>
        <v>0</v>
      </c>
      <c r="V143" s="592">
        <f ca="1">SUM(V144:V147)</f>
        <v>10212.799999999999</v>
      </c>
      <c r="W143" s="592">
        <f ca="1">IFERROR(U143/S143*100,0)</f>
        <v>0</v>
      </c>
      <c r="X143" s="592">
        <f ca="1">SUM(X144:X147)</f>
        <v>1859</v>
      </c>
      <c r="Y143" s="592">
        <f t="shared" ref="Y143:AE147" ca="1" si="42">IFERROR(W143/U143*100,0)</f>
        <v>0</v>
      </c>
      <c r="Z143" s="592">
        <f t="shared" ca="1" si="42"/>
        <v>18.20264765784114</v>
      </c>
      <c r="AA143" s="592">
        <f t="shared" ca="1" si="42"/>
        <v>0</v>
      </c>
      <c r="AB143" s="592">
        <f t="shared" ca="1" si="42"/>
        <v>0.97916340278865732</v>
      </c>
      <c r="AC143" s="592">
        <f t="shared" ca="1" si="42"/>
        <v>0</v>
      </c>
      <c r="AD143" s="592">
        <f t="shared" ca="1" si="42"/>
        <v>5.3792361484669176</v>
      </c>
      <c r="AE143" s="592">
        <f t="shared" ca="1" si="42"/>
        <v>0</v>
      </c>
      <c r="AF143" s="952"/>
      <c r="AG143" s="1063"/>
      <c r="AH143" s="683"/>
    </row>
    <row r="144" spans="1:34" x14ac:dyDescent="0.3">
      <c r="A144" s="593" t="s">
        <v>169</v>
      </c>
      <c r="B144" s="594">
        <f ca="1">J144+L144+N144+P144+R144+T144+V144+X144+Z144+AB144+AD144+H144</f>
        <v>0</v>
      </c>
      <c r="C144" s="594">
        <f ca="1">SUM(H144)</f>
        <v>0</v>
      </c>
      <c r="D144" s="594">
        <f ca="1">E144</f>
        <v>0</v>
      </c>
      <c r="E144" s="594">
        <f ca="1">SUM(I144,K144,M144,O144,Q144,S144,U144,W144,Y144,AA144,AC144,AE144)</f>
        <v>0</v>
      </c>
      <c r="F144" s="594">
        <f t="shared" ca="1" si="37"/>
        <v>0</v>
      </c>
      <c r="G144" s="594">
        <f t="shared" ca="1" si="38"/>
        <v>0</v>
      </c>
      <c r="H144" s="594">
        <f t="shared" ca="1" si="38"/>
        <v>0</v>
      </c>
      <c r="I144" s="594">
        <f t="shared" ca="1" si="38"/>
        <v>0</v>
      </c>
      <c r="J144" s="594">
        <f t="shared" ca="1" si="38"/>
        <v>0</v>
      </c>
      <c r="K144" s="594">
        <f t="shared" ca="1" si="38"/>
        <v>0</v>
      </c>
      <c r="L144" s="594">
        <f t="shared" ca="1" si="38"/>
        <v>0</v>
      </c>
      <c r="M144" s="594">
        <f t="shared" ca="1" si="38"/>
        <v>0</v>
      </c>
      <c r="N144" s="594">
        <f t="shared" ca="1" si="38"/>
        <v>0</v>
      </c>
      <c r="O144" s="594">
        <f t="shared" ca="1" si="38"/>
        <v>0</v>
      </c>
      <c r="P144" s="594">
        <f t="shared" ca="1" si="38"/>
        <v>0</v>
      </c>
      <c r="Q144" s="594">
        <f t="shared" ca="1" si="38"/>
        <v>0</v>
      </c>
      <c r="R144" s="594">
        <f t="shared" ca="1" si="38"/>
        <v>0</v>
      </c>
      <c r="S144" s="594">
        <f t="shared" ca="1" si="38"/>
        <v>0</v>
      </c>
      <c r="T144" s="594">
        <f t="shared" ca="1" si="38"/>
        <v>0</v>
      </c>
      <c r="U144" s="594">
        <f t="shared" ca="1" si="38"/>
        <v>0</v>
      </c>
      <c r="V144" s="594">
        <f ca="1">IFERROR(T144/R144*100,0)</f>
        <v>0</v>
      </c>
      <c r="W144" s="594">
        <f ca="1">IFERROR(U144/S144*100,0)</f>
        <v>0</v>
      </c>
      <c r="X144" s="594">
        <f ca="1">IFERROR(V144/T144*100,0)</f>
        <v>0</v>
      </c>
      <c r="Y144" s="594">
        <f t="shared" ca="1" si="42"/>
        <v>0</v>
      </c>
      <c r="Z144" s="594">
        <f t="shared" ca="1" si="42"/>
        <v>0</v>
      </c>
      <c r="AA144" s="594">
        <f t="shared" ca="1" si="42"/>
        <v>0</v>
      </c>
      <c r="AB144" s="594">
        <f t="shared" ca="1" si="42"/>
        <v>0</v>
      </c>
      <c r="AC144" s="594">
        <f t="shared" ca="1" si="42"/>
        <v>0</v>
      </c>
      <c r="AD144" s="594">
        <f t="shared" ca="1" si="42"/>
        <v>0</v>
      </c>
      <c r="AE144" s="594">
        <f t="shared" ca="1" si="42"/>
        <v>0</v>
      </c>
      <c r="AF144" s="952"/>
      <c r="AG144" s="1063"/>
      <c r="AH144" s="683"/>
    </row>
    <row r="145" spans="1:34" x14ac:dyDescent="0.3">
      <c r="A145" s="593" t="s">
        <v>32</v>
      </c>
      <c r="B145" s="594">
        <f ca="1">J145+L145+N145+P145+R145+T145+V145+X145+Z145+AB145+AD145+H145</f>
        <v>10000</v>
      </c>
      <c r="C145" s="594">
        <f ca="1">SUM(H145)</f>
        <v>0</v>
      </c>
      <c r="D145" s="594">
        <f ca="1">E145</f>
        <v>0</v>
      </c>
      <c r="E145" s="594">
        <f ca="1">SUM(I145,K145,M145,O145,Q145,S145,U145,W145,Y145,AA145,AC145,AE145)</f>
        <v>0</v>
      </c>
      <c r="F145" s="594">
        <f t="shared" ca="1" si="37"/>
        <v>0</v>
      </c>
      <c r="G145" s="594">
        <f t="shared" ca="1" si="38"/>
        <v>0</v>
      </c>
      <c r="H145" s="594">
        <f t="shared" ca="1" si="38"/>
        <v>0</v>
      </c>
      <c r="I145" s="594">
        <f t="shared" ca="1" si="38"/>
        <v>0</v>
      </c>
      <c r="J145" s="594">
        <f t="shared" ca="1" si="38"/>
        <v>0</v>
      </c>
      <c r="K145" s="594">
        <f t="shared" ca="1" si="38"/>
        <v>0</v>
      </c>
      <c r="L145" s="594">
        <f t="shared" ca="1" si="38"/>
        <v>0</v>
      </c>
      <c r="M145" s="594">
        <f t="shared" ca="1" si="38"/>
        <v>0</v>
      </c>
      <c r="N145" s="594">
        <f t="shared" ca="1" si="38"/>
        <v>0</v>
      </c>
      <c r="O145" s="594">
        <f t="shared" ca="1" si="38"/>
        <v>0</v>
      </c>
      <c r="P145" s="594">
        <v>0</v>
      </c>
      <c r="Q145" s="594">
        <f t="shared" ca="1" si="38"/>
        <v>0</v>
      </c>
      <c r="R145" s="594">
        <f t="shared" ca="1" si="38"/>
        <v>0</v>
      </c>
      <c r="S145" s="594">
        <f t="shared" ca="1" si="38"/>
        <v>0</v>
      </c>
      <c r="T145" s="594">
        <v>0</v>
      </c>
      <c r="U145" s="594">
        <f ca="1">IFERROR(S145/Q145*100,0)</f>
        <v>0</v>
      </c>
      <c r="V145" s="594">
        <v>10000</v>
      </c>
      <c r="W145" s="594">
        <f ca="1">IFERROR(U145/S145*100,0)</f>
        <v>0</v>
      </c>
      <c r="X145" s="594">
        <f>IFERROR(V145/T145*100,0)</f>
        <v>0</v>
      </c>
      <c r="Y145" s="594">
        <f t="shared" ca="1" si="42"/>
        <v>0</v>
      </c>
      <c r="Z145" s="594">
        <f t="shared" si="42"/>
        <v>0</v>
      </c>
      <c r="AA145" s="594">
        <f t="shared" ca="1" si="42"/>
        <v>0</v>
      </c>
      <c r="AB145" s="594">
        <f t="shared" si="42"/>
        <v>0</v>
      </c>
      <c r="AC145" s="594">
        <f t="shared" ca="1" si="42"/>
        <v>0</v>
      </c>
      <c r="AD145" s="594">
        <f t="shared" si="42"/>
        <v>0</v>
      </c>
      <c r="AE145" s="594">
        <f t="shared" ca="1" si="42"/>
        <v>0</v>
      </c>
      <c r="AF145" s="952"/>
      <c r="AG145" s="1063"/>
      <c r="AH145" s="683"/>
    </row>
    <row r="146" spans="1:34" x14ac:dyDescent="0.3">
      <c r="A146" s="593" t="s">
        <v>33</v>
      </c>
      <c r="B146" s="594">
        <f ca="1">J146+L146+N146+P146+R146+T146+V146+X146+Z146+AB146+AD146+H146</f>
        <v>5059.3</v>
      </c>
      <c r="C146" s="594">
        <f ca="1">SUM(H146)</f>
        <v>0</v>
      </c>
      <c r="D146" s="594">
        <f ca="1">E146</f>
        <v>0</v>
      </c>
      <c r="E146" s="594">
        <f ca="1">SUM(I146,K146,M146,O146,Q146,S146,U146,W146,Y146,AA146,AC146,AE146)</f>
        <v>0</v>
      </c>
      <c r="F146" s="594">
        <f t="shared" ca="1" si="37"/>
        <v>0</v>
      </c>
      <c r="G146" s="594">
        <f t="shared" ca="1" si="38"/>
        <v>0</v>
      </c>
      <c r="H146" s="594">
        <f t="shared" ca="1" si="38"/>
        <v>0</v>
      </c>
      <c r="I146" s="594">
        <f t="shared" ca="1" si="38"/>
        <v>0</v>
      </c>
      <c r="J146" s="594">
        <f t="shared" ca="1" si="38"/>
        <v>0</v>
      </c>
      <c r="K146" s="594">
        <f t="shared" ca="1" si="38"/>
        <v>0</v>
      </c>
      <c r="L146" s="594">
        <f t="shared" ca="1" si="38"/>
        <v>0</v>
      </c>
      <c r="M146" s="594">
        <f t="shared" ca="1" si="38"/>
        <v>0</v>
      </c>
      <c r="N146" s="594">
        <f t="shared" ca="1" si="38"/>
        <v>0</v>
      </c>
      <c r="O146" s="594">
        <f t="shared" ca="1" si="38"/>
        <v>0</v>
      </c>
      <c r="P146" s="594">
        <v>1800</v>
      </c>
      <c r="Q146" s="594">
        <f t="shared" ca="1" si="38"/>
        <v>0</v>
      </c>
      <c r="R146" s="594">
        <f t="shared" ca="1" si="38"/>
        <v>0</v>
      </c>
      <c r="S146" s="594">
        <f t="shared" ca="1" si="38"/>
        <v>0</v>
      </c>
      <c r="T146" s="594">
        <v>2000</v>
      </c>
      <c r="U146" s="594">
        <f ca="1">IFERROR(S146/Q146*100,0)</f>
        <v>0</v>
      </c>
      <c r="V146" s="594">
        <v>212.8</v>
      </c>
      <c r="W146" s="594">
        <f ca="1">IFERROR(U146/S146*100,0)</f>
        <v>0</v>
      </c>
      <c r="X146" s="594">
        <v>1046.5</v>
      </c>
      <c r="Y146" s="594">
        <f ca="1">IFERROR(W146/U146*100,0)</f>
        <v>0</v>
      </c>
      <c r="Z146" s="594">
        <v>0</v>
      </c>
      <c r="AA146" s="594">
        <f t="shared" ca="1" si="42"/>
        <v>0</v>
      </c>
      <c r="AB146" s="594">
        <f t="shared" si="42"/>
        <v>0</v>
      </c>
      <c r="AC146" s="594">
        <f t="shared" ca="1" si="42"/>
        <v>0</v>
      </c>
      <c r="AD146" s="594">
        <f t="shared" si="42"/>
        <v>0</v>
      </c>
      <c r="AE146" s="594">
        <f t="shared" ca="1" si="42"/>
        <v>0</v>
      </c>
      <c r="AF146" s="952"/>
      <c r="AG146" s="1063"/>
      <c r="AH146" s="683"/>
    </row>
    <row r="147" spans="1:34" x14ac:dyDescent="0.3">
      <c r="A147" s="606" t="s">
        <v>170</v>
      </c>
      <c r="B147" s="594">
        <f ca="1">J147+L147+N147+P147+R147+T147+V147+X147+Z147+AB147+AD147+H147</f>
        <v>812.5</v>
      </c>
      <c r="C147" s="594">
        <f ca="1">SUM(H147)</f>
        <v>0</v>
      </c>
      <c r="D147" s="594">
        <f ca="1">E147</f>
        <v>0</v>
      </c>
      <c r="E147" s="594">
        <f ca="1">SUM(I147,K147,M147,O147,Q147,S147,U147,W147,Y147,AA147,AC147,AE147)</f>
        <v>0</v>
      </c>
      <c r="F147" s="594">
        <f t="shared" ca="1" si="37"/>
        <v>0</v>
      </c>
      <c r="G147" s="594">
        <f t="shared" ca="1" si="38"/>
        <v>0</v>
      </c>
      <c r="H147" s="594">
        <f t="shared" ca="1" si="38"/>
        <v>0</v>
      </c>
      <c r="I147" s="594">
        <f t="shared" ca="1" si="38"/>
        <v>0</v>
      </c>
      <c r="J147" s="594">
        <f t="shared" ca="1" si="38"/>
        <v>0</v>
      </c>
      <c r="K147" s="594">
        <f t="shared" ca="1" si="38"/>
        <v>0</v>
      </c>
      <c r="L147" s="594">
        <f t="shared" ca="1" si="38"/>
        <v>0</v>
      </c>
      <c r="M147" s="594">
        <f t="shared" ca="1" si="38"/>
        <v>0</v>
      </c>
      <c r="N147" s="594">
        <f t="shared" ca="1" si="38"/>
        <v>0</v>
      </c>
      <c r="O147" s="594">
        <f t="shared" ca="1" si="38"/>
        <v>0</v>
      </c>
      <c r="P147" s="594">
        <f ca="1">IFERROR(N147/L147*100,0)</f>
        <v>0</v>
      </c>
      <c r="Q147" s="594">
        <f t="shared" ca="1" si="38"/>
        <v>0</v>
      </c>
      <c r="R147" s="594">
        <f t="shared" ca="1" si="38"/>
        <v>0</v>
      </c>
      <c r="S147" s="594">
        <f t="shared" ca="1" si="38"/>
        <v>0</v>
      </c>
      <c r="T147" s="594">
        <f ca="1">IFERROR(R147/P147*100,0)</f>
        <v>0</v>
      </c>
      <c r="U147" s="594">
        <f ca="1">IFERROR(S147/Q147*100,0)</f>
        <v>0</v>
      </c>
      <c r="V147" s="594">
        <f ca="1">IFERROR(T147/R147*100,0)</f>
        <v>0</v>
      </c>
      <c r="W147" s="594">
        <f ca="1">IFERROR(U147/S147*100,0)</f>
        <v>0</v>
      </c>
      <c r="X147" s="594">
        <v>812.5</v>
      </c>
      <c r="Y147" s="594">
        <f ca="1">IFERROR(W147/U147*100,0)</f>
        <v>0</v>
      </c>
      <c r="Z147" s="594">
        <f ca="1">IFERROR(X147/V147*100,0)</f>
        <v>0</v>
      </c>
      <c r="AA147" s="594">
        <f t="shared" ca="1" si="42"/>
        <v>0</v>
      </c>
      <c r="AB147" s="594">
        <f t="shared" ca="1" si="42"/>
        <v>0</v>
      </c>
      <c r="AC147" s="594">
        <f t="shared" ca="1" si="42"/>
        <v>0</v>
      </c>
      <c r="AD147" s="594">
        <f t="shared" ca="1" si="42"/>
        <v>0</v>
      </c>
      <c r="AE147" s="594">
        <f t="shared" ca="1" si="42"/>
        <v>0</v>
      </c>
      <c r="AF147" s="952"/>
      <c r="AG147" s="1063"/>
      <c r="AH147" s="683"/>
    </row>
    <row r="148" spans="1:34" ht="37.5" x14ac:dyDescent="0.3">
      <c r="A148" s="590" t="s">
        <v>219</v>
      </c>
      <c r="B148" s="591">
        <f ca="1">B149+B150+B151+B152</f>
        <v>298207.75417999999</v>
      </c>
      <c r="C148" s="591">
        <f ca="1">C149+C150+C151</f>
        <v>105652.65931999998</v>
      </c>
      <c r="D148" s="591">
        <f ca="1">D149+D150+D151</f>
        <v>123372.56000000003</v>
      </c>
      <c r="E148" s="591">
        <f ca="1">E149+E150+E151</f>
        <v>123372.56000000003</v>
      </c>
      <c r="F148" s="591">
        <f t="shared" ca="1" si="37"/>
        <v>41.371345402887009</v>
      </c>
      <c r="G148" s="591">
        <f t="shared" ca="1" si="38"/>
        <v>116.7718453979754</v>
      </c>
      <c r="H148" s="591">
        <f t="shared" ref="H148:AE148" ca="1" si="43">H149+H150+H151+H152</f>
        <v>44037.336600000002</v>
      </c>
      <c r="I148" s="591">
        <f t="shared" ca="1" si="43"/>
        <v>45180.282999999996</v>
      </c>
      <c r="J148" s="591">
        <f t="shared" ca="1" si="43"/>
        <v>33621.776099999988</v>
      </c>
      <c r="K148" s="591">
        <f t="shared" ca="1" si="43"/>
        <v>22511.485999999994</v>
      </c>
      <c r="L148" s="591">
        <f t="shared" ca="1" si="43"/>
        <v>27917.556619999999</v>
      </c>
      <c r="M148" s="591">
        <f t="shared" ca="1" si="43"/>
        <v>21624.206999999999</v>
      </c>
      <c r="N148" s="591">
        <f t="shared" ca="1" si="43"/>
        <v>31811.3681</v>
      </c>
      <c r="O148" s="591">
        <f t="shared" ca="1" si="43"/>
        <v>20540.434000000001</v>
      </c>
      <c r="P148" s="591">
        <f t="shared" ca="1" si="43"/>
        <v>30051.880999999994</v>
      </c>
      <c r="Q148" s="591">
        <f t="shared" ca="1" si="43"/>
        <v>14924.760000000002</v>
      </c>
      <c r="R148" s="591">
        <f t="shared" ca="1" si="43"/>
        <v>24939.145660000002</v>
      </c>
      <c r="S148" s="591">
        <f t="shared" ca="1" si="43"/>
        <v>0</v>
      </c>
      <c r="T148" s="591">
        <f t="shared" ca="1" si="43"/>
        <v>19852.039799999999</v>
      </c>
      <c r="U148" s="591">
        <f t="shared" ca="1" si="43"/>
        <v>0</v>
      </c>
      <c r="V148" s="591">
        <f t="shared" ca="1" si="43"/>
        <v>18274.712800000001</v>
      </c>
      <c r="W148" s="591">
        <f t="shared" ca="1" si="43"/>
        <v>0</v>
      </c>
      <c r="X148" s="591">
        <f t="shared" ca="1" si="43"/>
        <v>14365.533460000001</v>
      </c>
      <c r="Y148" s="591">
        <f t="shared" ca="1" si="43"/>
        <v>0</v>
      </c>
      <c r="Z148" s="591">
        <f t="shared" ca="1" si="43"/>
        <v>18109.728160000002</v>
      </c>
      <c r="AA148" s="591">
        <f t="shared" ca="1" si="43"/>
        <v>0</v>
      </c>
      <c r="AB148" s="591">
        <f t="shared" ca="1" si="43"/>
        <v>16560.870159999999</v>
      </c>
      <c r="AC148" s="591">
        <f t="shared" ca="1" si="43"/>
        <v>0</v>
      </c>
      <c r="AD148" s="591">
        <f t="shared" ca="1" si="43"/>
        <v>18864.705720000002</v>
      </c>
      <c r="AE148" s="591">
        <f t="shared" ca="1" si="43"/>
        <v>0</v>
      </c>
      <c r="AF148" s="591"/>
      <c r="AG148" s="1063"/>
      <c r="AH148" s="683"/>
    </row>
    <row r="149" spans="1:34" x14ac:dyDescent="0.3">
      <c r="A149" s="593" t="s">
        <v>169</v>
      </c>
      <c r="B149" s="594">
        <f ca="1">B26+B62+B74+B80+B100+B106+B114+B122+B128+B134</f>
        <v>0</v>
      </c>
      <c r="C149" s="594">
        <f ca="1">C26+C62+C74+C80+C100+C106+C114+C122+C128+C134</f>
        <v>0</v>
      </c>
      <c r="D149" s="594">
        <f ca="1">D26+D62+D74+D80+D100+D106+D114+D122+D128+D134</f>
        <v>0</v>
      </c>
      <c r="E149" s="594">
        <f ca="1">E26+E62+E74+E80+E100+E106+E114+E122+E128+E134</f>
        <v>0</v>
      </c>
      <c r="F149" s="594">
        <f t="shared" ca="1" si="37"/>
        <v>0</v>
      </c>
      <c r="G149" s="594">
        <f t="shared" ca="1" si="38"/>
        <v>0</v>
      </c>
      <c r="H149" s="594">
        <f t="shared" ref="H149:AE152" ca="1" si="44">H26+H62+H74+H80+H100+H106+H114+H122+H128+H134</f>
        <v>0</v>
      </c>
      <c r="I149" s="594">
        <f t="shared" ca="1" si="44"/>
        <v>0</v>
      </c>
      <c r="J149" s="594">
        <f t="shared" ca="1" si="44"/>
        <v>0</v>
      </c>
      <c r="K149" s="594">
        <f t="shared" ca="1" si="44"/>
        <v>0</v>
      </c>
      <c r="L149" s="594">
        <f t="shared" ca="1" si="44"/>
        <v>0</v>
      </c>
      <c r="M149" s="594">
        <f t="shared" ca="1" si="44"/>
        <v>0</v>
      </c>
      <c r="N149" s="594">
        <f t="shared" ca="1" si="44"/>
        <v>0</v>
      </c>
      <c r="O149" s="594">
        <f t="shared" ca="1" si="44"/>
        <v>0</v>
      </c>
      <c r="P149" s="594">
        <f t="shared" ca="1" si="44"/>
        <v>0</v>
      </c>
      <c r="Q149" s="594">
        <f t="shared" ca="1" si="44"/>
        <v>0</v>
      </c>
      <c r="R149" s="594">
        <f t="shared" ca="1" si="44"/>
        <v>0</v>
      </c>
      <c r="S149" s="594">
        <f t="shared" ca="1" si="44"/>
        <v>0</v>
      </c>
      <c r="T149" s="594">
        <f t="shared" ca="1" si="44"/>
        <v>0</v>
      </c>
      <c r="U149" s="594">
        <f t="shared" ca="1" si="44"/>
        <v>0</v>
      </c>
      <c r="V149" s="594">
        <f t="shared" ca="1" si="44"/>
        <v>0</v>
      </c>
      <c r="W149" s="594">
        <f t="shared" ca="1" si="44"/>
        <v>0</v>
      </c>
      <c r="X149" s="594">
        <f t="shared" ca="1" si="44"/>
        <v>0</v>
      </c>
      <c r="Y149" s="594">
        <f t="shared" ca="1" si="44"/>
        <v>0</v>
      </c>
      <c r="Z149" s="594">
        <f t="shared" ca="1" si="44"/>
        <v>0</v>
      </c>
      <c r="AA149" s="594">
        <f t="shared" ca="1" si="44"/>
        <v>0</v>
      </c>
      <c r="AB149" s="594">
        <f t="shared" ca="1" si="44"/>
        <v>0</v>
      </c>
      <c r="AC149" s="594">
        <f t="shared" ca="1" si="44"/>
        <v>0</v>
      </c>
      <c r="AD149" s="594">
        <f t="shared" ca="1" si="44"/>
        <v>0</v>
      </c>
      <c r="AE149" s="594">
        <f t="shared" ca="1" si="44"/>
        <v>0</v>
      </c>
      <c r="AF149" s="594"/>
      <c r="AG149" s="1063"/>
      <c r="AH149" s="683"/>
    </row>
    <row r="150" spans="1:34" x14ac:dyDescent="0.3">
      <c r="A150" s="593" t="s">
        <v>32</v>
      </c>
      <c r="B150" s="594">
        <f ca="1">B27+B63+B75+B81+B101+B107+B115+B123+B129+B135</f>
        <v>10029.184999999999</v>
      </c>
      <c r="C150" s="594">
        <f ca="1">C27+C63+C75+C81+C101+C107+C115+C123+C129+C135</f>
        <v>448.45</v>
      </c>
      <c r="D150" s="594">
        <f t="shared" ref="B150:E152" ca="1" si="45">D27+D63+D75+D81+D101+D107+D115+D123+D129+D135</f>
        <v>4410.82</v>
      </c>
      <c r="E150" s="594">
        <f t="shared" ca="1" si="45"/>
        <v>4410.82</v>
      </c>
      <c r="F150" s="594">
        <f t="shared" ca="1" si="37"/>
        <v>43.979844822884409</v>
      </c>
      <c r="G150" s="594">
        <f t="shared" ca="1" si="38"/>
        <v>983.57007470175051</v>
      </c>
      <c r="H150" s="594">
        <f t="shared" ca="1" si="44"/>
        <v>0</v>
      </c>
      <c r="I150" s="594">
        <f t="shared" ca="1" si="44"/>
        <v>0</v>
      </c>
      <c r="J150" s="594">
        <f t="shared" ca="1" si="44"/>
        <v>0</v>
      </c>
      <c r="K150" s="594">
        <f t="shared" ca="1" si="44"/>
        <v>0</v>
      </c>
      <c r="L150" s="594">
        <f t="shared" ca="1" si="44"/>
        <v>372.46</v>
      </c>
      <c r="M150" s="594">
        <f t="shared" ca="1" si="44"/>
        <v>372.46</v>
      </c>
      <c r="N150" s="594">
        <f t="shared" ca="1" si="44"/>
        <v>1545.22</v>
      </c>
      <c r="O150" s="594">
        <f t="shared" ca="1" si="44"/>
        <v>1545.22</v>
      </c>
      <c r="P150" s="594">
        <f t="shared" ca="1" si="44"/>
        <v>3310.64</v>
      </c>
      <c r="Q150" s="594">
        <f t="shared" ca="1" si="44"/>
        <v>3901.75</v>
      </c>
      <c r="R150" s="594">
        <f t="shared" ca="1" si="44"/>
        <v>3525.7</v>
      </c>
      <c r="S150" s="594">
        <f t="shared" ca="1" si="44"/>
        <v>0</v>
      </c>
      <c r="T150" s="594">
        <f t="shared" ca="1" si="44"/>
        <v>650.6</v>
      </c>
      <c r="U150" s="594">
        <f t="shared" ca="1" si="44"/>
        <v>0</v>
      </c>
      <c r="V150" s="594">
        <f t="shared" ca="1" si="44"/>
        <v>223.95</v>
      </c>
      <c r="W150" s="594">
        <f t="shared" ca="1" si="44"/>
        <v>0</v>
      </c>
      <c r="X150" s="594">
        <f t="shared" ca="1" si="44"/>
        <v>0</v>
      </c>
      <c r="Y150" s="594">
        <f t="shared" ca="1" si="44"/>
        <v>0</v>
      </c>
      <c r="Z150" s="594">
        <f t="shared" ca="1" si="44"/>
        <v>246.95249999999999</v>
      </c>
      <c r="AA150" s="594">
        <f t="shared" ca="1" si="44"/>
        <v>0</v>
      </c>
      <c r="AB150" s="594">
        <f t="shared" ca="1" si="44"/>
        <v>153.66249999999999</v>
      </c>
      <c r="AC150" s="594">
        <f t="shared" ca="1" si="44"/>
        <v>0</v>
      </c>
      <c r="AD150" s="594">
        <f t="shared" ca="1" si="44"/>
        <v>0</v>
      </c>
      <c r="AE150" s="594">
        <f t="shared" ca="1" si="44"/>
        <v>0</v>
      </c>
      <c r="AF150" s="594"/>
      <c r="AG150" s="1063"/>
      <c r="AH150" s="683"/>
    </row>
    <row r="151" spans="1:34" x14ac:dyDescent="0.3">
      <c r="A151" s="593" t="s">
        <v>33</v>
      </c>
      <c r="B151" s="594">
        <f t="shared" ca="1" si="45"/>
        <v>288178.56917999999</v>
      </c>
      <c r="C151" s="594">
        <f t="shared" ca="1" si="45"/>
        <v>105204.20931999998</v>
      </c>
      <c r="D151" s="594">
        <f t="shared" ca="1" si="45"/>
        <v>118961.74000000002</v>
      </c>
      <c r="E151" s="594">
        <f ca="1">E28+E64+E76+E82+E102+E108+E116+E124+E130+E136</f>
        <v>118961.74000000002</v>
      </c>
      <c r="F151" s="594">
        <f t="shared" ca="1" si="37"/>
        <v>41.28056445644124</v>
      </c>
      <c r="G151" s="594">
        <f t="shared" ca="1" si="38"/>
        <v>113.07697740320799</v>
      </c>
      <c r="H151" s="594">
        <f t="shared" ca="1" si="44"/>
        <v>44037.336600000002</v>
      </c>
      <c r="I151" s="594">
        <f t="shared" ca="1" si="44"/>
        <v>45180.282999999996</v>
      </c>
      <c r="J151" s="594">
        <f t="shared" ca="1" si="44"/>
        <v>33621.776099999988</v>
      </c>
      <c r="K151" s="594">
        <f t="shared" ca="1" si="44"/>
        <v>22511.485999999994</v>
      </c>
      <c r="L151" s="594">
        <f t="shared" si="44"/>
        <v>25361.103619999998</v>
      </c>
      <c r="M151" s="594">
        <f t="shared" si="44"/>
        <v>21588.857</v>
      </c>
      <c r="N151" s="594">
        <f t="shared" si="44"/>
        <v>30668.232299999996</v>
      </c>
      <c r="O151" s="594">
        <f t="shared" si="44"/>
        <v>19220.034</v>
      </c>
      <c r="P151" s="594">
        <f t="shared" si="44"/>
        <v>28042.0638</v>
      </c>
      <c r="Q151" s="594">
        <f t="shared" si="44"/>
        <v>11161.300000000003</v>
      </c>
      <c r="R151" s="594">
        <f t="shared" si="44"/>
        <v>22625.537059999999</v>
      </c>
      <c r="S151" s="594">
        <f t="shared" si="44"/>
        <v>8533.11</v>
      </c>
      <c r="T151" s="594">
        <f t="shared" si="44"/>
        <v>21746.181199999999</v>
      </c>
      <c r="U151" s="594">
        <f t="shared" si="44"/>
        <v>8304.7300000000014</v>
      </c>
      <c r="V151" s="594">
        <f t="shared" si="44"/>
        <v>19841.052800000001</v>
      </c>
      <c r="W151" s="594">
        <f t="shared" si="44"/>
        <v>4835.130000000001</v>
      </c>
      <c r="X151" s="594">
        <f t="shared" si="44"/>
        <v>16362.02346</v>
      </c>
      <c r="Y151" s="594">
        <f t="shared" si="44"/>
        <v>4210.9799999999996</v>
      </c>
      <c r="Z151" s="594">
        <f t="shared" si="44"/>
        <v>20364.485660000002</v>
      </c>
      <c r="AA151" s="594">
        <f t="shared" si="44"/>
        <v>18665.989999999998</v>
      </c>
      <c r="AB151" s="594">
        <f t="shared" si="44"/>
        <v>19545.247659999997</v>
      </c>
      <c r="AC151" s="594">
        <f t="shared" si="44"/>
        <v>18285.79</v>
      </c>
      <c r="AD151" s="594">
        <f t="shared" si="44"/>
        <v>24027.430720000004</v>
      </c>
      <c r="AE151" s="594">
        <f t="shared" si="44"/>
        <v>41546.302000000003</v>
      </c>
      <c r="AF151" s="594"/>
      <c r="AG151" s="1063"/>
      <c r="AH151" s="683"/>
    </row>
    <row r="152" spans="1:34" x14ac:dyDescent="0.3">
      <c r="A152" s="606" t="s">
        <v>170</v>
      </c>
      <c r="B152" s="594">
        <f t="shared" si="45"/>
        <v>0</v>
      </c>
      <c r="C152" s="594">
        <f t="shared" ca="1" si="45"/>
        <v>0</v>
      </c>
      <c r="D152" s="594">
        <f t="shared" si="45"/>
        <v>0</v>
      </c>
      <c r="E152" s="594">
        <f t="shared" si="45"/>
        <v>0</v>
      </c>
      <c r="F152" s="594">
        <f t="shared" si="37"/>
        <v>0</v>
      </c>
      <c r="G152" s="594">
        <f t="shared" ca="1" si="38"/>
        <v>0</v>
      </c>
      <c r="H152" s="594">
        <f t="shared" ca="1" si="44"/>
        <v>0</v>
      </c>
      <c r="I152" s="594">
        <f t="shared" ca="1" si="44"/>
        <v>0</v>
      </c>
      <c r="J152" s="594">
        <f t="shared" ca="1" si="44"/>
        <v>0</v>
      </c>
      <c r="K152" s="594">
        <f t="shared" ca="1" si="44"/>
        <v>0</v>
      </c>
      <c r="L152" s="594">
        <f t="shared" si="44"/>
        <v>0</v>
      </c>
      <c r="M152" s="594">
        <f t="shared" si="44"/>
        <v>0</v>
      </c>
      <c r="N152" s="594">
        <f t="shared" si="44"/>
        <v>198.9</v>
      </c>
      <c r="O152" s="594">
        <f t="shared" si="44"/>
        <v>0</v>
      </c>
      <c r="P152" s="594">
        <f t="shared" si="44"/>
        <v>0</v>
      </c>
      <c r="Q152" s="594">
        <f t="shared" si="44"/>
        <v>0</v>
      </c>
      <c r="R152" s="594">
        <f t="shared" si="44"/>
        <v>0</v>
      </c>
      <c r="S152" s="594">
        <f t="shared" si="44"/>
        <v>0</v>
      </c>
      <c r="T152" s="594">
        <f t="shared" si="44"/>
        <v>0</v>
      </c>
      <c r="U152" s="594">
        <f t="shared" si="44"/>
        <v>0</v>
      </c>
      <c r="V152" s="594">
        <f t="shared" si="44"/>
        <v>0</v>
      </c>
      <c r="W152" s="594">
        <f t="shared" si="44"/>
        <v>0</v>
      </c>
      <c r="X152" s="594">
        <f t="shared" si="44"/>
        <v>0</v>
      </c>
      <c r="Y152" s="594">
        <f t="shared" si="44"/>
        <v>0</v>
      </c>
      <c r="Z152" s="594">
        <f t="shared" si="44"/>
        <v>0</v>
      </c>
      <c r="AA152" s="594">
        <f t="shared" si="44"/>
        <v>0</v>
      </c>
      <c r="AB152" s="594">
        <f t="shared" si="44"/>
        <v>0</v>
      </c>
      <c r="AC152" s="594">
        <f t="shared" si="44"/>
        <v>0</v>
      </c>
      <c r="AD152" s="594">
        <f t="shared" si="44"/>
        <v>0</v>
      </c>
      <c r="AE152" s="594">
        <f t="shared" si="44"/>
        <v>0</v>
      </c>
      <c r="AF152" s="594"/>
      <c r="AG152" s="1063"/>
      <c r="AH152" s="683"/>
    </row>
    <row r="153" spans="1:34" x14ac:dyDescent="0.3">
      <c r="B153" s="683"/>
      <c r="C153" s="683"/>
      <c r="D153" s="683"/>
      <c r="E153" s="683"/>
      <c r="F153" s="683"/>
      <c r="G153" s="683"/>
      <c r="H153" s="683"/>
      <c r="I153" s="683"/>
      <c r="J153" s="683"/>
      <c r="K153" s="683"/>
      <c r="L153" s="683"/>
      <c r="M153" s="683"/>
      <c r="N153" s="683"/>
      <c r="O153" s="683"/>
      <c r="P153" s="683"/>
      <c r="Q153" s="683"/>
      <c r="R153" s="683"/>
      <c r="S153" s="683"/>
      <c r="T153" s="683"/>
      <c r="U153" s="683"/>
      <c r="V153" s="683"/>
      <c r="W153" s="683"/>
      <c r="X153" s="683"/>
      <c r="Y153" s="683"/>
      <c r="Z153" s="683"/>
      <c r="AA153" s="683"/>
      <c r="AB153" s="683"/>
      <c r="AC153" s="683"/>
      <c r="AD153" s="683"/>
      <c r="AE153" s="683"/>
      <c r="AG153" s="1063"/>
    </row>
    <row r="154" spans="1:34" x14ac:dyDescent="0.3">
      <c r="A154" s="1076"/>
      <c r="B154" s="683"/>
      <c r="C154" s="683"/>
      <c r="D154" s="683"/>
      <c r="E154" s="683"/>
      <c r="F154" s="683"/>
      <c r="G154" s="683"/>
      <c r="H154" s="683"/>
      <c r="I154" s="683"/>
      <c r="J154" s="683"/>
      <c r="K154" s="683"/>
      <c r="L154" s="683"/>
      <c r="M154" s="683"/>
      <c r="N154" s="683"/>
      <c r="O154" s="683"/>
      <c r="P154" s="683"/>
      <c r="Q154" s="683"/>
      <c r="R154" s="683"/>
      <c r="S154" s="683"/>
      <c r="T154" s="683"/>
      <c r="U154" s="683"/>
      <c r="V154" s="683"/>
      <c r="W154" s="683"/>
      <c r="X154" s="683"/>
      <c r="Y154" s="683"/>
      <c r="Z154" s="683"/>
      <c r="AA154" s="683"/>
      <c r="AB154" s="683"/>
      <c r="AC154" s="683"/>
      <c r="AD154" s="683"/>
      <c r="AE154" s="683"/>
      <c r="AG154" s="1063"/>
    </row>
    <row r="155" spans="1:34" x14ac:dyDescent="0.3">
      <c r="A155" s="1076"/>
      <c r="B155" s="683"/>
      <c r="C155" s="683"/>
      <c r="D155" s="683"/>
      <c r="E155" s="683"/>
      <c r="F155" s="683"/>
      <c r="G155" s="683"/>
      <c r="H155" s="683"/>
      <c r="I155" s="683"/>
      <c r="J155" s="683"/>
      <c r="K155" s="683"/>
      <c r="L155" s="683"/>
      <c r="M155" s="683"/>
      <c r="N155" s="683"/>
      <c r="O155" s="683"/>
      <c r="P155" s="683"/>
      <c r="Q155" s="683"/>
      <c r="R155" s="683"/>
      <c r="S155" s="683"/>
      <c r="T155" s="683"/>
      <c r="U155" s="683"/>
      <c r="V155" s="683"/>
      <c r="W155" s="683"/>
      <c r="X155" s="683"/>
      <c r="Y155" s="683"/>
      <c r="Z155" s="683"/>
      <c r="AA155" s="683"/>
      <c r="AB155" s="683"/>
      <c r="AC155" s="683"/>
      <c r="AD155" s="683"/>
      <c r="AE155" s="683"/>
      <c r="AG155" s="1063"/>
    </row>
    <row r="156" spans="1:34" x14ac:dyDescent="0.3">
      <c r="A156" s="1076"/>
      <c r="B156" s="683"/>
      <c r="C156" s="683"/>
      <c r="D156" s="683"/>
      <c r="E156" s="683"/>
      <c r="F156" s="683"/>
      <c r="G156" s="683"/>
      <c r="H156" s="683"/>
      <c r="I156" s="683"/>
      <c r="J156" s="683"/>
      <c r="K156" s="683"/>
      <c r="L156" s="683"/>
      <c r="M156" s="683"/>
      <c r="N156" s="683"/>
      <c r="O156" s="683"/>
      <c r="P156" s="683"/>
      <c r="Q156" s="683"/>
      <c r="R156" s="683"/>
      <c r="S156" s="683"/>
      <c r="T156" s="683"/>
      <c r="U156" s="683"/>
      <c r="V156" s="683"/>
      <c r="W156" s="683"/>
      <c r="X156" s="683"/>
      <c r="Y156" s="683"/>
      <c r="Z156" s="683"/>
      <c r="AA156" s="683"/>
      <c r="AB156" s="683"/>
      <c r="AC156" s="683"/>
      <c r="AD156" s="683"/>
      <c r="AE156" s="683"/>
      <c r="AG156" s="1063"/>
    </row>
    <row r="157" spans="1:34" x14ac:dyDescent="0.3">
      <c r="A157" s="1076"/>
      <c r="B157" s="683"/>
      <c r="C157" s="683"/>
      <c r="D157" s="683"/>
      <c r="E157" s="683"/>
      <c r="F157" s="683"/>
      <c r="G157" s="683"/>
      <c r="H157" s="683"/>
      <c r="I157" s="683"/>
      <c r="J157" s="683"/>
      <c r="K157" s="683"/>
      <c r="L157" s="683"/>
      <c r="M157" s="683"/>
      <c r="N157" s="683"/>
      <c r="O157" s="683"/>
      <c r="P157" s="683"/>
      <c r="Q157" s="683"/>
      <c r="R157" s="683"/>
      <c r="S157" s="683"/>
      <c r="T157" s="683"/>
      <c r="U157" s="683"/>
      <c r="V157" s="683"/>
      <c r="W157" s="683"/>
      <c r="X157" s="683"/>
      <c r="Y157" s="683"/>
      <c r="Z157" s="683"/>
      <c r="AA157" s="683"/>
      <c r="AB157" s="683"/>
      <c r="AC157" s="683"/>
      <c r="AD157" s="683"/>
      <c r="AE157" s="683"/>
      <c r="AG157" s="1063"/>
    </row>
    <row r="159" spans="1:34" x14ac:dyDescent="0.3">
      <c r="B159" s="683"/>
      <c r="C159" s="683"/>
      <c r="D159" s="683"/>
      <c r="E159" s="683"/>
      <c r="F159" s="683"/>
      <c r="G159" s="683"/>
      <c r="H159" s="683"/>
      <c r="I159" s="683"/>
      <c r="J159" s="683"/>
      <c r="K159" s="683"/>
      <c r="L159" s="683"/>
      <c r="M159" s="683"/>
      <c r="N159" s="683"/>
      <c r="O159" s="683"/>
      <c r="P159" s="683"/>
      <c r="Q159" s="683"/>
      <c r="R159" s="683"/>
      <c r="S159" s="683"/>
      <c r="T159" s="683"/>
      <c r="U159" s="683"/>
      <c r="V159" s="683"/>
      <c r="W159" s="683"/>
      <c r="X159" s="683"/>
      <c r="Y159" s="683"/>
      <c r="Z159" s="683"/>
      <c r="AA159" s="683"/>
      <c r="AB159" s="683"/>
      <c r="AC159" s="683"/>
      <c r="AD159" s="683"/>
      <c r="AE159" s="683"/>
    </row>
    <row r="160" spans="1:34" x14ac:dyDescent="0.3">
      <c r="B160" s="683"/>
      <c r="C160" s="683"/>
      <c r="D160" s="683"/>
      <c r="E160" s="683"/>
      <c r="F160" s="683"/>
      <c r="G160" s="683"/>
      <c r="H160" s="683"/>
      <c r="I160" s="683"/>
      <c r="J160" s="683"/>
      <c r="K160" s="683"/>
      <c r="L160" s="683"/>
      <c r="M160" s="683"/>
      <c r="N160" s="683"/>
      <c r="O160" s="683"/>
      <c r="P160" s="683"/>
      <c r="Q160" s="683"/>
      <c r="R160" s="683"/>
      <c r="S160" s="683"/>
      <c r="T160" s="683"/>
      <c r="U160" s="683"/>
      <c r="V160" s="683"/>
      <c r="W160" s="683"/>
      <c r="X160" s="683"/>
      <c r="Y160" s="683"/>
      <c r="Z160" s="683"/>
      <c r="AA160" s="683"/>
      <c r="AB160" s="683"/>
      <c r="AC160" s="683"/>
      <c r="AD160" s="683"/>
      <c r="AE160" s="683"/>
    </row>
    <row r="161" spans="2:31" x14ac:dyDescent="0.3">
      <c r="B161" s="683"/>
      <c r="C161" s="683"/>
      <c r="D161" s="683"/>
      <c r="E161" s="683"/>
      <c r="F161" s="683"/>
      <c r="G161" s="683"/>
      <c r="H161" s="683"/>
      <c r="I161" s="683"/>
      <c r="J161" s="683"/>
      <c r="K161" s="683"/>
      <c r="L161" s="683"/>
      <c r="M161" s="683"/>
      <c r="N161" s="683"/>
      <c r="O161" s="683"/>
      <c r="P161" s="683"/>
      <c r="Q161" s="683"/>
      <c r="R161" s="683"/>
      <c r="S161" s="683"/>
      <c r="T161" s="683"/>
      <c r="U161" s="683"/>
      <c r="V161" s="683"/>
      <c r="W161" s="683"/>
      <c r="X161" s="683"/>
      <c r="Y161" s="683"/>
      <c r="Z161" s="683"/>
      <c r="AA161" s="683"/>
      <c r="AB161" s="683"/>
      <c r="AC161" s="683"/>
      <c r="AD161" s="683"/>
      <c r="AE161" s="683"/>
    </row>
    <row r="162" spans="2:31" x14ac:dyDescent="0.3">
      <c r="B162" s="683"/>
      <c r="C162" s="683"/>
      <c r="D162" s="683"/>
      <c r="E162" s="683"/>
      <c r="F162" s="683"/>
      <c r="G162" s="683"/>
      <c r="H162" s="683"/>
      <c r="I162" s="683"/>
      <c r="J162" s="683"/>
      <c r="K162" s="683"/>
      <c r="L162" s="683"/>
      <c r="M162" s="683"/>
      <c r="N162" s="683"/>
      <c r="O162" s="683"/>
      <c r="P162" s="683"/>
      <c r="Q162" s="683"/>
      <c r="R162" s="683"/>
      <c r="S162" s="683"/>
      <c r="T162" s="683"/>
      <c r="U162" s="683"/>
      <c r="V162" s="683"/>
      <c r="W162" s="683"/>
      <c r="X162" s="683"/>
      <c r="Y162" s="683"/>
      <c r="Z162" s="683"/>
      <c r="AA162" s="683"/>
      <c r="AB162" s="683"/>
      <c r="AC162" s="683"/>
      <c r="AD162" s="683"/>
      <c r="AE162" s="683"/>
    </row>
    <row r="163" spans="2:31" x14ac:dyDescent="0.3">
      <c r="B163" s="683"/>
      <c r="C163" s="683"/>
      <c r="D163" s="683"/>
      <c r="E163" s="683"/>
      <c r="F163" s="683"/>
      <c r="G163" s="683"/>
      <c r="H163" s="683"/>
      <c r="I163" s="683"/>
      <c r="J163" s="683"/>
      <c r="K163" s="683"/>
      <c r="L163" s="683"/>
      <c r="M163" s="683"/>
      <c r="N163" s="683"/>
      <c r="O163" s="683"/>
      <c r="P163" s="683"/>
      <c r="Q163" s="683"/>
      <c r="R163" s="683"/>
      <c r="S163" s="683"/>
      <c r="T163" s="683"/>
      <c r="U163" s="683"/>
      <c r="V163" s="683"/>
      <c r="W163" s="683"/>
      <c r="X163" s="683"/>
      <c r="Y163" s="683"/>
      <c r="Z163" s="683"/>
      <c r="AA163" s="683"/>
      <c r="AB163" s="683"/>
      <c r="AC163" s="683"/>
      <c r="AD163" s="683"/>
      <c r="AE163" s="683"/>
    </row>
    <row r="164" spans="2:31" x14ac:dyDescent="0.3">
      <c r="B164" s="683"/>
      <c r="C164" s="683"/>
      <c r="E164" s="683"/>
      <c r="F164" s="683"/>
      <c r="G164" s="683"/>
      <c r="H164" s="683"/>
      <c r="I164" s="683"/>
      <c r="J164" s="683"/>
      <c r="K164" s="683"/>
      <c r="L164" s="683"/>
      <c r="M164" s="683"/>
      <c r="N164" s="683"/>
      <c r="O164" s="683"/>
      <c r="P164" s="683"/>
      <c r="Q164" s="683"/>
      <c r="R164" s="683"/>
      <c r="S164" s="683"/>
      <c r="T164" s="683"/>
      <c r="U164" s="683"/>
      <c r="V164" s="683"/>
      <c r="W164" s="683"/>
      <c r="X164" s="683"/>
      <c r="Y164" s="683"/>
      <c r="Z164" s="683"/>
      <c r="AA164" s="683"/>
      <c r="AB164" s="683"/>
      <c r="AC164" s="683"/>
      <c r="AD164" s="683"/>
      <c r="AE164" s="683"/>
    </row>
    <row r="165" spans="2:31" x14ac:dyDescent="0.3">
      <c r="B165" s="683"/>
      <c r="C165" s="683"/>
      <c r="E165" s="683"/>
      <c r="F165" s="683"/>
      <c r="G165" s="683"/>
      <c r="H165" s="683"/>
      <c r="I165" s="683"/>
      <c r="J165" s="683"/>
      <c r="K165" s="683"/>
      <c r="L165" s="683"/>
      <c r="M165" s="683"/>
      <c r="N165" s="683"/>
      <c r="O165" s="683"/>
      <c r="P165" s="683"/>
      <c r="Q165" s="683"/>
      <c r="R165" s="683"/>
      <c r="S165" s="683"/>
      <c r="T165" s="683"/>
      <c r="U165" s="683"/>
      <c r="V165" s="683"/>
      <c r="W165" s="683"/>
      <c r="X165" s="683"/>
      <c r="Y165" s="683"/>
      <c r="Z165" s="683"/>
      <c r="AA165" s="683"/>
      <c r="AB165" s="683"/>
      <c r="AC165" s="683"/>
      <c r="AD165" s="683"/>
      <c r="AE165" s="683"/>
    </row>
    <row r="166" spans="2:31" x14ac:dyDescent="0.3">
      <c r="B166" s="683"/>
      <c r="C166" s="683"/>
      <c r="D166" s="683"/>
      <c r="E166" s="683"/>
      <c r="F166" s="683"/>
      <c r="G166" s="683"/>
      <c r="H166" s="683"/>
      <c r="I166" s="683"/>
      <c r="J166" s="683"/>
      <c r="K166" s="683"/>
      <c r="L166" s="683"/>
      <c r="M166" s="683"/>
      <c r="N166" s="683"/>
      <c r="O166" s="683"/>
      <c r="P166" s="683"/>
      <c r="Q166" s="683"/>
      <c r="R166" s="683"/>
      <c r="S166" s="683"/>
      <c r="T166" s="683"/>
      <c r="U166" s="683"/>
      <c r="V166" s="683"/>
      <c r="W166" s="683"/>
      <c r="X166" s="683"/>
      <c r="Y166" s="683"/>
      <c r="Z166" s="683"/>
      <c r="AA166" s="683"/>
      <c r="AB166" s="683"/>
      <c r="AC166" s="683"/>
      <c r="AD166" s="683"/>
      <c r="AE166" s="683"/>
    </row>
  </sheetData>
  <customSheetViews>
    <customSheetView guid="{7C130984-112A-4861-AA43-E2940708E3DC}" scale="70" state="hidden">
      <pane xSplit="7" ySplit="10" topLeftCell="AB11" activePane="bottomRight" state="frozen"/>
      <selection pane="bottomRight" activeCell="AF104" sqref="AF104"/>
      <pageMargins left="0.7" right="0.7" top="0.75" bottom="0.75" header="0.3" footer="0.3"/>
      <pageSetup paperSize="9" orientation="portrait" r:id="rId1"/>
    </customSheetView>
    <customSheetView guid="{533DC55B-6AD4-4674-9488-685EF2039F3E}" scale="70" state="hidden">
      <pane xSplit="7" ySplit="10" topLeftCell="AB11" activePane="bottomRight" state="frozen"/>
      <selection pane="bottomRight" activeCell="AF104" sqref="AF104"/>
      <pageMargins left="0.7" right="0.7" top="0.75" bottom="0.75" header="0.3" footer="0.3"/>
      <pageSetup paperSize="9" orientation="portrait" r:id="rId2"/>
    </customSheetView>
    <customSheetView guid="{09C3E205-981E-4A4E-BE89-8B7044192060}" scale="70">
      <pane xSplit="7" ySplit="10" topLeftCell="AB11" activePane="bottomRight" state="frozen"/>
      <selection pane="bottomRight" activeCell="AF104" sqref="AF104"/>
      <pageMargins left="0.7" right="0.7" top="0.75" bottom="0.75" header="0.3" footer="0.3"/>
      <pageSetup paperSize="9" orientation="portrait" r:id="rId3"/>
    </customSheetView>
    <customSheetView guid="{B1BF08D1-D416-4B47-ADD0-4F59132DC9E8}" scale="70">
      <pane xSplit="7" ySplit="10" topLeftCell="U141" activePane="bottomRight" state="frozen"/>
      <selection pane="bottomRight" activeCell="AE121" sqref="AE121"/>
      <pageMargins left="0.7" right="0.7" top="0.75" bottom="0.75" header="0.3" footer="0.3"/>
      <pageSetup paperSize="9" orientation="portrait" r:id="rId4"/>
    </customSheetView>
    <customSheetView guid="{4F41B9CC-959D-442C-80B0-1F0DB2C76D27}" scale="70">
      <pane xSplit="7" ySplit="10" topLeftCell="H33" activePane="bottomRight" state="frozen"/>
      <selection pane="bottomRight" activeCell="M116" sqref="M116"/>
      <pageMargins left="0.7" right="0.7" top="0.75" bottom="0.75" header="0.3" footer="0.3"/>
      <pageSetup paperSize="9" orientation="portrait" r:id="rId5"/>
    </customSheetView>
    <customSheetView guid="{84867370-1F3E-4368-AF79-FBCE46FFFE92}" scale="70">
      <pane xSplit="7" ySplit="10" topLeftCell="H33" activePane="bottomRight" state="frozen"/>
      <selection pane="bottomRight" activeCell="M116" sqref="M116"/>
      <pageMargins left="0.7" right="0.7" top="0.75" bottom="0.75" header="0.3" footer="0.3"/>
      <pageSetup paperSize="9" orientation="portrait" r:id="rId6"/>
    </customSheetView>
    <customSheetView guid="{E508E171-4ED9-4B07-84DF-DA28C60E1969}" scale="70">
      <pane xSplit="7" ySplit="10" topLeftCell="H33" activePane="bottomRight" state="frozen"/>
      <selection pane="bottomRight" activeCell="M116" sqref="M116"/>
      <pageMargins left="0.7" right="0.7" top="0.75" bottom="0.75" header="0.3" footer="0.3"/>
      <pageSetup paperSize="9" orientation="portrait" r:id="rId7"/>
    </customSheetView>
    <customSheetView guid="{602C8EDB-B9EF-4C85-B0D5-0558C3A0ABAB}" scale="70">
      <pane xSplit="7" ySplit="10" topLeftCell="H33" activePane="bottomRight" state="frozen"/>
      <selection pane="bottomRight" activeCell="M116" sqref="M116"/>
      <pageMargins left="0.7" right="0.7" top="0.75" bottom="0.75" header="0.3" footer="0.3"/>
      <pageSetup paperSize="9" orientation="portrait" r:id="rId8"/>
    </customSheetView>
    <customSheetView guid="{84B3377A-1CDD-4881-99FA-112F8B470D6F}" scale="70">
      <pane xSplit="7" ySplit="10" topLeftCell="H33" activePane="bottomRight" state="frozen"/>
      <selection pane="bottomRight" activeCell="M116" sqref="M116"/>
      <pageMargins left="0.7" right="0.7" top="0.75" bottom="0.75" header="0.3" footer="0.3"/>
      <pageSetup paperSize="9" orientation="portrait" r:id="rId9"/>
    </customSheetView>
    <customSheetView guid="{87218168-6C8E-4D5B-A5E5-DCCC26803AA3}" scale="55">
      <pane xSplit="7" ySplit="10" topLeftCell="H68" activePane="bottomRight" state="frozen"/>
      <selection pane="bottomRight" activeCell="C77" sqref="C77"/>
      <pageMargins left="0.7" right="0.7" top="0.75" bottom="0.75" header="0.3" footer="0.3"/>
      <pageSetup paperSize="9" orientation="portrait" r:id="rId10"/>
    </customSheetView>
    <customSheetView guid="{6A602CB8-B24C-4ED4-B378-B27354BE0A1A}" scale="55">
      <pane xSplit="7" ySplit="10" topLeftCell="H68" activePane="bottomRight" state="frozen"/>
      <selection pane="bottomRight" activeCell="C77" sqref="C77"/>
      <pageMargins left="0.7" right="0.7" top="0.75" bottom="0.75" header="0.3" footer="0.3"/>
      <pageSetup paperSize="9" orientation="portrait" r:id="rId11"/>
    </customSheetView>
    <customSheetView guid="{D01FA037-9AEC-4167-ADB8-2F327C01ECE6}" scale="55">
      <pane xSplit="7" ySplit="10" topLeftCell="H68" activePane="bottomRight" state="frozen"/>
      <selection pane="bottomRight" activeCell="C77" sqref="C77"/>
      <pageMargins left="0.7" right="0.7" top="0.75" bottom="0.75" header="0.3" footer="0.3"/>
      <pageSetup paperSize="9" orientation="portrait" r:id="rId12"/>
    </customSheetView>
    <customSheetView guid="{74870EE6-26B9-40F7-9DC9-260EF16D8959}" scale="55">
      <pane xSplit="7" ySplit="10" topLeftCell="H68" activePane="bottomRight" state="frozen"/>
      <selection pane="bottomRight" activeCell="C77" sqref="C77"/>
      <pageMargins left="0.7" right="0.7" top="0.75" bottom="0.75" header="0.3" footer="0.3"/>
      <pageSetup paperSize="9" orientation="portrait" r:id="rId13"/>
    </customSheetView>
    <customSheetView guid="{7226EA2B-7866-416F-9240-410CC1BF0336}" scale="55">
      <pane xSplit="7" ySplit="10" topLeftCell="H68" activePane="bottomRight" state="frozen"/>
      <selection pane="bottomRight" activeCell="C77" sqref="C77"/>
      <pageMargins left="0.7" right="0.7" top="0.75" bottom="0.75" header="0.3" footer="0.3"/>
      <pageSetup paperSize="9" orientation="portrait" r:id="rId14"/>
    </customSheetView>
    <customSheetView guid="{F8CAB90F-9980-4EC7-B30B-1637EB515304}" scale="55">
      <pane xSplit="7" ySplit="10" topLeftCell="H68" activePane="bottomRight" state="frozen"/>
      <selection pane="bottomRight" activeCell="C77" sqref="C77"/>
      <pageMargins left="0.7" right="0.7" top="0.75" bottom="0.75" header="0.3" footer="0.3"/>
      <pageSetup paperSize="9" orientation="portrait" r:id="rId15"/>
    </customSheetView>
    <customSheetView guid="{415078CD-EB99-432D-90BA-2F3D5A746E20}" scale="55">
      <pane xSplit="7" ySplit="10" topLeftCell="H68" activePane="bottomRight" state="frozen"/>
      <selection pane="bottomRight" activeCell="C77" sqref="C77"/>
      <pageMargins left="0.7" right="0.7" top="0.75" bottom="0.75" header="0.3" footer="0.3"/>
      <pageSetup paperSize="9" orientation="portrait" r:id="rId16"/>
    </customSheetView>
    <customSheetView guid="{CB4792DB-A624-4844-AEB6-A6ADA80946BB}" scale="55">
      <pane xSplit="7" ySplit="10" topLeftCell="H11" activePane="bottomRight" state="frozen"/>
      <selection pane="bottomRight" activeCell="A23" sqref="A23:AF23"/>
      <pageMargins left="0.7" right="0.7" top="0.75" bottom="0.75" header="0.3" footer="0.3"/>
      <pageSetup paperSize="9" orientation="portrait" r:id="rId17"/>
    </customSheetView>
    <customSheetView guid="{0C2B9C2A-7B94-41EF-A2E6-F8AC9A67DE25}" scale="55">
      <pane xSplit="7" ySplit="10" topLeftCell="H11" activePane="bottomRight" state="frozen"/>
      <selection pane="bottomRight" activeCell="A23" sqref="A23:AF23"/>
      <pageMargins left="0.7" right="0.7" top="0.75" bottom="0.75" header="0.3" footer="0.3"/>
      <pageSetup paperSize="9" orientation="portrait" r:id="rId18"/>
    </customSheetView>
    <customSheetView guid="{391AB76E-B386-49C1-800F-016A48AA1A46}" scale="55">
      <pane xSplit="7" ySplit="10" topLeftCell="H105" activePane="bottomRight" state="frozen"/>
      <selection pane="bottomRight" activeCell="Q67" sqref="Q67"/>
      <pageMargins left="0.7" right="0.7" top="0.75" bottom="0.75" header="0.3" footer="0.3"/>
      <pageSetup paperSize="9" orientation="portrait" r:id="rId19"/>
    </customSheetView>
    <customSheetView guid="{959E901C-5DDE-42EE-AE94-AB8976B5E00B}" scale="70">
      <pane xSplit="7" ySplit="10" topLeftCell="U62" activePane="bottomRight" state="frozen"/>
      <selection pane="bottomRight" activeCell="AF70" sqref="AF70"/>
      <pageMargins left="0.7" right="0.7" top="0.75" bottom="0.75" header="0.3" footer="0.3"/>
      <pageSetup paperSize="9" orientation="portrait" r:id="rId20"/>
    </customSheetView>
    <customSheetView guid="{F679EF4A-C5FD-4B86-B87B-D85968E0F2CA}" scale="60">
      <pane xSplit="2" ySplit="11" topLeftCell="C115" activePane="bottomRight" state="frozen"/>
      <selection pane="bottomRight" activeCell="A142" sqref="A142"/>
      <pageMargins left="0.7" right="0.7" top="0.75" bottom="0.75" header="0.3" footer="0.3"/>
      <pageSetup paperSize="9" orientation="portrait" r:id="rId21"/>
    </customSheetView>
    <customSheetView guid="{009B3074-D8EC-4952-BF50-43CD64449612}" scale="70">
      <pane xSplit="2" ySplit="11" topLeftCell="AA90" activePane="bottomRight" state="frozen"/>
      <selection pane="bottomRight" activeCell="A92" sqref="A92"/>
      <pageMargins left="0.7" right="0.7" top="0.75" bottom="0.75" header="0.3" footer="0.3"/>
      <pageSetup paperSize="9" orientation="portrait" r:id="rId22"/>
    </customSheetView>
    <customSheetView guid="{770624BF-07F3-44B6-94C3-4CC447CDD45C}" scale="70">
      <pane xSplit="2" ySplit="11" topLeftCell="E141" activePane="bottomRight" state="frozen"/>
      <selection pane="bottomRight" activeCell="K128" sqref="K128"/>
      <pageMargins left="0.7" right="0.7" top="0.75" bottom="0.75" header="0.3" footer="0.3"/>
      <pageSetup paperSize="9" orientation="portrait" r:id="rId23"/>
    </customSheetView>
    <customSheetView guid="{B82BA08A-1A30-4F4D-A478-74A6BD09EA97}" scale="70">
      <pane xSplit="2" ySplit="11" topLeftCell="E12" activePane="bottomRight" state="frozen"/>
      <selection pane="bottomRight" activeCell="G23" sqref="G23"/>
      <pageMargins left="0.7" right="0.7" top="0.75" bottom="0.75" header="0.3" footer="0.3"/>
      <pageSetup paperSize="9" orientation="portrait" r:id="rId24"/>
    </customSheetView>
    <customSheetView guid="{874882D1-E741-4CCA-BF0D-E72FA60B771D}" scale="70">
      <pane xSplit="2" ySplit="11" topLeftCell="E141" activePane="bottomRight" state="frozen"/>
      <selection pane="bottomRight" activeCell="H60" sqref="H60"/>
      <pageMargins left="0.7" right="0.7" top="0.75" bottom="0.75" header="0.3" footer="0.3"/>
      <pageSetup paperSize="9" orientation="portrait" r:id="rId25"/>
    </customSheetView>
    <customSheetView guid="{C236B307-BD63-48C4-A75F-B3F3717BF55C}" scale="70">
      <pane xSplit="2" ySplit="11" topLeftCell="C87" activePane="bottomRight" state="frozen"/>
      <selection pane="bottomRight" activeCell="I107" sqref="I107"/>
      <pageMargins left="0.7" right="0.7" top="0.75" bottom="0.75" header="0.3" footer="0.3"/>
      <pageSetup paperSize="9" orientation="portrait" r:id="rId26"/>
    </customSheetView>
    <customSheetView guid="{BCD82A82-B724-4763-8580-D765356E09BA}" scale="70">
      <pane xSplit="2" ySplit="11" topLeftCell="C12" activePane="bottomRight" state="frozen"/>
      <selection pane="bottomRight" activeCell="A4" sqref="A4:AF4"/>
      <pageMargins left="0.7" right="0.7" top="0.75" bottom="0.75" header="0.3" footer="0.3"/>
    </customSheetView>
    <customSheetView guid="{85F4575B-DBC5-482A-9916-255D8F0BC94E}" scale="70">
      <pane xSplit="7" ySplit="10" topLeftCell="AD93" activePane="bottomRight" state="frozen"/>
      <selection pane="bottomRight" activeCell="AF98" sqref="AF98"/>
      <pageMargins left="0.7" right="0.7" top="0.75" bottom="0.75" header="0.3" footer="0.3"/>
      <pageSetup paperSize="9" orientation="portrait" r:id="rId27"/>
    </customSheetView>
    <customSheetView guid="{4D0DFB57-2CBA-42F2-9A97-C453A6851FBA}" scale="55">
      <pane xSplit="7" ySplit="10" topLeftCell="H105" activePane="bottomRight" state="frozen"/>
      <selection pane="bottomRight" activeCell="Q113" sqref="Q113"/>
      <pageMargins left="0.7" right="0.7" top="0.75" bottom="0.75" header="0.3" footer="0.3"/>
      <pageSetup paperSize="9" orientation="portrait" r:id="rId28"/>
    </customSheetView>
    <customSheetView guid="{CE1CCA00-200D-4EAA-9FBE-F8EE7C5F82FE}" scale="55">
      <pane xSplit="7" ySplit="10" topLeftCell="H105" activePane="bottomRight" state="frozen"/>
      <selection pane="bottomRight" activeCell="Q67" sqref="Q67"/>
      <pageMargins left="0.7" right="0.7" top="0.75" bottom="0.75" header="0.3" footer="0.3"/>
      <pageSetup paperSize="9" orientation="portrait" r:id="rId29"/>
    </customSheetView>
    <customSheetView guid="{AC2D5927-4079-4C74-AF69-1BFAC505648F}" scale="55">
      <pane xSplit="7" ySplit="10" topLeftCell="H105" activePane="bottomRight" state="frozen"/>
      <selection pane="bottomRight" activeCell="Q67" sqref="Q67"/>
      <pageMargins left="0.7" right="0.7" top="0.75" bottom="0.75" header="0.3" footer="0.3"/>
      <pageSetup paperSize="9" orientation="portrait" r:id="rId30"/>
    </customSheetView>
    <customSheetView guid="{3C3F523F-5F34-4CF7-831E-F1ABC4278CEB}" scale="55">
      <pane xSplit="7" ySplit="10" topLeftCell="H11" activePane="bottomRight" state="frozen"/>
      <selection pane="bottomRight" activeCell="A23" sqref="A23:AF23"/>
      <pageMargins left="0.7" right="0.7" top="0.75" bottom="0.75" header="0.3" footer="0.3"/>
      <pageSetup paperSize="9" orientation="portrait" r:id="rId31"/>
    </customSheetView>
    <customSheetView guid="{69DABE6F-6182-4403-A4A2-969F10F1C13A}" scale="55">
      <pane xSplit="7" ySplit="10" topLeftCell="H68" activePane="bottomRight" state="frozen"/>
      <selection pane="bottomRight" activeCell="C77" sqref="C77"/>
      <pageMargins left="0.7" right="0.7" top="0.75" bottom="0.75" header="0.3" footer="0.3"/>
      <pageSetup paperSize="9" orientation="portrait" r:id="rId32"/>
    </customSheetView>
    <customSheetView guid="{DAA8A688-7558-4B5B-8DBD-E2629BD9E9A8}" scale="55">
      <pane xSplit="7" ySplit="10" topLeftCell="H68" activePane="bottomRight" state="frozen"/>
      <selection pane="bottomRight" activeCell="C77" sqref="C77"/>
      <pageMargins left="0.7" right="0.7" top="0.75" bottom="0.75" header="0.3" footer="0.3"/>
      <pageSetup paperSize="9" orientation="portrait" r:id="rId33"/>
    </customSheetView>
    <customSheetView guid="{47B983AB-FE5F-4725-860C-A2F29420596D}" scale="70">
      <pane xSplit="7" ySplit="10" topLeftCell="H33" activePane="bottomRight" state="frozen"/>
      <selection pane="bottomRight" activeCell="M116" sqref="M116"/>
      <pageMargins left="0.7" right="0.7" top="0.75" bottom="0.75" header="0.3" footer="0.3"/>
      <pageSetup paperSize="9" orientation="portrait" r:id="rId34"/>
    </customSheetView>
    <customSheetView guid="{442F2C94-DD1B-4A01-8694-513D4D6F3BD9}" scale="70">
      <pane xSplit="7" ySplit="10" topLeftCell="H33" activePane="bottomRight" state="frozen"/>
      <selection pane="bottomRight" activeCell="M116" sqref="M116"/>
      <pageMargins left="0.7" right="0.7" top="0.75" bottom="0.75" header="0.3" footer="0.3"/>
      <pageSetup paperSize="9" orientation="portrait" r:id="rId35"/>
    </customSheetView>
    <customSheetView guid="{472DFAFE-DC7C-463D-92A0-F6A14555FDD6}" scale="70">
      <pane xSplit="7" ySplit="10" topLeftCell="H33" activePane="bottomRight" state="frozen"/>
      <selection pane="bottomRight" activeCell="M116" sqref="M116"/>
      <pageMargins left="0.7" right="0.7" top="0.75" bottom="0.75" header="0.3" footer="0.3"/>
      <pageSetup paperSize="9" orientation="portrait" r:id="rId36"/>
    </customSheetView>
    <customSheetView guid="{B43381A8-767B-4F49-BD2E-0056691293F3}" scale="70">
      <pane xSplit="7" ySplit="10" topLeftCell="H33" activePane="bottomRight" state="frozen"/>
      <selection pane="bottomRight" activeCell="M116" sqref="M116"/>
      <pageMargins left="0.7" right="0.7" top="0.75" bottom="0.75" header="0.3" footer="0.3"/>
      <pageSetup paperSize="9" orientation="portrait" r:id="rId37"/>
    </customSheetView>
  </customSheetViews>
  <hyperlinks>
    <hyperlink ref="A4:AF4" location="Оглавление!A1" display="Комплексный план (сетевой график) по реализации муниципальной программы  &quot;Развитие физической культуры и спорта в городе Когалыме&quot;"/>
  </hyperlinks>
  <pageMargins left="0.7" right="0.7" top="0.75" bottom="0.75" header="0.3" footer="0.3"/>
  <pageSetup paperSize="9" orientation="portrait" r:id="rId3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7C130984-112A-4861-AA43-E2940708E3DC}" state="hidden">
      <pageMargins left="0.7" right="0.7" top="0.75" bottom="0.75" header="0.3" footer="0.3"/>
    </customSheetView>
    <customSheetView guid="{533DC55B-6AD4-4674-9488-685EF2039F3E}" state="hidden">
      <pageMargins left="0.7" right="0.7" top="0.75" bottom="0.75" header="0.3" footer="0.3"/>
    </customSheetView>
    <customSheetView guid="{09C3E205-981E-4A4E-BE89-8B7044192060}" state="hidden">
      <pageMargins left="0.7" right="0.7" top="0.75" bottom="0.75" header="0.3" footer="0.3"/>
    </customSheetView>
    <customSheetView guid="{B1BF08D1-D416-4B47-ADD0-4F59132DC9E8}" state="hidden">
      <pageMargins left="0.7" right="0.7" top="0.75" bottom="0.75" header="0.3" footer="0.3"/>
    </customSheetView>
    <customSheetView guid="{4F41B9CC-959D-442C-80B0-1F0DB2C76D27}" state="hidden">
      <pageMargins left="0.7" right="0.7" top="0.75" bottom="0.75" header="0.3" footer="0.3"/>
    </customSheetView>
    <customSheetView guid="{84867370-1F3E-4368-AF79-FBCE46FFFE92}" state="hidden">
      <pageMargins left="0.7" right="0.7" top="0.75" bottom="0.75" header="0.3" footer="0.3"/>
    </customSheetView>
    <customSheetView guid="{E508E171-4ED9-4B07-84DF-DA28C60E1969}" state="hidden">
      <pageMargins left="0.7" right="0.7" top="0.75" bottom="0.75" header="0.3" footer="0.3"/>
    </customSheetView>
    <customSheetView guid="{602C8EDB-B9EF-4C85-B0D5-0558C3A0ABAB}" state="hidden">
      <pageMargins left="0.7" right="0.7" top="0.75" bottom="0.75" header="0.3" footer="0.3"/>
    </customSheetView>
    <customSheetView guid="{84B3377A-1CDD-4881-99FA-112F8B470D6F}" state="hidden">
      <pageMargins left="0.7" right="0.7" top="0.75" bottom="0.75" header="0.3" footer="0.3"/>
    </customSheetView>
    <customSheetView guid="{87218168-6C8E-4D5B-A5E5-DCCC26803AA3}" state="hidden">
      <pageMargins left="0.7" right="0.7" top="0.75" bottom="0.75" header="0.3" footer="0.3"/>
    </customSheetView>
    <customSheetView guid="{6A602CB8-B24C-4ED4-B378-B27354BE0A1A}" state="hidden">
      <pageMargins left="0.7" right="0.7" top="0.75" bottom="0.75" header="0.3" footer="0.3"/>
    </customSheetView>
    <customSheetView guid="{D01FA037-9AEC-4167-ADB8-2F327C01ECE6}" state="hidden">
      <pageMargins left="0.7" right="0.7" top="0.75" bottom="0.75" header="0.3" footer="0.3"/>
    </customSheetView>
    <customSheetView guid="{74870EE6-26B9-40F7-9DC9-260EF16D8959}" state="hidden">
      <pageMargins left="0.7" right="0.7" top="0.75" bottom="0.75" header="0.3" footer="0.3"/>
    </customSheetView>
    <customSheetView guid="{7226EA2B-7866-416F-9240-410CC1BF0336}" state="hidden">
      <pageMargins left="0.7" right="0.7" top="0.75" bottom="0.75" header="0.3" footer="0.3"/>
    </customSheetView>
    <customSheetView guid="{F8CAB90F-9980-4EC7-B30B-1637EB515304}" state="hidden">
      <pageMargins left="0.7" right="0.7" top="0.75" bottom="0.75" header="0.3" footer="0.3"/>
    </customSheetView>
    <customSheetView guid="{415078CD-EB99-432D-90BA-2F3D5A746E20}" state="hidden">
      <pageMargins left="0.7" right="0.7" top="0.75" bottom="0.75" header="0.3" footer="0.3"/>
    </customSheetView>
    <customSheetView guid="{CB4792DB-A624-4844-AEB6-A6ADA80946BB}" state="hidden">
      <pageMargins left="0.7" right="0.7" top="0.75" bottom="0.75" header="0.3" footer="0.3"/>
    </customSheetView>
    <customSheetView guid="{0C2B9C2A-7B94-41EF-A2E6-F8AC9A67DE25}" state="hidden">
      <pageMargins left="0.7" right="0.7" top="0.75" bottom="0.75" header="0.3" footer="0.3"/>
    </customSheetView>
    <customSheetView guid="{391AB76E-B386-49C1-800F-016A48AA1A46}" state="hidden">
      <pageMargins left="0.7" right="0.7" top="0.75" bottom="0.75" header="0.3" footer="0.3"/>
    </customSheetView>
    <customSheetView guid="{959E901C-5DDE-42EE-AE94-AB8976B5E00B}">
      <pageMargins left="0.7" right="0.7" top="0.75" bottom="0.75" header="0.3" footer="0.3"/>
    </customSheetView>
    <customSheetView guid="{85F4575B-DBC5-482A-9916-255D8F0BC94E}">
      <pageMargins left="0.7" right="0.7" top="0.75" bottom="0.75" header="0.3" footer="0.3"/>
    </customSheetView>
    <customSheetView guid="{4D0DFB57-2CBA-42F2-9A97-C453A6851FBA}" state="hidden">
      <pageMargins left="0.7" right="0.7" top="0.75" bottom="0.75" header="0.3" footer="0.3"/>
    </customSheetView>
    <customSheetView guid="{CE1CCA00-200D-4EAA-9FBE-F8EE7C5F82FE}" state="hidden">
      <pageMargins left="0.7" right="0.7" top="0.75" bottom="0.75" header="0.3" footer="0.3"/>
    </customSheetView>
    <customSheetView guid="{AC2D5927-4079-4C74-AF69-1BFAC505648F}" state="hidden">
      <pageMargins left="0.7" right="0.7" top="0.75" bottom="0.75" header="0.3" footer="0.3"/>
    </customSheetView>
    <customSheetView guid="{3C3F523F-5F34-4CF7-831E-F1ABC4278CEB}" state="hidden">
      <pageMargins left="0.7" right="0.7" top="0.75" bottom="0.75" header="0.3" footer="0.3"/>
    </customSheetView>
    <customSheetView guid="{69DABE6F-6182-4403-A4A2-969F10F1C13A}" state="hidden">
      <pageMargins left="0.7" right="0.7" top="0.75" bottom="0.75" header="0.3" footer="0.3"/>
    </customSheetView>
    <customSheetView guid="{DAA8A688-7558-4B5B-8DBD-E2629BD9E9A8}" state="hidden">
      <pageMargins left="0.7" right="0.7" top="0.75" bottom="0.75" header="0.3" footer="0.3"/>
    </customSheetView>
    <customSheetView guid="{47B983AB-FE5F-4725-860C-A2F29420596D}" state="hidden">
      <pageMargins left="0.7" right="0.7" top="0.75" bottom="0.75" header="0.3" footer="0.3"/>
    </customSheetView>
    <customSheetView guid="{442F2C94-DD1B-4A01-8694-513D4D6F3BD9}" state="hidden">
      <pageMargins left="0.7" right="0.7" top="0.75" bottom="0.75" header="0.3" footer="0.3"/>
    </customSheetView>
    <customSheetView guid="{472DFAFE-DC7C-463D-92A0-F6A14555FDD6}" state="hidden">
      <pageMargins left="0.7" right="0.7" top="0.75" bottom="0.75" header="0.3" footer="0.3"/>
    </customSheetView>
    <customSheetView guid="{B43381A8-767B-4F49-BD2E-0056691293F3}" state="hidden">
      <pageMargins left="0.7" right="0.7" top="0.75" bottom="0.75" header="0.3" footer="0.3"/>
    </customSheetView>
  </customSheetView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P394"/>
  <sheetViews>
    <sheetView zoomScale="55" zoomScaleNormal="55" workbookViewId="0">
      <pane xSplit="2" ySplit="11" topLeftCell="C53" activePane="bottomRight" state="frozen"/>
      <selection activeCell="F284" sqref="F284:G284"/>
      <selection pane="topRight" activeCell="F284" sqref="F284:G284"/>
      <selection pane="bottomLeft" activeCell="F284" sqref="F284:G284"/>
      <selection pane="bottomRight" activeCell="B64" sqref="B64"/>
    </sheetView>
  </sheetViews>
  <sheetFormatPr defaultColWidth="9.140625" defaultRowHeight="18.75" x14ac:dyDescent="0.3"/>
  <cols>
    <col min="1" max="1" width="62.140625" style="33" customWidth="1"/>
    <col min="2" max="2" width="23.7109375" style="33" customWidth="1"/>
    <col min="3" max="3" width="18.28515625" style="33" customWidth="1"/>
    <col min="4" max="4" width="20.85546875" style="33" customWidth="1"/>
    <col min="5" max="5" width="20.42578125" style="33" customWidth="1"/>
    <col min="6" max="6" width="13.7109375" style="33" customWidth="1"/>
    <col min="7" max="7" width="14" style="33" customWidth="1"/>
    <col min="8" max="8" width="16.42578125" style="33" customWidth="1"/>
    <col min="9" max="9" width="17.7109375" style="33" customWidth="1"/>
    <col min="10" max="10" width="16.7109375" style="33" customWidth="1"/>
    <col min="11" max="11" width="14.7109375" style="33" customWidth="1"/>
    <col min="12" max="12" width="15.140625" style="33" customWidth="1"/>
    <col min="13" max="13" width="17.28515625" style="33" customWidth="1"/>
    <col min="14" max="14" width="15.7109375" style="33" customWidth="1"/>
    <col min="15" max="15" width="17.28515625" style="33" customWidth="1"/>
    <col min="16" max="16" width="17.5703125" style="33" customWidth="1"/>
    <col min="17" max="17" width="16.7109375" style="33" customWidth="1"/>
    <col min="18" max="18" width="15.42578125" style="33" customWidth="1"/>
    <col min="19" max="19" width="17.5703125" style="33" customWidth="1"/>
    <col min="20" max="20" width="17.28515625" style="33" customWidth="1"/>
    <col min="21" max="21" width="16" style="33" customWidth="1"/>
    <col min="22" max="22" width="14.7109375" style="33" customWidth="1"/>
    <col min="23" max="23" width="14.140625" style="33" customWidth="1"/>
    <col min="24" max="24" width="15.140625" style="33" customWidth="1"/>
    <col min="25" max="25" width="16.5703125" style="33" customWidth="1"/>
    <col min="26" max="26" width="15.140625" style="33" customWidth="1"/>
    <col min="27" max="27" width="14.140625" style="33" customWidth="1"/>
    <col min="28" max="28" width="16.5703125" style="33" customWidth="1"/>
    <col min="29" max="29" width="13.85546875" style="33" customWidth="1"/>
    <col min="30" max="30" width="22.7109375" style="33" customWidth="1"/>
    <col min="31" max="31" width="17.5703125" style="33" customWidth="1"/>
    <col min="32" max="32" width="79.85546875" style="33" customWidth="1"/>
    <col min="33" max="33" width="31" style="33" customWidth="1"/>
    <col min="34" max="34" width="11.85546875" style="33" bestFit="1" customWidth="1"/>
    <col min="35" max="16384" width="9.140625" style="33"/>
  </cols>
  <sheetData>
    <row r="4" spans="1:33" x14ac:dyDescent="0.3">
      <c r="A4" s="1157" t="s">
        <v>273</v>
      </c>
      <c r="B4" s="1157"/>
      <c r="C4" s="1157"/>
      <c r="D4" s="1157"/>
      <c r="E4" s="1157"/>
      <c r="F4" s="1157"/>
      <c r="G4" s="1157"/>
      <c r="H4" s="1157"/>
      <c r="I4" s="1157"/>
      <c r="J4" s="1157"/>
      <c r="K4" s="1157"/>
      <c r="L4" s="1157"/>
      <c r="M4" s="1157"/>
      <c r="N4" s="1157"/>
      <c r="O4" s="1157"/>
      <c r="P4" s="1157"/>
      <c r="Q4" s="1157"/>
      <c r="R4" s="1157"/>
      <c r="S4" s="1157"/>
      <c r="T4" s="1157"/>
      <c r="U4" s="1157"/>
      <c r="V4" s="1157"/>
      <c r="W4" s="1157"/>
      <c r="X4" s="1157"/>
      <c r="Y4" s="1157"/>
      <c r="Z4" s="1157"/>
      <c r="AA4" s="1157"/>
      <c r="AB4" s="1157"/>
      <c r="AC4" s="1157"/>
      <c r="AD4" s="1157"/>
      <c r="AE4" s="1157"/>
      <c r="AF4" s="1157"/>
    </row>
    <row r="6" spans="1:33" ht="50.25" customHeight="1" x14ac:dyDescent="0.3">
      <c r="A6" s="1158" t="s">
        <v>163</v>
      </c>
      <c r="B6" s="92" t="s">
        <v>3</v>
      </c>
      <c r="C6" s="92" t="s">
        <v>3</v>
      </c>
      <c r="D6" s="92" t="s">
        <v>4</v>
      </c>
      <c r="E6" s="92" t="s">
        <v>5</v>
      </c>
      <c r="F6" s="1159" t="s">
        <v>6</v>
      </c>
      <c r="G6" s="1160"/>
      <c r="H6" s="1159" t="s">
        <v>7</v>
      </c>
      <c r="I6" s="1161"/>
      <c r="J6" s="1159" t="s">
        <v>8</v>
      </c>
      <c r="K6" s="1161"/>
      <c r="L6" s="1159" t="s">
        <v>9</v>
      </c>
      <c r="M6" s="1161"/>
      <c r="N6" s="1159" t="s">
        <v>10</v>
      </c>
      <c r="O6" s="1161"/>
      <c r="P6" s="1159" t="s">
        <v>11</v>
      </c>
      <c r="Q6" s="1161"/>
      <c r="R6" s="1159" t="s">
        <v>12</v>
      </c>
      <c r="S6" s="1161"/>
      <c r="T6" s="1159" t="s">
        <v>13</v>
      </c>
      <c r="U6" s="1161"/>
      <c r="V6" s="1159" t="s">
        <v>14</v>
      </c>
      <c r="W6" s="1161"/>
      <c r="X6" s="1159" t="s">
        <v>15</v>
      </c>
      <c r="Y6" s="1161"/>
      <c r="Z6" s="1159" t="s">
        <v>16</v>
      </c>
      <c r="AA6" s="1161"/>
      <c r="AB6" s="1159" t="s">
        <v>17</v>
      </c>
      <c r="AC6" s="1161"/>
      <c r="AD6" s="1162" t="s">
        <v>18</v>
      </c>
      <c r="AE6" s="1162"/>
      <c r="AF6" s="1141" t="s">
        <v>19</v>
      </c>
    </row>
    <row r="7" spans="1:33" ht="56.25" x14ac:dyDescent="0.3">
      <c r="A7" s="1158"/>
      <c r="B7" s="3">
        <v>2024</v>
      </c>
      <c r="C7" s="4">
        <v>45657</v>
      </c>
      <c r="D7" s="4">
        <v>45657</v>
      </c>
      <c r="E7" s="4">
        <v>45657</v>
      </c>
      <c r="F7" s="5" t="s">
        <v>20</v>
      </c>
      <c r="G7" s="5" t="s">
        <v>21</v>
      </c>
      <c r="H7" s="93" t="s">
        <v>22</v>
      </c>
      <c r="I7" s="93" t="s">
        <v>164</v>
      </c>
      <c r="J7" s="93" t="s">
        <v>22</v>
      </c>
      <c r="K7" s="93" t="s">
        <v>164</v>
      </c>
      <c r="L7" s="93" t="s">
        <v>22</v>
      </c>
      <c r="M7" s="93" t="s">
        <v>164</v>
      </c>
      <c r="N7" s="93" t="s">
        <v>22</v>
      </c>
      <c r="O7" s="93" t="s">
        <v>164</v>
      </c>
      <c r="P7" s="93" t="s">
        <v>22</v>
      </c>
      <c r="Q7" s="93" t="s">
        <v>164</v>
      </c>
      <c r="R7" s="93" t="s">
        <v>22</v>
      </c>
      <c r="S7" s="93" t="s">
        <v>164</v>
      </c>
      <c r="T7" s="93" t="s">
        <v>22</v>
      </c>
      <c r="U7" s="93" t="s">
        <v>164</v>
      </c>
      <c r="V7" s="93" t="s">
        <v>22</v>
      </c>
      <c r="W7" s="93" t="s">
        <v>164</v>
      </c>
      <c r="X7" s="93" t="s">
        <v>22</v>
      </c>
      <c r="Y7" s="93" t="s">
        <v>164</v>
      </c>
      <c r="Z7" s="93" t="s">
        <v>22</v>
      </c>
      <c r="AA7" s="93" t="s">
        <v>164</v>
      </c>
      <c r="AB7" s="93" t="s">
        <v>22</v>
      </c>
      <c r="AC7" s="93" t="s">
        <v>164</v>
      </c>
      <c r="AD7" s="93" t="s">
        <v>165</v>
      </c>
      <c r="AE7" s="93" t="s">
        <v>164</v>
      </c>
      <c r="AF7" s="1142"/>
    </row>
    <row r="8" spans="1:33" x14ac:dyDescent="0.3">
      <c r="A8" s="6">
        <v>1</v>
      </c>
      <c r="B8" s="6">
        <v>2</v>
      </c>
      <c r="C8" s="6">
        <v>3</v>
      </c>
      <c r="D8" s="6">
        <v>4</v>
      </c>
      <c r="E8" s="6">
        <v>5</v>
      </c>
      <c r="F8" s="6">
        <v>6</v>
      </c>
      <c r="G8" s="6">
        <v>7</v>
      </c>
      <c r="H8" s="6">
        <v>8</v>
      </c>
      <c r="I8" s="6">
        <v>9</v>
      </c>
      <c r="J8" s="6">
        <v>10</v>
      </c>
      <c r="K8" s="6">
        <v>11</v>
      </c>
      <c r="L8" s="6">
        <v>12</v>
      </c>
      <c r="M8" s="6">
        <v>13</v>
      </c>
      <c r="N8" s="6">
        <v>14</v>
      </c>
      <c r="O8" s="6">
        <v>15</v>
      </c>
      <c r="P8" s="6">
        <v>16</v>
      </c>
      <c r="Q8" s="6">
        <v>17</v>
      </c>
      <c r="R8" s="6">
        <v>18</v>
      </c>
      <c r="S8" s="6">
        <v>19</v>
      </c>
      <c r="T8" s="6">
        <v>20</v>
      </c>
      <c r="U8" s="6">
        <v>21</v>
      </c>
      <c r="V8" s="6">
        <v>22</v>
      </c>
      <c r="W8" s="6">
        <v>23</v>
      </c>
      <c r="X8" s="6">
        <v>24</v>
      </c>
      <c r="Y8" s="6">
        <v>25</v>
      </c>
      <c r="Z8" s="6">
        <v>26</v>
      </c>
      <c r="AA8" s="6">
        <v>27</v>
      </c>
      <c r="AB8" s="6">
        <v>28</v>
      </c>
      <c r="AC8" s="6">
        <v>29</v>
      </c>
      <c r="AD8" s="6">
        <v>30</v>
      </c>
      <c r="AE8" s="6">
        <v>31</v>
      </c>
      <c r="AF8" s="6">
        <v>32</v>
      </c>
    </row>
    <row r="9" spans="1:33" s="94" customFormat="1" x14ac:dyDescent="0.3">
      <c r="A9" s="1163" t="s">
        <v>274</v>
      </c>
      <c r="B9" s="1164"/>
      <c r="C9" s="1164"/>
      <c r="D9" s="1164"/>
      <c r="E9" s="1164"/>
      <c r="F9" s="1164"/>
      <c r="G9" s="1164"/>
      <c r="H9" s="1164"/>
      <c r="I9" s="1164"/>
      <c r="J9" s="1164"/>
      <c r="K9" s="1164"/>
      <c r="L9" s="1164"/>
      <c r="M9" s="1164"/>
      <c r="N9" s="1164"/>
      <c r="O9" s="1164"/>
      <c r="P9" s="1164"/>
      <c r="Q9" s="1164"/>
      <c r="R9" s="1164"/>
      <c r="S9" s="1164"/>
      <c r="T9" s="1164"/>
      <c r="U9" s="1164"/>
      <c r="V9" s="1164"/>
      <c r="W9" s="1164"/>
      <c r="X9" s="1164"/>
      <c r="Y9" s="1164"/>
      <c r="Z9" s="1164"/>
      <c r="AA9" s="1164"/>
      <c r="AB9" s="1164"/>
      <c r="AC9" s="1164"/>
      <c r="AD9" s="1164"/>
      <c r="AE9" s="1164"/>
      <c r="AF9" s="1165"/>
    </row>
    <row r="10" spans="1:33" s="94" customFormat="1" x14ac:dyDescent="0.3">
      <c r="A10" s="1163" t="s">
        <v>167</v>
      </c>
      <c r="B10" s="1164"/>
      <c r="C10" s="1164"/>
      <c r="D10" s="1164"/>
      <c r="E10" s="1164"/>
      <c r="F10" s="1164"/>
      <c r="G10" s="1164"/>
      <c r="H10" s="1164"/>
      <c r="I10" s="1164"/>
      <c r="J10" s="1164"/>
      <c r="K10" s="1164"/>
      <c r="L10" s="1164"/>
      <c r="M10" s="1164"/>
      <c r="N10" s="1164"/>
      <c r="O10" s="1164"/>
      <c r="P10" s="1164"/>
      <c r="Q10" s="1164"/>
      <c r="R10" s="1164"/>
      <c r="S10" s="1164"/>
      <c r="T10" s="1164"/>
      <c r="U10" s="1164"/>
      <c r="V10" s="1164"/>
      <c r="W10" s="1164"/>
      <c r="X10" s="1164"/>
      <c r="Y10" s="1164"/>
      <c r="Z10" s="1164"/>
      <c r="AA10" s="1164"/>
      <c r="AB10" s="1164"/>
      <c r="AC10" s="1164"/>
      <c r="AD10" s="1164"/>
      <c r="AE10" s="1164"/>
      <c r="AF10" s="1165"/>
    </row>
    <row r="11" spans="1:33" ht="56.25" customHeight="1" x14ac:dyDescent="0.3">
      <c r="A11" s="95" t="s">
        <v>275</v>
      </c>
      <c r="B11" s="96"/>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8"/>
      <c r="AG11" s="99">
        <f>B11-H11-J11-L11-N11-P11-R11-T11-V11-X11-Z11-AB11-AD11</f>
        <v>0</v>
      </c>
    </row>
    <row r="12" spans="1:33" x14ac:dyDescent="0.3">
      <c r="A12" s="100" t="s">
        <v>31</v>
      </c>
      <c r="B12" s="101">
        <f>B13+B14+B15+B16</f>
        <v>240.00300000000001</v>
      </c>
      <c r="C12" s="101">
        <f>C13+C14+C15+C16</f>
        <v>240.00300000000001</v>
      </c>
      <c r="D12" s="101">
        <f>D13+D14+D15+D16</f>
        <v>238.8</v>
      </c>
      <c r="E12" s="101">
        <f>E13+E14+E15+E16</f>
        <v>238.8</v>
      </c>
      <c r="F12" s="102">
        <f>IFERROR(E12/B12*100,0)</f>
        <v>99.498756265546689</v>
      </c>
      <c r="G12" s="102">
        <f>IFERROR(E12/C12*100,0)</f>
        <v>99.498756265546689</v>
      </c>
      <c r="H12" s="101">
        <f>H13+H14+H15+H16</f>
        <v>0</v>
      </c>
      <c r="I12" s="101">
        <f t="shared" ref="I12:AE12" si="0">I13+I14+I15+I16</f>
        <v>0</v>
      </c>
      <c r="J12" s="101">
        <f t="shared" si="0"/>
        <v>137.773</v>
      </c>
      <c r="K12" s="101">
        <f t="shared" si="0"/>
        <v>137.77000000000001</v>
      </c>
      <c r="L12" s="101">
        <f t="shared" si="0"/>
        <v>0</v>
      </c>
      <c r="M12" s="101">
        <f t="shared" si="0"/>
        <v>0</v>
      </c>
      <c r="N12" s="101">
        <f t="shared" si="0"/>
        <v>0</v>
      </c>
      <c r="O12" s="101">
        <f t="shared" si="0"/>
        <v>0</v>
      </c>
      <c r="P12" s="101">
        <f t="shared" si="0"/>
        <v>0</v>
      </c>
      <c r="Q12" s="101">
        <f t="shared" si="0"/>
        <v>0</v>
      </c>
      <c r="R12" s="101">
        <f t="shared" si="0"/>
        <v>101.2</v>
      </c>
      <c r="S12" s="101">
        <f t="shared" si="0"/>
        <v>100</v>
      </c>
      <c r="T12" s="101">
        <f t="shared" si="0"/>
        <v>1.03</v>
      </c>
      <c r="U12" s="101">
        <f t="shared" si="0"/>
        <v>1.03</v>
      </c>
      <c r="V12" s="101">
        <f t="shared" si="0"/>
        <v>0</v>
      </c>
      <c r="W12" s="101">
        <f t="shared" si="0"/>
        <v>0</v>
      </c>
      <c r="X12" s="101">
        <f t="shared" si="0"/>
        <v>0</v>
      </c>
      <c r="Y12" s="101">
        <f t="shared" si="0"/>
        <v>0</v>
      </c>
      <c r="Z12" s="101">
        <f t="shared" si="0"/>
        <v>0</v>
      </c>
      <c r="AA12" s="101">
        <f t="shared" si="0"/>
        <v>0</v>
      </c>
      <c r="AB12" s="101">
        <f t="shared" si="0"/>
        <v>0</v>
      </c>
      <c r="AC12" s="101">
        <f t="shared" si="0"/>
        <v>0</v>
      </c>
      <c r="AD12" s="101">
        <f t="shared" si="0"/>
        <v>0</v>
      </c>
      <c r="AE12" s="101">
        <f t="shared" si="0"/>
        <v>0</v>
      </c>
      <c r="AF12" s="98"/>
      <c r="AG12" s="99">
        <f t="shared" ref="AG12:AG143" si="1">B12-H12-J12-L12-N12-P12-R12-T12-V12-X12-Z12-AB12-AD12</f>
        <v>1.532107773982716E-14</v>
      </c>
    </row>
    <row r="13" spans="1:33" x14ac:dyDescent="0.3">
      <c r="A13" s="103" t="s">
        <v>169</v>
      </c>
      <c r="B13" s="104">
        <f>B19</f>
        <v>0</v>
      </c>
      <c r="C13" s="104">
        <f t="shared" ref="C13:E16" si="2">C19</f>
        <v>0</v>
      </c>
      <c r="D13" s="104">
        <f t="shared" si="2"/>
        <v>0</v>
      </c>
      <c r="E13" s="104">
        <f t="shared" si="2"/>
        <v>0</v>
      </c>
      <c r="F13" s="104">
        <f>IFERROR(E13/B13*100,0)</f>
        <v>0</v>
      </c>
      <c r="G13" s="104">
        <f>IFERROR(E13/C13*100,0)</f>
        <v>0</v>
      </c>
      <c r="H13" s="104">
        <f t="shared" ref="H13:AE16" si="3">H19</f>
        <v>0</v>
      </c>
      <c r="I13" s="104">
        <f t="shared" si="3"/>
        <v>0</v>
      </c>
      <c r="J13" s="104">
        <f t="shared" si="3"/>
        <v>0</v>
      </c>
      <c r="K13" s="104">
        <f t="shared" si="3"/>
        <v>0</v>
      </c>
      <c r="L13" s="104">
        <f t="shared" si="3"/>
        <v>0</v>
      </c>
      <c r="M13" s="104">
        <f t="shared" si="3"/>
        <v>0</v>
      </c>
      <c r="N13" s="104">
        <f t="shared" si="3"/>
        <v>0</v>
      </c>
      <c r="O13" s="104">
        <f t="shared" si="3"/>
        <v>0</v>
      </c>
      <c r="P13" s="104">
        <f t="shared" si="3"/>
        <v>0</v>
      </c>
      <c r="Q13" s="104">
        <f t="shared" si="3"/>
        <v>0</v>
      </c>
      <c r="R13" s="104">
        <f t="shared" si="3"/>
        <v>0</v>
      </c>
      <c r="S13" s="104">
        <f t="shared" si="3"/>
        <v>0</v>
      </c>
      <c r="T13" s="104">
        <f t="shared" si="3"/>
        <v>0</v>
      </c>
      <c r="U13" s="104">
        <f t="shared" si="3"/>
        <v>0</v>
      </c>
      <c r="V13" s="104">
        <f t="shared" si="3"/>
        <v>0</v>
      </c>
      <c r="W13" s="104">
        <f t="shared" si="3"/>
        <v>0</v>
      </c>
      <c r="X13" s="104">
        <f t="shared" si="3"/>
        <v>0</v>
      </c>
      <c r="Y13" s="104">
        <f t="shared" si="3"/>
        <v>0</v>
      </c>
      <c r="Z13" s="104">
        <f t="shared" si="3"/>
        <v>0</v>
      </c>
      <c r="AA13" s="104">
        <f t="shared" si="3"/>
        <v>0</v>
      </c>
      <c r="AB13" s="104">
        <f t="shared" si="3"/>
        <v>0</v>
      </c>
      <c r="AC13" s="104">
        <f t="shared" si="3"/>
        <v>0</v>
      </c>
      <c r="AD13" s="104">
        <f t="shared" si="3"/>
        <v>0</v>
      </c>
      <c r="AE13" s="104">
        <f t="shared" si="3"/>
        <v>0</v>
      </c>
      <c r="AF13" s="98"/>
      <c r="AG13" s="99">
        <f t="shared" si="1"/>
        <v>0</v>
      </c>
    </row>
    <row r="14" spans="1:33" x14ac:dyDescent="0.3">
      <c r="A14" s="103" t="s">
        <v>32</v>
      </c>
      <c r="B14" s="104">
        <f>B20</f>
        <v>0</v>
      </c>
      <c r="C14" s="104">
        <f t="shared" si="2"/>
        <v>0</v>
      </c>
      <c r="D14" s="104">
        <f t="shared" si="2"/>
        <v>0</v>
      </c>
      <c r="E14" s="104">
        <f t="shared" si="2"/>
        <v>0</v>
      </c>
      <c r="F14" s="104">
        <f>IFERROR(E14/B14*100,0)</f>
        <v>0</v>
      </c>
      <c r="G14" s="104">
        <f>IFERROR(E14/C14*100,0)</f>
        <v>0</v>
      </c>
      <c r="H14" s="104">
        <f t="shared" si="3"/>
        <v>0</v>
      </c>
      <c r="I14" s="104">
        <f t="shared" si="3"/>
        <v>0</v>
      </c>
      <c r="J14" s="104">
        <f t="shared" si="3"/>
        <v>0</v>
      </c>
      <c r="K14" s="104">
        <f t="shared" si="3"/>
        <v>0</v>
      </c>
      <c r="L14" s="104">
        <f t="shared" si="3"/>
        <v>0</v>
      </c>
      <c r="M14" s="104">
        <f t="shared" si="3"/>
        <v>0</v>
      </c>
      <c r="N14" s="104">
        <f t="shared" si="3"/>
        <v>0</v>
      </c>
      <c r="O14" s="104">
        <f t="shared" si="3"/>
        <v>0</v>
      </c>
      <c r="P14" s="104">
        <f t="shared" si="3"/>
        <v>0</v>
      </c>
      <c r="Q14" s="104">
        <f t="shared" si="3"/>
        <v>0</v>
      </c>
      <c r="R14" s="104">
        <f t="shared" si="3"/>
        <v>0</v>
      </c>
      <c r="S14" s="104">
        <f t="shared" si="3"/>
        <v>0</v>
      </c>
      <c r="T14" s="104">
        <f t="shared" si="3"/>
        <v>0</v>
      </c>
      <c r="U14" s="104">
        <f t="shared" si="3"/>
        <v>0</v>
      </c>
      <c r="V14" s="104">
        <f t="shared" si="3"/>
        <v>0</v>
      </c>
      <c r="W14" s="104">
        <f t="shared" si="3"/>
        <v>0</v>
      </c>
      <c r="X14" s="104">
        <f t="shared" si="3"/>
        <v>0</v>
      </c>
      <c r="Y14" s="104">
        <f t="shared" si="3"/>
        <v>0</v>
      </c>
      <c r="Z14" s="104">
        <f t="shared" si="3"/>
        <v>0</v>
      </c>
      <c r="AA14" s="104">
        <f t="shared" si="3"/>
        <v>0</v>
      </c>
      <c r="AB14" s="104">
        <f t="shared" si="3"/>
        <v>0</v>
      </c>
      <c r="AC14" s="104">
        <f t="shared" si="3"/>
        <v>0</v>
      </c>
      <c r="AD14" s="104">
        <f t="shared" si="3"/>
        <v>0</v>
      </c>
      <c r="AE14" s="104">
        <f t="shared" si="3"/>
        <v>0</v>
      </c>
      <c r="AF14" s="98"/>
      <c r="AG14" s="99">
        <f t="shared" si="1"/>
        <v>0</v>
      </c>
    </row>
    <row r="15" spans="1:33" x14ac:dyDescent="0.3">
      <c r="A15" s="103" t="s">
        <v>33</v>
      </c>
      <c r="B15" s="104">
        <f>B21</f>
        <v>240.00300000000001</v>
      </c>
      <c r="C15" s="104">
        <f>C21</f>
        <v>240.00300000000001</v>
      </c>
      <c r="D15" s="104">
        <f t="shared" si="2"/>
        <v>238.8</v>
      </c>
      <c r="E15" s="104">
        <f t="shared" si="2"/>
        <v>238.8</v>
      </c>
      <c r="F15" s="104">
        <f>IFERROR(E15/B15*100,0)</f>
        <v>99.498756265546689</v>
      </c>
      <c r="G15" s="104">
        <f>IFERROR(E15/C15*100,0)</f>
        <v>99.498756265546689</v>
      </c>
      <c r="H15" s="104">
        <f t="shared" si="3"/>
        <v>0</v>
      </c>
      <c r="I15" s="104">
        <f t="shared" si="3"/>
        <v>0</v>
      </c>
      <c r="J15" s="104">
        <f t="shared" si="3"/>
        <v>137.773</v>
      </c>
      <c r="K15" s="104">
        <f t="shared" si="3"/>
        <v>137.77000000000001</v>
      </c>
      <c r="L15" s="104">
        <f t="shared" si="3"/>
        <v>0</v>
      </c>
      <c r="M15" s="104">
        <f t="shared" si="3"/>
        <v>0</v>
      </c>
      <c r="N15" s="104">
        <f t="shared" si="3"/>
        <v>0</v>
      </c>
      <c r="O15" s="104">
        <f t="shared" si="3"/>
        <v>0</v>
      </c>
      <c r="P15" s="104">
        <f t="shared" si="3"/>
        <v>0</v>
      </c>
      <c r="Q15" s="104">
        <f t="shared" si="3"/>
        <v>0</v>
      </c>
      <c r="R15" s="104">
        <f t="shared" si="3"/>
        <v>101.2</v>
      </c>
      <c r="S15" s="104">
        <f t="shared" si="3"/>
        <v>100</v>
      </c>
      <c r="T15" s="104">
        <f t="shared" si="3"/>
        <v>1.03</v>
      </c>
      <c r="U15" s="104">
        <f t="shared" si="3"/>
        <v>1.03</v>
      </c>
      <c r="V15" s="104">
        <f t="shared" si="3"/>
        <v>0</v>
      </c>
      <c r="W15" s="104">
        <f t="shared" si="3"/>
        <v>0</v>
      </c>
      <c r="X15" s="104">
        <f t="shared" si="3"/>
        <v>0</v>
      </c>
      <c r="Y15" s="104">
        <f t="shared" si="3"/>
        <v>0</v>
      </c>
      <c r="Z15" s="104">
        <f t="shared" si="3"/>
        <v>0</v>
      </c>
      <c r="AA15" s="104">
        <f t="shared" si="3"/>
        <v>0</v>
      </c>
      <c r="AB15" s="104">
        <f t="shared" si="3"/>
        <v>0</v>
      </c>
      <c r="AC15" s="104">
        <f t="shared" si="3"/>
        <v>0</v>
      </c>
      <c r="AD15" s="104">
        <f t="shared" si="3"/>
        <v>0</v>
      </c>
      <c r="AE15" s="104">
        <f t="shared" si="3"/>
        <v>0</v>
      </c>
      <c r="AF15" s="98"/>
      <c r="AG15" s="99">
        <f t="shared" si="1"/>
        <v>1.532107773982716E-14</v>
      </c>
    </row>
    <row r="16" spans="1:33" x14ac:dyDescent="0.3">
      <c r="A16" s="103" t="s">
        <v>170</v>
      </c>
      <c r="B16" s="104">
        <f>B22</f>
        <v>0</v>
      </c>
      <c r="C16" s="104">
        <f t="shared" si="2"/>
        <v>0</v>
      </c>
      <c r="D16" s="104">
        <f t="shared" si="2"/>
        <v>0</v>
      </c>
      <c r="E16" s="104">
        <f t="shared" si="2"/>
        <v>0</v>
      </c>
      <c r="F16" s="104">
        <f>IFERROR(E16/B16*100,0)</f>
        <v>0</v>
      </c>
      <c r="G16" s="104">
        <f>IFERROR(E16/C16*100,0)</f>
        <v>0</v>
      </c>
      <c r="H16" s="104">
        <f t="shared" si="3"/>
        <v>0</v>
      </c>
      <c r="I16" s="104">
        <f t="shared" si="3"/>
        <v>0</v>
      </c>
      <c r="J16" s="104">
        <f t="shared" si="3"/>
        <v>0</v>
      </c>
      <c r="K16" s="104">
        <f t="shared" si="3"/>
        <v>0</v>
      </c>
      <c r="L16" s="104">
        <f t="shared" si="3"/>
        <v>0</v>
      </c>
      <c r="M16" s="104">
        <f t="shared" si="3"/>
        <v>0</v>
      </c>
      <c r="N16" s="104">
        <f t="shared" si="3"/>
        <v>0</v>
      </c>
      <c r="O16" s="104">
        <f t="shared" si="3"/>
        <v>0</v>
      </c>
      <c r="P16" s="104">
        <f t="shared" si="3"/>
        <v>0</v>
      </c>
      <c r="Q16" s="104">
        <f t="shared" si="3"/>
        <v>0</v>
      </c>
      <c r="R16" s="104">
        <f t="shared" si="3"/>
        <v>0</v>
      </c>
      <c r="S16" s="104">
        <f t="shared" si="3"/>
        <v>0</v>
      </c>
      <c r="T16" s="104">
        <f t="shared" si="3"/>
        <v>0</v>
      </c>
      <c r="U16" s="104">
        <f t="shared" si="3"/>
        <v>0</v>
      </c>
      <c r="V16" s="104">
        <f t="shared" si="3"/>
        <v>0</v>
      </c>
      <c r="W16" s="104">
        <f t="shared" si="3"/>
        <v>0</v>
      </c>
      <c r="X16" s="104">
        <f t="shared" si="3"/>
        <v>0</v>
      </c>
      <c r="Y16" s="104">
        <f t="shared" si="3"/>
        <v>0</v>
      </c>
      <c r="Z16" s="104">
        <f t="shared" si="3"/>
        <v>0</v>
      </c>
      <c r="AA16" s="104">
        <f t="shared" si="3"/>
        <v>0</v>
      </c>
      <c r="AB16" s="104">
        <f t="shared" si="3"/>
        <v>0</v>
      </c>
      <c r="AC16" s="104">
        <f t="shared" si="3"/>
        <v>0</v>
      </c>
      <c r="AD16" s="104">
        <f t="shared" si="3"/>
        <v>0</v>
      </c>
      <c r="AE16" s="104">
        <f t="shared" si="3"/>
        <v>0</v>
      </c>
      <c r="AF16" s="98"/>
      <c r="AG16" s="99">
        <f t="shared" si="1"/>
        <v>0</v>
      </c>
    </row>
    <row r="17" spans="1:33" ht="75" customHeight="1" x14ac:dyDescent="0.3">
      <c r="A17" s="713" t="s">
        <v>511</v>
      </c>
      <c r="B17" s="594"/>
      <c r="C17" s="107"/>
      <c r="D17" s="107"/>
      <c r="E17" s="107"/>
      <c r="F17" s="107"/>
      <c r="G17" s="107"/>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29"/>
      <c r="AG17" s="99">
        <f t="shared" si="1"/>
        <v>0</v>
      </c>
    </row>
    <row r="18" spans="1:33" s="589" customFormat="1" x14ac:dyDescent="0.3">
      <c r="A18" s="590" t="s">
        <v>31</v>
      </c>
      <c r="B18" s="591">
        <f>B20+B21+B19+B22</f>
        <v>240.00300000000001</v>
      </c>
      <c r="C18" s="591">
        <f>C20+C21+C19+C22</f>
        <v>240.00300000000001</v>
      </c>
      <c r="D18" s="714">
        <f>D20+D21+D19+D22</f>
        <v>238.8</v>
      </c>
      <c r="E18" s="591">
        <f>E20+E21+E19+E22</f>
        <v>238.8</v>
      </c>
      <c r="F18" s="591">
        <f>IFERROR(E18/B18*100,0)</f>
        <v>99.498756265546689</v>
      </c>
      <c r="G18" s="591">
        <f>IFERROR(E18/C18*100,0)</f>
        <v>99.498756265546689</v>
      </c>
      <c r="H18" s="591">
        <f t="shared" ref="H18:AE18" si="4">H20+H21+H19+H22</f>
        <v>0</v>
      </c>
      <c r="I18" s="591">
        <f t="shared" si="4"/>
        <v>0</v>
      </c>
      <c r="J18" s="591">
        <f t="shared" si="4"/>
        <v>137.773</v>
      </c>
      <c r="K18" s="591">
        <f t="shared" si="4"/>
        <v>137.77000000000001</v>
      </c>
      <c r="L18" s="591">
        <f t="shared" si="4"/>
        <v>0</v>
      </c>
      <c r="M18" s="591">
        <f t="shared" si="4"/>
        <v>0</v>
      </c>
      <c r="N18" s="591">
        <f t="shared" si="4"/>
        <v>0</v>
      </c>
      <c r="O18" s="591">
        <f t="shared" si="4"/>
        <v>0</v>
      </c>
      <c r="P18" s="591">
        <f t="shared" si="4"/>
        <v>0</v>
      </c>
      <c r="Q18" s="591">
        <f t="shared" si="4"/>
        <v>0</v>
      </c>
      <c r="R18" s="591">
        <f t="shared" si="4"/>
        <v>101.2</v>
      </c>
      <c r="S18" s="591">
        <f t="shared" si="4"/>
        <v>100</v>
      </c>
      <c r="T18" s="591">
        <f t="shared" si="4"/>
        <v>1.03</v>
      </c>
      <c r="U18" s="591">
        <f t="shared" si="4"/>
        <v>1.03</v>
      </c>
      <c r="V18" s="718">
        <f t="shared" si="4"/>
        <v>0</v>
      </c>
      <c r="W18" s="718">
        <f t="shared" si="4"/>
        <v>0</v>
      </c>
      <c r="X18" s="718">
        <f t="shared" si="4"/>
        <v>0</v>
      </c>
      <c r="Y18" s="718">
        <f t="shared" si="4"/>
        <v>0</v>
      </c>
      <c r="Z18" s="718">
        <f t="shared" si="4"/>
        <v>0</v>
      </c>
      <c r="AA18" s="591">
        <f t="shared" si="4"/>
        <v>0</v>
      </c>
      <c r="AB18" s="591">
        <f t="shared" si="4"/>
        <v>0</v>
      </c>
      <c r="AC18" s="591">
        <f t="shared" si="4"/>
        <v>0</v>
      </c>
      <c r="AD18" s="591">
        <f t="shared" si="4"/>
        <v>0</v>
      </c>
      <c r="AE18" s="591">
        <f t="shared" si="4"/>
        <v>0</v>
      </c>
      <c r="AF18" s="587"/>
      <c r="AG18" s="588">
        <f t="shared" si="1"/>
        <v>1.532107773982716E-14</v>
      </c>
    </row>
    <row r="19" spans="1:33" s="589" customFormat="1" x14ac:dyDescent="0.3">
      <c r="A19" s="593" t="s">
        <v>169</v>
      </c>
      <c r="B19" s="594">
        <f>J19+L19+N19+P19+R19+T19+V19+X19+Z19+AB19+AD19+H19</f>
        <v>0</v>
      </c>
      <c r="C19" s="712">
        <f>SUM(H19)</f>
        <v>0</v>
      </c>
      <c r="D19" s="715">
        <f>E19</f>
        <v>0</v>
      </c>
      <c r="E19" s="712">
        <f>SUM(I19,K19,M19,O19,Q19,S19,U19,W19,Y19,AA19,AC19,AE19)</f>
        <v>0</v>
      </c>
      <c r="F19" s="594">
        <f>IFERROR(E19/B19*100,0)</f>
        <v>0</v>
      </c>
      <c r="G19" s="594">
        <f>IFERROR(E19/C19*100,0)</f>
        <v>0</v>
      </c>
      <c r="H19" s="499"/>
      <c r="I19" s="499"/>
      <c r="J19" s="499"/>
      <c r="K19" s="499"/>
      <c r="L19" s="499"/>
      <c r="M19" s="499"/>
      <c r="N19" s="499"/>
      <c r="O19" s="499"/>
      <c r="P19" s="499"/>
      <c r="Q19" s="499"/>
      <c r="R19" s="499"/>
      <c r="S19" s="499"/>
      <c r="T19" s="499"/>
      <c r="U19" s="499"/>
      <c r="V19" s="499"/>
      <c r="W19" s="499"/>
      <c r="X19" s="499"/>
      <c r="Y19" s="499"/>
      <c r="Z19" s="499"/>
      <c r="AA19" s="499"/>
      <c r="AB19" s="499"/>
      <c r="AC19" s="499"/>
      <c r="AD19" s="499"/>
      <c r="AE19" s="499"/>
      <c r="AF19" s="587"/>
      <c r="AG19" s="588">
        <f t="shared" si="1"/>
        <v>0</v>
      </c>
    </row>
    <row r="20" spans="1:33" s="589" customFormat="1" x14ac:dyDescent="0.3">
      <c r="A20" s="593" t="s">
        <v>32</v>
      </c>
      <c r="B20" s="594">
        <f>J20+L20+N20+P20+R20+T20+V20+X20+Z20+AB20+AD20+H20</f>
        <v>0</v>
      </c>
      <c r="C20" s="712">
        <f>SUM(H20)</f>
        <v>0</v>
      </c>
      <c r="D20" s="715">
        <f>E20</f>
        <v>0</v>
      </c>
      <c r="E20" s="712">
        <f>SUM(I20,K20,M20,O20,Q20,S20,U20,W20,Y20,AA20,AC20,AE20)</f>
        <v>0</v>
      </c>
      <c r="F20" s="594">
        <f>IFERROR(E20/B20*100,0)</f>
        <v>0</v>
      </c>
      <c r="G20" s="594">
        <f>IFERROR(E20/C20*100,0)</f>
        <v>0</v>
      </c>
      <c r="H20" s="499"/>
      <c r="I20" s="499"/>
      <c r="J20" s="499"/>
      <c r="K20" s="499"/>
      <c r="L20" s="499"/>
      <c r="M20" s="499"/>
      <c r="N20" s="499"/>
      <c r="O20" s="499"/>
      <c r="P20" s="499"/>
      <c r="Q20" s="499"/>
      <c r="R20" s="499"/>
      <c r="S20" s="499"/>
      <c r="T20" s="499"/>
      <c r="U20" s="499"/>
      <c r="V20" s="499"/>
      <c r="W20" s="499"/>
      <c r="X20" s="499"/>
      <c r="Y20" s="499"/>
      <c r="Z20" s="499"/>
      <c r="AA20" s="499"/>
      <c r="AB20" s="499"/>
      <c r="AC20" s="499"/>
      <c r="AD20" s="499"/>
      <c r="AE20" s="499"/>
      <c r="AF20" s="587"/>
      <c r="AG20" s="588">
        <f t="shared" si="1"/>
        <v>0</v>
      </c>
    </row>
    <row r="21" spans="1:33" s="589" customFormat="1" x14ac:dyDescent="0.3">
      <c r="A21" s="593" t="s">
        <v>33</v>
      </c>
      <c r="B21" s="594">
        <f>J21+L21+N21+P21+R21+T21+V21+X21+Z21+AB21+AD21+H21</f>
        <v>240.00300000000001</v>
      </c>
      <c r="C21" s="712">
        <f>H21+J21+L21+N21+P21+R21+T21</f>
        <v>240.00300000000001</v>
      </c>
      <c r="D21" s="715">
        <f>E21</f>
        <v>238.8</v>
      </c>
      <c r="E21" s="712">
        <f>SUM(I21,K21,M21,O21,Q21,S21,U21,W21,Y21,AA21,AC21,AE21)</f>
        <v>238.8</v>
      </c>
      <c r="F21" s="594">
        <f>IFERROR(E21/B21*100,0)</f>
        <v>99.498756265546689</v>
      </c>
      <c r="G21" s="594">
        <f>IFERROR(E21/C21*100,0)</f>
        <v>99.498756265546689</v>
      </c>
      <c r="H21" s="499"/>
      <c r="I21" s="499"/>
      <c r="J21" s="499">
        <v>137.773</v>
      </c>
      <c r="K21" s="499">
        <v>137.77000000000001</v>
      </c>
      <c r="L21" s="499"/>
      <c r="M21" s="499"/>
      <c r="N21" s="499"/>
      <c r="O21" s="499"/>
      <c r="P21" s="499"/>
      <c r="Q21" s="499"/>
      <c r="R21" s="499">
        <f>2.23+100-1.03</f>
        <v>101.2</v>
      </c>
      <c r="S21" s="499">
        <v>100</v>
      </c>
      <c r="T21" s="499">
        <v>1.03</v>
      </c>
      <c r="U21" s="499">
        <v>1.03</v>
      </c>
      <c r="V21" s="499"/>
      <c r="W21" s="499"/>
      <c r="X21" s="499"/>
      <c r="Y21" s="499"/>
      <c r="Z21" s="499"/>
      <c r="AA21" s="499"/>
      <c r="AB21" s="499"/>
      <c r="AC21" s="499"/>
      <c r="AD21" s="499"/>
      <c r="AE21" s="499"/>
      <c r="AF21" s="587"/>
      <c r="AG21" s="588">
        <f t="shared" si="1"/>
        <v>1.532107773982716E-14</v>
      </c>
    </row>
    <row r="22" spans="1:33" x14ac:dyDescent="0.3">
      <c r="A22" s="112" t="s">
        <v>170</v>
      </c>
      <c r="B22" s="113"/>
      <c r="C22" s="114"/>
      <c r="D22" s="115"/>
      <c r="E22" s="114"/>
      <c r="F22" s="113"/>
      <c r="G22" s="113"/>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29"/>
      <c r="AG22" s="99">
        <f t="shared" si="1"/>
        <v>0</v>
      </c>
    </row>
    <row r="23" spans="1:33" ht="56.25" customHeight="1" x14ac:dyDescent="0.3">
      <c r="A23" s="95" t="s">
        <v>276</v>
      </c>
      <c r="B23" s="96"/>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8"/>
      <c r="AG23" s="99">
        <f t="shared" ref="AG23:AG28" si="5">B23-H23-J23-L23-N23-P23-R23-T23-V23-X23-Z23-AB23-AD23</f>
        <v>0</v>
      </c>
    </row>
    <row r="24" spans="1:33" x14ac:dyDescent="0.3">
      <c r="A24" s="100" t="s">
        <v>31</v>
      </c>
      <c r="B24" s="101">
        <f>B25+B26+B27+B28</f>
        <v>0</v>
      </c>
      <c r="C24" s="101">
        <f>C25+C26+C27+C28</f>
        <v>0</v>
      </c>
      <c r="D24" s="101">
        <f>D25+D26+D27+D28</f>
        <v>0</v>
      </c>
      <c r="E24" s="101">
        <f>E25+E26+E27+E28</f>
        <v>0</v>
      </c>
      <c r="F24" s="102">
        <f>IFERROR(E24/B24*100,0)</f>
        <v>0</v>
      </c>
      <c r="G24" s="102">
        <f>IFERROR(E24/C24*100,0)</f>
        <v>0</v>
      </c>
      <c r="H24" s="101">
        <f>H25+H26+H27+H28</f>
        <v>0</v>
      </c>
      <c r="I24" s="101">
        <f t="shared" ref="I24:AE24" si="6">I25+I26+I27+I28</f>
        <v>0</v>
      </c>
      <c r="J24" s="101">
        <f t="shared" si="6"/>
        <v>0</v>
      </c>
      <c r="K24" s="101">
        <f t="shared" si="6"/>
        <v>0</v>
      </c>
      <c r="L24" s="101">
        <f t="shared" si="6"/>
        <v>0</v>
      </c>
      <c r="M24" s="101">
        <f t="shared" si="6"/>
        <v>0</v>
      </c>
      <c r="N24" s="101">
        <f t="shared" si="6"/>
        <v>0</v>
      </c>
      <c r="O24" s="101">
        <f t="shared" si="6"/>
        <v>0</v>
      </c>
      <c r="P24" s="101">
        <f t="shared" si="6"/>
        <v>0</v>
      </c>
      <c r="Q24" s="101">
        <f t="shared" si="6"/>
        <v>0</v>
      </c>
      <c r="R24" s="101">
        <f t="shared" si="6"/>
        <v>0</v>
      </c>
      <c r="S24" s="101">
        <f t="shared" si="6"/>
        <v>0</v>
      </c>
      <c r="T24" s="101">
        <f t="shared" si="6"/>
        <v>0</v>
      </c>
      <c r="U24" s="101">
        <f t="shared" si="6"/>
        <v>0</v>
      </c>
      <c r="V24" s="101">
        <f t="shared" si="6"/>
        <v>0</v>
      </c>
      <c r="W24" s="101">
        <f t="shared" si="6"/>
        <v>0</v>
      </c>
      <c r="X24" s="101">
        <f t="shared" si="6"/>
        <v>0</v>
      </c>
      <c r="Y24" s="101">
        <f t="shared" si="6"/>
        <v>0</v>
      </c>
      <c r="Z24" s="101">
        <f t="shared" si="6"/>
        <v>0</v>
      </c>
      <c r="AA24" s="101">
        <f t="shared" si="6"/>
        <v>0</v>
      </c>
      <c r="AB24" s="101">
        <f t="shared" si="6"/>
        <v>0</v>
      </c>
      <c r="AC24" s="101">
        <f t="shared" si="6"/>
        <v>0</v>
      </c>
      <c r="AD24" s="101">
        <f t="shared" si="6"/>
        <v>0</v>
      </c>
      <c r="AE24" s="101">
        <f t="shared" si="6"/>
        <v>0</v>
      </c>
      <c r="AF24" s="98"/>
      <c r="AG24" s="99">
        <f t="shared" si="5"/>
        <v>0</v>
      </c>
    </row>
    <row r="25" spans="1:33" x14ac:dyDescent="0.3">
      <c r="A25" s="103" t="s">
        <v>169</v>
      </c>
      <c r="B25" s="104">
        <f>J25+L25+N25+P25+R25+T25+V25+X25+Z25+AB25+AD25+H25</f>
        <v>0</v>
      </c>
      <c r="C25" s="104">
        <f>SUM(H25)</f>
        <v>0</v>
      </c>
      <c r="D25" s="104">
        <f>E25</f>
        <v>0</v>
      </c>
      <c r="E25" s="104">
        <f>SUM(I25,K25,M25,O25,Q25,S25,U25,W25,Y25,AA25,AC25,AE25)</f>
        <v>0</v>
      </c>
      <c r="F25" s="104">
        <f>IFERROR(E25/B25*100,0)</f>
        <v>0</v>
      </c>
      <c r="G25" s="104">
        <f>IFERROR(E25/C25*100,0)</f>
        <v>0</v>
      </c>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98"/>
      <c r="AG25" s="99">
        <f t="shared" si="5"/>
        <v>0</v>
      </c>
    </row>
    <row r="26" spans="1:33" x14ac:dyDescent="0.3">
      <c r="A26" s="103" t="s">
        <v>32</v>
      </c>
      <c r="B26" s="104">
        <f>J26+L26+N26+P26+R26+T26+V26+X26+Z26+AB26+AD26+H26</f>
        <v>0</v>
      </c>
      <c r="C26" s="104">
        <f>SUM(H26)</f>
        <v>0</v>
      </c>
      <c r="D26" s="104">
        <f>E26</f>
        <v>0</v>
      </c>
      <c r="E26" s="104">
        <f>SUM(I26,K26,M26,O26,Q26,S26,U26,W26,Y26,AA26,AC26,AE26)</f>
        <v>0</v>
      </c>
      <c r="F26" s="104">
        <f>IFERROR(E26/B26*100,0)</f>
        <v>0</v>
      </c>
      <c r="G26" s="104">
        <f>IFERROR(E26/C26*100,0)</f>
        <v>0</v>
      </c>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98"/>
      <c r="AG26" s="99">
        <f t="shared" si="5"/>
        <v>0</v>
      </c>
    </row>
    <row r="27" spans="1:33" x14ac:dyDescent="0.3">
      <c r="A27" s="103" t="s">
        <v>33</v>
      </c>
      <c r="B27" s="104">
        <f>J27+L27+N27+P27+R27+T27+V27+X27+Z27+AB27+AD27+H27</f>
        <v>0</v>
      </c>
      <c r="C27" s="104">
        <f>SUM(H27)</f>
        <v>0</v>
      </c>
      <c r="D27" s="104">
        <f>E27</f>
        <v>0</v>
      </c>
      <c r="E27" s="104">
        <f>SUM(I27,K27,M27,O27,Q27,S27,U27,W27,Y27,AA27,AC27,AE27)</f>
        <v>0</v>
      </c>
      <c r="F27" s="104">
        <f>IFERROR(E27/B27*100,0)</f>
        <v>0</v>
      </c>
      <c r="G27" s="104">
        <f>IFERROR(E27/C27*100,0)</f>
        <v>0</v>
      </c>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98"/>
      <c r="AG27" s="99">
        <f t="shared" si="5"/>
        <v>0</v>
      </c>
    </row>
    <row r="28" spans="1:33" x14ac:dyDescent="0.3">
      <c r="A28" s="103" t="s">
        <v>170</v>
      </c>
      <c r="B28" s="104">
        <f>J28+L28+N28+P28+R28+T28+V28+X28+Z28+AB28+AD28+H28</f>
        <v>0</v>
      </c>
      <c r="C28" s="104">
        <f>SUM(H28)</f>
        <v>0</v>
      </c>
      <c r="D28" s="104">
        <f>E28</f>
        <v>0</v>
      </c>
      <c r="E28" s="104">
        <f>SUM(I28,K28,M28,O28,Q28,S28,U28,W28,Y28,AA28,AC28,AE28)</f>
        <v>0</v>
      </c>
      <c r="F28" s="104">
        <f>IFERROR(E28/B28*100,0)</f>
        <v>0</v>
      </c>
      <c r="G28" s="104">
        <f>IFERROR(E28/C28*100,0)</f>
        <v>0</v>
      </c>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98"/>
      <c r="AG28" s="99">
        <f t="shared" si="5"/>
        <v>0</v>
      </c>
    </row>
    <row r="29" spans="1:33" s="94" customFormat="1" x14ac:dyDescent="0.3">
      <c r="A29" s="1163" t="s">
        <v>54</v>
      </c>
      <c r="B29" s="1164"/>
      <c r="C29" s="1164"/>
      <c r="D29" s="1164"/>
      <c r="E29" s="1164"/>
      <c r="F29" s="1164"/>
      <c r="G29" s="1164"/>
      <c r="H29" s="1164"/>
      <c r="I29" s="1164"/>
      <c r="J29" s="1164"/>
      <c r="K29" s="1164"/>
      <c r="L29" s="1164"/>
      <c r="M29" s="1164"/>
      <c r="N29" s="1164"/>
      <c r="O29" s="1164"/>
      <c r="P29" s="1164"/>
      <c r="Q29" s="1164"/>
      <c r="R29" s="1164"/>
      <c r="S29" s="1164"/>
      <c r="T29" s="1164"/>
      <c r="U29" s="1164"/>
      <c r="V29" s="1164"/>
      <c r="W29" s="1164"/>
      <c r="X29" s="1164"/>
      <c r="Y29" s="1164"/>
      <c r="Z29" s="1164"/>
      <c r="AA29" s="1164"/>
      <c r="AB29" s="1164"/>
      <c r="AC29" s="1164"/>
      <c r="AD29" s="1164"/>
      <c r="AE29" s="1164"/>
      <c r="AF29" s="1165"/>
      <c r="AG29" s="99">
        <f t="shared" si="1"/>
        <v>0</v>
      </c>
    </row>
    <row r="30" spans="1:33" ht="37.5" x14ac:dyDescent="0.3">
      <c r="A30" s="95" t="s">
        <v>277</v>
      </c>
      <c r="B30" s="96"/>
      <c r="C30" s="97"/>
      <c r="D30" s="97"/>
      <c r="E30" s="97"/>
      <c r="F30" s="97"/>
      <c r="G30" s="97"/>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8"/>
      <c r="AG30" s="99">
        <f t="shared" si="1"/>
        <v>0</v>
      </c>
    </row>
    <row r="31" spans="1:33" x14ac:dyDescent="0.3">
      <c r="A31" s="100" t="s">
        <v>31</v>
      </c>
      <c r="B31" s="101">
        <f>B32+B33+B34+B35</f>
        <v>3377.5</v>
      </c>
      <c r="C31" s="101">
        <f>C32+C33+C34+C35</f>
        <v>3377.5</v>
      </c>
      <c r="D31" s="101">
        <f>D32+D33+D34+D35</f>
        <v>2861.547</v>
      </c>
      <c r="E31" s="101">
        <f>E32+E33+E34+E35</f>
        <v>2861.547</v>
      </c>
      <c r="F31" s="102">
        <f>IFERROR(E31/B31*100,0)</f>
        <v>84.723819393042191</v>
      </c>
      <c r="G31" s="102">
        <f>IFERROR(E31/C31*100,0)</f>
        <v>84.723819393042191</v>
      </c>
      <c r="H31" s="101">
        <f>H32+H33+H34+H35</f>
        <v>300</v>
      </c>
      <c r="I31" s="101">
        <f t="shared" ref="I31:AE31" si="7">I32+I33+I34+I35</f>
        <v>256.2</v>
      </c>
      <c r="J31" s="101">
        <f t="shared" si="7"/>
        <v>289.64999999999998</v>
      </c>
      <c r="K31" s="101">
        <f t="shared" si="7"/>
        <v>307.20699999999999</v>
      </c>
      <c r="L31" s="101">
        <f t="shared" si="7"/>
        <v>176.8</v>
      </c>
      <c r="M31" s="101">
        <f t="shared" si="7"/>
        <v>200.64</v>
      </c>
      <c r="N31" s="101">
        <f t="shared" si="7"/>
        <v>57.7</v>
      </c>
      <c r="O31" s="101">
        <f t="shared" si="7"/>
        <v>57.7</v>
      </c>
      <c r="P31" s="101">
        <f t="shared" si="7"/>
        <v>224.4</v>
      </c>
      <c r="Q31" s="101">
        <f t="shared" si="7"/>
        <v>0</v>
      </c>
      <c r="R31" s="101">
        <f t="shared" si="7"/>
        <v>673</v>
      </c>
      <c r="S31" s="101">
        <f t="shared" si="7"/>
        <v>784.26</v>
      </c>
      <c r="T31" s="101">
        <f t="shared" si="7"/>
        <v>1030</v>
      </c>
      <c r="U31" s="101">
        <f t="shared" si="7"/>
        <v>30</v>
      </c>
      <c r="V31" s="101">
        <f t="shared" si="7"/>
        <v>85.86</v>
      </c>
      <c r="W31" s="101">
        <f t="shared" si="7"/>
        <v>0</v>
      </c>
      <c r="X31" s="101">
        <f t="shared" si="7"/>
        <v>0</v>
      </c>
      <c r="Y31" s="101">
        <f t="shared" si="7"/>
        <v>0</v>
      </c>
      <c r="Z31" s="101">
        <f t="shared" si="7"/>
        <v>0</v>
      </c>
      <c r="AA31" s="101">
        <f t="shared" si="7"/>
        <v>561.6</v>
      </c>
      <c r="AB31" s="101">
        <f t="shared" si="7"/>
        <v>0</v>
      </c>
      <c r="AC31" s="101">
        <f t="shared" si="7"/>
        <v>264.58999999999997</v>
      </c>
      <c r="AD31" s="101">
        <f t="shared" si="7"/>
        <v>540.08999999999992</v>
      </c>
      <c r="AE31" s="101">
        <f t="shared" si="7"/>
        <v>399.35</v>
      </c>
      <c r="AF31" s="98"/>
      <c r="AG31" s="99">
        <f t="shared" si="1"/>
        <v>0</v>
      </c>
    </row>
    <row r="32" spans="1:33" x14ac:dyDescent="0.3">
      <c r="A32" s="103" t="s">
        <v>169</v>
      </c>
      <c r="B32" s="104">
        <f>J32+L32+N32+P32+R32+T32+V32+X32+Z32+AB32+AD32+H32</f>
        <v>0</v>
      </c>
      <c r="C32" s="104">
        <f>SUM(H32)</f>
        <v>0</v>
      </c>
      <c r="D32" s="104">
        <f>E32</f>
        <v>0</v>
      </c>
      <c r="E32" s="104">
        <f>SUM(I32,K32,M32,O32,Q32,S32,U32,W32,Y32,AA32,AC32,AE32)</f>
        <v>0</v>
      </c>
      <c r="F32" s="104">
        <f>IFERROR(E32/B32*100,0)</f>
        <v>0</v>
      </c>
      <c r="G32" s="104">
        <f>IFERROR(E32/C32*100,0)</f>
        <v>0</v>
      </c>
      <c r="H32" s="104">
        <f>H38+H44+H50</f>
        <v>0</v>
      </c>
      <c r="I32" s="104">
        <f t="shared" ref="I32:AE35" si="8">I38+I44+I50</f>
        <v>0</v>
      </c>
      <c r="J32" s="104">
        <f t="shared" si="8"/>
        <v>0</v>
      </c>
      <c r="K32" s="104">
        <f t="shared" si="8"/>
        <v>0</v>
      </c>
      <c r="L32" s="104">
        <f t="shared" si="8"/>
        <v>0</v>
      </c>
      <c r="M32" s="104">
        <f t="shared" si="8"/>
        <v>0</v>
      </c>
      <c r="N32" s="104">
        <f t="shared" si="8"/>
        <v>0</v>
      </c>
      <c r="O32" s="104">
        <f t="shared" si="8"/>
        <v>0</v>
      </c>
      <c r="P32" s="104">
        <f t="shared" si="8"/>
        <v>0</v>
      </c>
      <c r="Q32" s="104">
        <f t="shared" si="8"/>
        <v>0</v>
      </c>
      <c r="R32" s="104">
        <f t="shared" si="8"/>
        <v>0</v>
      </c>
      <c r="S32" s="104">
        <f t="shared" si="8"/>
        <v>0</v>
      </c>
      <c r="T32" s="104">
        <f t="shared" si="8"/>
        <v>0</v>
      </c>
      <c r="U32" s="104">
        <f t="shared" si="8"/>
        <v>0</v>
      </c>
      <c r="V32" s="104">
        <f t="shared" si="8"/>
        <v>0</v>
      </c>
      <c r="W32" s="104">
        <f t="shared" si="8"/>
        <v>0</v>
      </c>
      <c r="X32" s="104">
        <f t="shared" si="8"/>
        <v>0</v>
      </c>
      <c r="Y32" s="104">
        <f t="shared" si="8"/>
        <v>0</v>
      </c>
      <c r="Z32" s="104">
        <f t="shared" si="8"/>
        <v>0</v>
      </c>
      <c r="AA32" s="104">
        <f t="shared" si="8"/>
        <v>0</v>
      </c>
      <c r="AB32" s="104">
        <f t="shared" si="8"/>
        <v>0</v>
      </c>
      <c r="AC32" s="104">
        <f t="shared" si="8"/>
        <v>0</v>
      </c>
      <c r="AD32" s="104">
        <f t="shared" si="8"/>
        <v>0</v>
      </c>
      <c r="AE32" s="104">
        <f t="shared" si="8"/>
        <v>0</v>
      </c>
      <c r="AF32" s="98"/>
      <c r="AG32" s="99">
        <f t="shared" si="1"/>
        <v>0</v>
      </c>
    </row>
    <row r="33" spans="1:33" x14ac:dyDescent="0.3">
      <c r="A33" s="103" t="s">
        <v>32</v>
      </c>
      <c r="B33" s="104">
        <f>J33+L33+N33+P33+R33+T33+V33+X33+Z33+AB33+AD33+H33</f>
        <v>0</v>
      </c>
      <c r="C33" s="104">
        <f>SUM(H33)</f>
        <v>0</v>
      </c>
      <c r="D33" s="104">
        <f>E33</f>
        <v>0</v>
      </c>
      <c r="E33" s="104">
        <f>SUM(I33,K33,M33,O33,Q33,S33,U33,W33,Y33,AA33,AC33,AE33)</f>
        <v>0</v>
      </c>
      <c r="F33" s="104">
        <f>IFERROR(E33/B33*100,0)</f>
        <v>0</v>
      </c>
      <c r="G33" s="104">
        <f>IFERROR(E33/C33*100,0)</f>
        <v>0</v>
      </c>
      <c r="H33" s="104">
        <f>H39+H45+H51</f>
        <v>0</v>
      </c>
      <c r="I33" s="104">
        <f t="shared" ref="I33:W33" si="9">I39+I45+I51</f>
        <v>0</v>
      </c>
      <c r="J33" s="104">
        <f t="shared" si="9"/>
        <v>0</v>
      </c>
      <c r="K33" s="104">
        <f t="shared" si="9"/>
        <v>0</v>
      </c>
      <c r="L33" s="104">
        <f t="shared" si="9"/>
        <v>0</v>
      </c>
      <c r="M33" s="104">
        <f t="shared" si="9"/>
        <v>0</v>
      </c>
      <c r="N33" s="104">
        <f t="shared" si="9"/>
        <v>0</v>
      </c>
      <c r="O33" s="104">
        <f t="shared" si="9"/>
        <v>0</v>
      </c>
      <c r="P33" s="104">
        <f t="shared" si="9"/>
        <v>0</v>
      </c>
      <c r="Q33" s="104">
        <f t="shared" si="9"/>
        <v>0</v>
      </c>
      <c r="R33" s="104">
        <f t="shared" si="9"/>
        <v>0</v>
      </c>
      <c r="S33" s="104">
        <f t="shared" si="9"/>
        <v>0</v>
      </c>
      <c r="T33" s="104">
        <f t="shared" si="9"/>
        <v>0</v>
      </c>
      <c r="U33" s="104">
        <f t="shared" si="9"/>
        <v>0</v>
      </c>
      <c r="V33" s="104">
        <f t="shared" si="9"/>
        <v>0</v>
      </c>
      <c r="W33" s="104">
        <f t="shared" si="9"/>
        <v>0</v>
      </c>
      <c r="X33" s="104">
        <f t="shared" si="8"/>
        <v>0</v>
      </c>
      <c r="Y33" s="104">
        <f t="shared" si="8"/>
        <v>0</v>
      </c>
      <c r="Z33" s="104">
        <f t="shared" si="8"/>
        <v>0</v>
      </c>
      <c r="AA33" s="104">
        <f t="shared" si="8"/>
        <v>0</v>
      </c>
      <c r="AB33" s="104">
        <f t="shared" si="8"/>
        <v>0</v>
      </c>
      <c r="AC33" s="104">
        <f t="shared" si="8"/>
        <v>0</v>
      </c>
      <c r="AD33" s="104">
        <f t="shared" si="8"/>
        <v>0</v>
      </c>
      <c r="AE33" s="104">
        <f t="shared" si="8"/>
        <v>0</v>
      </c>
      <c r="AF33" s="98"/>
      <c r="AG33" s="99">
        <f t="shared" si="1"/>
        <v>0</v>
      </c>
    </row>
    <row r="34" spans="1:33" x14ac:dyDescent="0.3">
      <c r="A34" s="103" t="s">
        <v>33</v>
      </c>
      <c r="B34" s="594">
        <f>J34+L34+N34+P34+R34+T34+V34+X34+Z34+AB34+AD34+H34</f>
        <v>2959.5</v>
      </c>
      <c r="C34" s="104">
        <f>H34+J34+L34+N34+P34+R34+T34+V34+X34+Z34+AB34+AD34</f>
        <v>2959.5</v>
      </c>
      <c r="D34" s="104">
        <f>E34</f>
        <v>2443.547</v>
      </c>
      <c r="E34" s="104">
        <f>SUM(I34,K34,M34,O34,Q34,S34,U34,W34,Y34,AA34,AC34,AE34)</f>
        <v>2443.547</v>
      </c>
      <c r="F34" s="104">
        <f>IFERROR(E34/B34*100,0)</f>
        <v>82.566210508531839</v>
      </c>
      <c r="G34" s="104">
        <f>IFERROR(E34/C34*100,0)</f>
        <v>82.566210508531839</v>
      </c>
      <c r="H34" s="104">
        <f>H40+H46+H52+H58</f>
        <v>300</v>
      </c>
      <c r="I34" s="104">
        <f t="shared" ref="I34:AF34" si="10">I40+I46+I52+I58</f>
        <v>256.2</v>
      </c>
      <c r="J34" s="104">
        <f t="shared" si="10"/>
        <v>289.64999999999998</v>
      </c>
      <c r="K34" s="104">
        <f t="shared" si="10"/>
        <v>307.20699999999999</v>
      </c>
      <c r="L34" s="104">
        <f>L40+L46+L52+L58</f>
        <v>176.8</v>
      </c>
      <c r="M34" s="104">
        <f t="shared" si="10"/>
        <v>200.64</v>
      </c>
      <c r="N34" s="104">
        <f t="shared" si="10"/>
        <v>57.7</v>
      </c>
      <c r="O34" s="104">
        <f t="shared" si="10"/>
        <v>57.7</v>
      </c>
      <c r="P34" s="104">
        <f t="shared" si="10"/>
        <v>224.4</v>
      </c>
      <c r="Q34" s="104">
        <f t="shared" si="10"/>
        <v>0</v>
      </c>
      <c r="R34" s="104">
        <f t="shared" si="10"/>
        <v>255</v>
      </c>
      <c r="S34" s="104">
        <f t="shared" si="10"/>
        <v>366.26</v>
      </c>
      <c r="T34" s="104">
        <f t="shared" si="10"/>
        <v>1030</v>
      </c>
      <c r="U34" s="104">
        <f t="shared" si="10"/>
        <v>30</v>
      </c>
      <c r="V34" s="104">
        <f t="shared" si="10"/>
        <v>85.86</v>
      </c>
      <c r="W34" s="104">
        <f t="shared" si="10"/>
        <v>0</v>
      </c>
      <c r="X34" s="104">
        <f t="shared" si="10"/>
        <v>0</v>
      </c>
      <c r="Y34" s="104">
        <f t="shared" si="10"/>
        <v>0</v>
      </c>
      <c r="Z34" s="104">
        <f t="shared" si="10"/>
        <v>0</v>
      </c>
      <c r="AA34" s="104">
        <f t="shared" si="10"/>
        <v>561.6</v>
      </c>
      <c r="AB34" s="104">
        <f t="shared" si="10"/>
        <v>0</v>
      </c>
      <c r="AC34" s="104">
        <f t="shared" si="10"/>
        <v>264.58999999999997</v>
      </c>
      <c r="AD34" s="104">
        <f t="shared" si="10"/>
        <v>540.08999999999992</v>
      </c>
      <c r="AE34" s="104">
        <f t="shared" si="10"/>
        <v>399.35</v>
      </c>
      <c r="AF34" s="104">
        <f t="shared" si="10"/>
        <v>0</v>
      </c>
      <c r="AG34" s="99">
        <f t="shared" si="1"/>
        <v>0</v>
      </c>
    </row>
    <row r="35" spans="1:33" x14ac:dyDescent="0.3">
      <c r="A35" s="103" t="s">
        <v>170</v>
      </c>
      <c r="B35" s="104">
        <f>J35+L35+N35+P35+R35+T35+V35+X35+Z35+AB35+AD35+H35</f>
        <v>418</v>
      </c>
      <c r="C35" s="104">
        <f>B35</f>
        <v>418</v>
      </c>
      <c r="D35" s="104">
        <f>E35</f>
        <v>418</v>
      </c>
      <c r="E35" s="104">
        <f>SUM(I35,K35,M35,O35,Q35,S35,U35,W35,Y35,AA35,AC35,AE35)</f>
        <v>418</v>
      </c>
      <c r="F35" s="104">
        <f>IFERROR(E35/B35*100,0)</f>
        <v>100</v>
      </c>
      <c r="G35" s="104">
        <f>IFERROR(E35/C35*100,0)</f>
        <v>100</v>
      </c>
      <c r="H35" s="104">
        <f>H41+H47+H53</f>
        <v>0</v>
      </c>
      <c r="I35" s="104">
        <f t="shared" si="8"/>
        <v>0</v>
      </c>
      <c r="J35" s="104">
        <f t="shared" si="8"/>
        <v>0</v>
      </c>
      <c r="K35" s="104">
        <f t="shared" si="8"/>
        <v>0</v>
      </c>
      <c r="L35" s="104">
        <f t="shared" si="8"/>
        <v>0</v>
      </c>
      <c r="M35" s="104">
        <f t="shared" si="8"/>
        <v>0</v>
      </c>
      <c r="N35" s="104">
        <f t="shared" si="8"/>
        <v>0</v>
      </c>
      <c r="O35" s="104">
        <f t="shared" si="8"/>
        <v>0</v>
      </c>
      <c r="P35" s="104">
        <f t="shared" si="8"/>
        <v>0</v>
      </c>
      <c r="Q35" s="104">
        <f t="shared" si="8"/>
        <v>0</v>
      </c>
      <c r="R35" s="104">
        <f t="shared" si="8"/>
        <v>418</v>
      </c>
      <c r="S35" s="104">
        <f t="shared" si="8"/>
        <v>418</v>
      </c>
      <c r="T35" s="104">
        <f t="shared" si="8"/>
        <v>0</v>
      </c>
      <c r="U35" s="104">
        <f t="shared" si="8"/>
        <v>0</v>
      </c>
      <c r="V35" s="104">
        <f t="shared" si="8"/>
        <v>0</v>
      </c>
      <c r="W35" s="104">
        <f t="shared" si="8"/>
        <v>0</v>
      </c>
      <c r="X35" s="104">
        <f t="shared" si="8"/>
        <v>0</v>
      </c>
      <c r="Y35" s="104">
        <f t="shared" si="8"/>
        <v>0</v>
      </c>
      <c r="Z35" s="104">
        <f t="shared" si="8"/>
        <v>0</v>
      </c>
      <c r="AA35" s="104">
        <f t="shared" si="8"/>
        <v>0</v>
      </c>
      <c r="AB35" s="104">
        <f t="shared" si="8"/>
        <v>0</v>
      </c>
      <c r="AC35" s="104">
        <f t="shared" si="8"/>
        <v>0</v>
      </c>
      <c r="AD35" s="104">
        <f t="shared" si="8"/>
        <v>0</v>
      </c>
      <c r="AE35" s="104">
        <f t="shared" si="8"/>
        <v>0</v>
      </c>
      <c r="AF35" s="98"/>
      <c r="AG35" s="99">
        <f t="shared" si="1"/>
        <v>0</v>
      </c>
    </row>
    <row r="36" spans="1:33" ht="81" customHeight="1" x14ac:dyDescent="0.3">
      <c r="A36" s="713" t="s">
        <v>611</v>
      </c>
      <c r="B36" s="594"/>
      <c r="C36" s="602"/>
      <c r="D36" s="602"/>
      <c r="E36" s="602"/>
      <c r="F36" s="107"/>
      <c r="G36" s="107"/>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29"/>
      <c r="AG36" s="99">
        <f t="shared" si="1"/>
        <v>0</v>
      </c>
    </row>
    <row r="37" spans="1:33" s="589" customFormat="1" x14ac:dyDescent="0.3">
      <c r="A37" s="590" t="s">
        <v>31</v>
      </c>
      <c r="B37" s="591">
        <f>B39+B40+B38+B41</f>
        <v>1562.5</v>
      </c>
      <c r="C37" s="591">
        <f>C39+C40+C38+C41</f>
        <v>1562.5</v>
      </c>
      <c r="D37" s="714">
        <f>D39+D40+D38+D41</f>
        <v>1484.9469999999999</v>
      </c>
      <c r="E37" s="591">
        <f>E39+E40+E38+E41</f>
        <v>1484.9469999999999</v>
      </c>
      <c r="F37" s="591">
        <f>IFERROR(E37/B37*100,0)</f>
        <v>95.036607999999987</v>
      </c>
      <c r="G37" s="591">
        <f>IFERROR(E37/C37*100,0)</f>
        <v>95.036607999999987</v>
      </c>
      <c r="H37" s="718">
        <f t="shared" ref="H37:AE37" si="11">H39+H40+H38+H41</f>
        <v>300</v>
      </c>
      <c r="I37" s="718">
        <f t="shared" si="11"/>
        <v>256.2</v>
      </c>
      <c r="J37" s="718">
        <f t="shared" si="11"/>
        <v>114.65</v>
      </c>
      <c r="K37" s="718">
        <f t="shared" si="11"/>
        <v>132.20699999999999</v>
      </c>
      <c r="L37" s="718">
        <f t="shared" si="11"/>
        <v>126.8</v>
      </c>
      <c r="M37" s="718">
        <f t="shared" si="11"/>
        <v>150.63999999999999</v>
      </c>
      <c r="N37" s="718">
        <f t="shared" si="11"/>
        <v>7.6999999999999993</v>
      </c>
      <c r="O37" s="718">
        <f t="shared" si="11"/>
        <v>7.7</v>
      </c>
      <c r="P37" s="718">
        <f t="shared" si="11"/>
        <v>224.4</v>
      </c>
      <c r="Q37" s="718">
        <f t="shared" si="11"/>
        <v>0</v>
      </c>
      <c r="R37" s="718">
        <f t="shared" si="11"/>
        <v>463</v>
      </c>
      <c r="S37" s="718">
        <f t="shared" si="11"/>
        <v>574.26</v>
      </c>
      <c r="T37" s="718">
        <f t="shared" si="11"/>
        <v>0</v>
      </c>
      <c r="U37" s="591">
        <f t="shared" si="11"/>
        <v>0</v>
      </c>
      <c r="V37" s="591">
        <f t="shared" si="11"/>
        <v>85.86</v>
      </c>
      <c r="W37" s="591">
        <f t="shared" si="11"/>
        <v>0</v>
      </c>
      <c r="X37" s="591">
        <f t="shared" si="11"/>
        <v>0</v>
      </c>
      <c r="Y37" s="591">
        <f t="shared" si="11"/>
        <v>0</v>
      </c>
      <c r="Z37" s="591">
        <f t="shared" si="11"/>
        <v>0</v>
      </c>
      <c r="AA37" s="591">
        <f t="shared" si="11"/>
        <v>0</v>
      </c>
      <c r="AB37" s="591">
        <f t="shared" si="11"/>
        <v>0</v>
      </c>
      <c r="AC37" s="591">
        <f t="shared" si="11"/>
        <v>264.58999999999997</v>
      </c>
      <c r="AD37" s="597">
        <f t="shared" si="11"/>
        <v>240.08999999999997</v>
      </c>
      <c r="AE37" s="591">
        <f t="shared" si="11"/>
        <v>99.35</v>
      </c>
      <c r="AF37" s="587"/>
      <c r="AG37" s="588">
        <f t="shared" si="1"/>
        <v>0</v>
      </c>
    </row>
    <row r="38" spans="1:33" s="589" customFormat="1" x14ac:dyDescent="0.3">
      <c r="A38" s="593" t="s">
        <v>169</v>
      </c>
      <c r="B38" s="594">
        <f>J38+L38+N38+P38+R38+T38+V38+X38+Z38+AB38+AD38+H38</f>
        <v>0</v>
      </c>
      <c r="C38" s="712">
        <f>SUM(H38)</f>
        <v>0</v>
      </c>
      <c r="D38" s="715">
        <f>E38</f>
        <v>0</v>
      </c>
      <c r="E38" s="712">
        <f>SUM(I38,K38,M38,O38,Q38,S38,U38,W38,Y38,AA38,AC38,AE38)</f>
        <v>0</v>
      </c>
      <c r="F38" s="594">
        <f>IFERROR(E38/B38*100,0)</f>
        <v>0</v>
      </c>
      <c r="G38" s="594">
        <f>IFERROR(E38/C38*100,0)</f>
        <v>0</v>
      </c>
      <c r="H38" s="499"/>
      <c r="I38" s="499"/>
      <c r="J38" s="499"/>
      <c r="K38" s="499"/>
      <c r="L38" s="499"/>
      <c r="M38" s="499"/>
      <c r="N38" s="499"/>
      <c r="O38" s="499"/>
      <c r="P38" s="499"/>
      <c r="Q38" s="499"/>
      <c r="R38" s="499"/>
      <c r="S38" s="499"/>
      <c r="T38" s="499"/>
      <c r="U38" s="499"/>
      <c r="V38" s="499"/>
      <c r="W38" s="499"/>
      <c r="X38" s="499"/>
      <c r="Y38" s="499"/>
      <c r="Z38" s="499"/>
      <c r="AA38" s="499"/>
      <c r="AB38" s="499"/>
      <c r="AC38" s="499"/>
      <c r="AD38" s="499"/>
      <c r="AE38" s="499"/>
      <c r="AF38" s="587"/>
      <c r="AG38" s="588">
        <f t="shared" si="1"/>
        <v>0</v>
      </c>
    </row>
    <row r="39" spans="1:33" s="589" customFormat="1" x14ac:dyDescent="0.3">
      <c r="A39" s="593" t="s">
        <v>32</v>
      </c>
      <c r="B39" s="594">
        <f>J39+L39+N39+P39+R39+T39+V39+X39+Z39+AB39+AD39+H39</f>
        <v>0</v>
      </c>
      <c r="C39" s="712">
        <f>SUM(H39)</f>
        <v>0</v>
      </c>
      <c r="D39" s="715">
        <f>E39</f>
        <v>0</v>
      </c>
      <c r="E39" s="712">
        <f>SUM(I39,K39,M39,O39,Q39,S39,U39,W39,Y39,AA39,AC39,AE39)</f>
        <v>0</v>
      </c>
      <c r="F39" s="594">
        <f>IFERROR(E39/B39*100,0)</f>
        <v>0</v>
      </c>
      <c r="G39" s="594">
        <f>IFERROR(E39/C39*100,0)</f>
        <v>0</v>
      </c>
      <c r="H39" s="499"/>
      <c r="I39" s="499"/>
      <c r="J39" s="499"/>
      <c r="K39" s="499"/>
      <c r="L39" s="499"/>
      <c r="M39" s="499"/>
      <c r="N39" s="499"/>
      <c r="O39" s="499"/>
      <c r="P39" s="499"/>
      <c r="Q39" s="499"/>
      <c r="R39" s="499"/>
      <c r="S39" s="499"/>
      <c r="T39" s="499"/>
      <c r="U39" s="499"/>
      <c r="V39" s="499"/>
      <c r="W39" s="499"/>
      <c r="X39" s="499"/>
      <c r="Y39" s="499"/>
      <c r="Z39" s="499"/>
      <c r="AA39" s="499"/>
      <c r="AB39" s="499"/>
      <c r="AC39" s="499"/>
      <c r="AD39" s="499"/>
      <c r="AE39" s="499"/>
      <c r="AF39" s="587"/>
      <c r="AG39" s="588">
        <f t="shared" si="1"/>
        <v>0</v>
      </c>
    </row>
    <row r="40" spans="1:33" s="589" customFormat="1" x14ac:dyDescent="0.3">
      <c r="A40" s="593" t="s">
        <v>33</v>
      </c>
      <c r="B40" s="594">
        <f>J40+L40+N40+P40+R40+T40+V40+X40+Z40+AB40+AD40+H40</f>
        <v>1144.5</v>
      </c>
      <c r="C40" s="712">
        <f>H40+J40+L40+N40+P40+R40+T40+V40+X40+Z40+AB40+AD40</f>
        <v>1144.5</v>
      </c>
      <c r="D40" s="715">
        <f>E40</f>
        <v>1066.9469999999999</v>
      </c>
      <c r="E40" s="712">
        <f>SUM(I40,K40,M40,O40,Q40,S40,U40,W40,Y40,AA40,AC40,AE40)</f>
        <v>1066.9469999999999</v>
      </c>
      <c r="F40" s="594">
        <f>IFERROR(E40/B40*100,0)</f>
        <v>93.223853211009171</v>
      </c>
      <c r="G40" s="594">
        <f>IFERROR(E40/C40*100,0)</f>
        <v>93.223853211009171</v>
      </c>
      <c r="H40" s="499">
        <v>300</v>
      </c>
      <c r="I40" s="499">
        <v>256.2</v>
      </c>
      <c r="J40" s="499">
        <v>114.65</v>
      </c>
      <c r="K40" s="499">
        <v>132.20699999999999</v>
      </c>
      <c r="L40" s="499">
        <v>126.8</v>
      </c>
      <c r="M40" s="499">
        <v>150.63999999999999</v>
      </c>
      <c r="N40" s="499">
        <f>24.5-16.8</f>
        <v>7.6999999999999993</v>
      </c>
      <c r="O40" s="499">
        <v>7.7</v>
      </c>
      <c r="P40" s="499">
        <v>224.4</v>
      </c>
      <c r="Q40" s="499"/>
      <c r="R40" s="499">
        <v>45</v>
      </c>
      <c r="S40" s="499">
        <v>156.26</v>
      </c>
      <c r="T40" s="499">
        <v>0</v>
      </c>
      <c r="U40" s="499"/>
      <c r="V40" s="499">
        <v>85.86</v>
      </c>
      <c r="W40" s="499"/>
      <c r="X40" s="499">
        <v>0</v>
      </c>
      <c r="Y40" s="499"/>
      <c r="Z40" s="499">
        <v>0</v>
      </c>
      <c r="AA40" s="499"/>
      <c r="AB40" s="499">
        <v>0</v>
      </c>
      <c r="AC40" s="499">
        <v>264.58999999999997</v>
      </c>
      <c r="AD40" s="760">
        <f>325.95-85.86</f>
        <v>240.08999999999997</v>
      </c>
      <c r="AE40" s="499">
        <v>99.35</v>
      </c>
      <c r="AF40" s="587"/>
      <c r="AG40" s="588">
        <f t="shared" si="1"/>
        <v>0</v>
      </c>
    </row>
    <row r="41" spans="1:33" s="589" customFormat="1" x14ac:dyDescent="0.3">
      <c r="A41" s="593" t="s">
        <v>170</v>
      </c>
      <c r="B41" s="594">
        <f>J41+L41+N41+P41+R41+T41+V41+X41+Z41+AB41+AD41+H41</f>
        <v>418</v>
      </c>
      <c r="C41" s="712">
        <f>H41+J41+L41+N41+P41+R41</f>
        <v>418</v>
      </c>
      <c r="D41" s="715">
        <f>E41</f>
        <v>418</v>
      </c>
      <c r="E41" s="712">
        <f>SUM(I41,K41,M41,O41,Q41,S41,U41,W41,Y41,AA41,AC41,AE41)</f>
        <v>418</v>
      </c>
      <c r="F41" s="594">
        <f>IFERROR(E41/B41*100,0)</f>
        <v>100</v>
      </c>
      <c r="G41" s="594">
        <f>IFERROR(E41/C41*100,0)</f>
        <v>100</v>
      </c>
      <c r="H41" s="499"/>
      <c r="I41" s="499"/>
      <c r="J41" s="499"/>
      <c r="K41" s="499"/>
      <c r="L41" s="499"/>
      <c r="M41" s="499"/>
      <c r="N41" s="499"/>
      <c r="O41" s="499"/>
      <c r="P41" s="499"/>
      <c r="Q41" s="499"/>
      <c r="R41" s="499">
        <v>418</v>
      </c>
      <c r="S41" s="499">
        <v>418</v>
      </c>
      <c r="T41" s="499"/>
      <c r="U41" s="499"/>
      <c r="V41" s="499"/>
      <c r="W41" s="499"/>
      <c r="X41" s="499"/>
      <c r="Y41" s="499"/>
      <c r="Z41" s="499"/>
      <c r="AA41" s="499"/>
      <c r="AB41" s="499"/>
      <c r="AC41" s="499"/>
      <c r="AD41" s="499"/>
      <c r="AE41" s="499"/>
      <c r="AF41" s="587"/>
      <c r="AG41" s="588">
        <f t="shared" si="1"/>
        <v>0</v>
      </c>
    </row>
    <row r="42" spans="1:33" s="589" customFormat="1" ht="146.25" customHeight="1" x14ac:dyDescent="0.3">
      <c r="A42" s="606" t="s">
        <v>278</v>
      </c>
      <c r="B42" s="591"/>
      <c r="C42" s="597"/>
      <c r="D42" s="597"/>
      <c r="E42" s="597"/>
      <c r="F42" s="597"/>
      <c r="G42" s="597"/>
      <c r="H42" s="499"/>
      <c r="I42" s="499"/>
      <c r="J42" s="499"/>
      <c r="K42" s="499"/>
      <c r="L42" s="499"/>
      <c r="M42" s="499"/>
      <c r="N42" s="499"/>
      <c r="O42" s="499"/>
      <c r="P42" s="499"/>
      <c r="Q42" s="499"/>
      <c r="R42" s="499"/>
      <c r="S42" s="499"/>
      <c r="T42" s="499"/>
      <c r="U42" s="499"/>
      <c r="V42" s="499"/>
      <c r="W42" s="499"/>
      <c r="X42" s="499"/>
      <c r="Y42" s="499"/>
      <c r="Z42" s="499"/>
      <c r="AA42" s="499"/>
      <c r="AB42" s="499"/>
      <c r="AC42" s="499"/>
      <c r="AD42" s="499"/>
      <c r="AE42" s="499"/>
      <c r="AF42" s="587"/>
      <c r="AG42" s="588">
        <f t="shared" si="1"/>
        <v>0</v>
      </c>
    </row>
    <row r="43" spans="1:33" s="589" customFormat="1" x14ac:dyDescent="0.3">
      <c r="A43" s="590" t="s">
        <v>31</v>
      </c>
      <c r="B43" s="591">
        <f>B45+B46+B44+B47</f>
        <v>815</v>
      </c>
      <c r="C43" s="591">
        <f>C45+C46+C44+C47</f>
        <v>815</v>
      </c>
      <c r="D43" s="591">
        <f>D45+D46+D44+D47</f>
        <v>815</v>
      </c>
      <c r="E43" s="591">
        <f>E45+E46+E44+E47</f>
        <v>815</v>
      </c>
      <c r="F43" s="591">
        <f>IFERROR(E43/B43*100,0)</f>
        <v>100</v>
      </c>
      <c r="G43" s="591">
        <f>IFERROR(E43/C43*100,0)</f>
        <v>100</v>
      </c>
      <c r="H43" s="591">
        <f t="shared" ref="H43:AE43" si="12">H45+H46+H44+H47</f>
        <v>0</v>
      </c>
      <c r="I43" s="591">
        <f t="shared" si="12"/>
        <v>0</v>
      </c>
      <c r="J43" s="591">
        <f t="shared" si="12"/>
        <v>175</v>
      </c>
      <c r="K43" s="591">
        <f t="shared" si="12"/>
        <v>175</v>
      </c>
      <c r="L43" s="591">
        <f t="shared" si="12"/>
        <v>50</v>
      </c>
      <c r="M43" s="591">
        <f t="shared" si="12"/>
        <v>50</v>
      </c>
      <c r="N43" s="718">
        <f t="shared" si="12"/>
        <v>50</v>
      </c>
      <c r="O43" s="591">
        <f t="shared" si="12"/>
        <v>50</v>
      </c>
      <c r="P43" s="591">
        <f t="shared" si="12"/>
        <v>0</v>
      </c>
      <c r="Q43" s="591">
        <f t="shared" si="12"/>
        <v>0</v>
      </c>
      <c r="R43" s="591">
        <f t="shared" si="12"/>
        <v>210</v>
      </c>
      <c r="S43" s="591">
        <f t="shared" si="12"/>
        <v>210</v>
      </c>
      <c r="T43" s="591">
        <f t="shared" si="12"/>
        <v>30</v>
      </c>
      <c r="U43" s="591">
        <f t="shared" si="12"/>
        <v>30</v>
      </c>
      <c r="V43" s="591">
        <f t="shared" si="12"/>
        <v>0</v>
      </c>
      <c r="W43" s="591">
        <f t="shared" si="12"/>
        <v>0</v>
      </c>
      <c r="X43" s="591">
        <f t="shared" si="12"/>
        <v>0</v>
      </c>
      <c r="Y43" s="591">
        <f t="shared" si="12"/>
        <v>0</v>
      </c>
      <c r="Z43" s="591">
        <f t="shared" si="12"/>
        <v>0</v>
      </c>
      <c r="AA43" s="591">
        <f t="shared" si="12"/>
        <v>0</v>
      </c>
      <c r="AB43" s="591">
        <f t="shared" si="12"/>
        <v>0</v>
      </c>
      <c r="AC43" s="591">
        <f t="shared" si="12"/>
        <v>0</v>
      </c>
      <c r="AD43" s="591">
        <f t="shared" si="12"/>
        <v>300</v>
      </c>
      <c r="AE43" s="591">
        <f t="shared" si="12"/>
        <v>300</v>
      </c>
      <c r="AF43" s="587"/>
      <c r="AG43" s="588">
        <f t="shared" si="1"/>
        <v>0</v>
      </c>
    </row>
    <row r="44" spans="1:33" s="589" customFormat="1" x14ac:dyDescent="0.3">
      <c r="A44" s="593" t="s">
        <v>169</v>
      </c>
      <c r="B44" s="594">
        <f>J44+L44+N44+P44+R44+T44+V44+X44+Z44+AB44+AD44+H44</f>
        <v>0</v>
      </c>
      <c r="C44" s="712">
        <f>SUM(H44)</f>
        <v>0</v>
      </c>
      <c r="D44" s="715">
        <f>E44</f>
        <v>0</v>
      </c>
      <c r="E44" s="712">
        <f>SUM(I44,K44,M44,O44,Q44,S44,U44,W44,Y44,AA44,AC44,AE44)</f>
        <v>0</v>
      </c>
      <c r="F44" s="594"/>
      <c r="G44" s="594"/>
      <c r="H44" s="499"/>
      <c r="I44" s="499"/>
      <c r="J44" s="499"/>
      <c r="K44" s="499"/>
      <c r="L44" s="499"/>
      <c r="M44" s="499"/>
      <c r="N44" s="499"/>
      <c r="O44" s="499"/>
      <c r="P44" s="499"/>
      <c r="Q44" s="499"/>
      <c r="R44" s="499"/>
      <c r="S44" s="499"/>
      <c r="T44" s="499"/>
      <c r="U44" s="499"/>
      <c r="V44" s="499"/>
      <c r="W44" s="499"/>
      <c r="X44" s="499"/>
      <c r="Y44" s="499"/>
      <c r="Z44" s="499"/>
      <c r="AA44" s="499"/>
      <c r="AB44" s="499"/>
      <c r="AC44" s="499"/>
      <c r="AD44" s="499"/>
      <c r="AE44" s="499"/>
      <c r="AF44" s="587"/>
      <c r="AG44" s="588">
        <f t="shared" si="1"/>
        <v>0</v>
      </c>
    </row>
    <row r="45" spans="1:33" s="589" customFormat="1" x14ac:dyDescent="0.3">
      <c r="A45" s="593" t="s">
        <v>32</v>
      </c>
      <c r="B45" s="594">
        <f>J45+L45+N45+P45+R45+T45+V45+X45+Z45+AB45+AD45+H45</f>
        <v>0</v>
      </c>
      <c r="C45" s="712">
        <f>SUM(H45)</f>
        <v>0</v>
      </c>
      <c r="D45" s="715">
        <f>E45</f>
        <v>0</v>
      </c>
      <c r="E45" s="712">
        <f>SUM(I45,K45,M45,O45,Q45,S45,U45,W45,Y45,AA45,AC45,AE45)</f>
        <v>0</v>
      </c>
      <c r="F45" s="594"/>
      <c r="G45" s="594"/>
      <c r="H45" s="499"/>
      <c r="I45" s="499"/>
      <c r="J45" s="499"/>
      <c r="K45" s="499"/>
      <c r="L45" s="499"/>
      <c r="M45" s="499"/>
      <c r="N45" s="499"/>
      <c r="O45" s="499"/>
      <c r="P45" s="499"/>
      <c r="Q45" s="499"/>
      <c r="R45" s="499"/>
      <c r="S45" s="499"/>
      <c r="T45" s="499"/>
      <c r="U45" s="499"/>
      <c r="V45" s="499"/>
      <c r="W45" s="499"/>
      <c r="X45" s="499"/>
      <c r="Y45" s="499"/>
      <c r="Z45" s="499"/>
      <c r="AA45" s="499"/>
      <c r="AB45" s="499"/>
      <c r="AC45" s="499"/>
      <c r="AD45" s="499"/>
      <c r="AE45" s="499"/>
      <c r="AF45" s="587"/>
      <c r="AG45" s="588">
        <f t="shared" si="1"/>
        <v>0</v>
      </c>
    </row>
    <row r="46" spans="1:33" s="589" customFormat="1" x14ac:dyDescent="0.3">
      <c r="A46" s="593" t="s">
        <v>33</v>
      </c>
      <c r="B46" s="594">
        <f>J46+L46+N46+P46+R46+T46+V46+X46+Z46+AB46+AD46+H46</f>
        <v>815</v>
      </c>
      <c r="C46" s="712">
        <f>H46+J46+L46+N46+P46+R46+T46+V46+X46+Z46+AB46+AD46</f>
        <v>815</v>
      </c>
      <c r="D46" s="715">
        <f>E46</f>
        <v>815</v>
      </c>
      <c r="E46" s="712">
        <f>SUM(I46,K46,M46,O46,Q46,S46,U46,W46,Y46,AA46,AC46,AE46)</f>
        <v>815</v>
      </c>
      <c r="F46" s="594">
        <f>IFERROR(E46/B46*100,0)</f>
        <v>100</v>
      </c>
      <c r="G46" s="594">
        <f>IFERROR(E46/C46*100,0)</f>
        <v>100</v>
      </c>
      <c r="H46" s="499"/>
      <c r="I46" s="499"/>
      <c r="J46" s="499">
        <v>175</v>
      </c>
      <c r="K46" s="499">
        <v>175</v>
      </c>
      <c r="L46" s="499">
        <v>50</v>
      </c>
      <c r="M46" s="499">
        <v>50</v>
      </c>
      <c r="N46" s="499">
        <v>50</v>
      </c>
      <c r="O46" s="499">
        <v>50</v>
      </c>
      <c r="P46" s="499"/>
      <c r="Q46" s="499"/>
      <c r="R46" s="499">
        <v>210</v>
      </c>
      <c r="S46" s="499">
        <v>210</v>
      </c>
      <c r="T46" s="499">
        <v>30</v>
      </c>
      <c r="U46" s="499">
        <v>30</v>
      </c>
      <c r="V46" s="499"/>
      <c r="W46" s="499"/>
      <c r="X46" s="499"/>
      <c r="Y46" s="499"/>
      <c r="Z46" s="499"/>
      <c r="AA46" s="499"/>
      <c r="AB46" s="499"/>
      <c r="AC46" s="499"/>
      <c r="AD46" s="499">
        <f>715-175-50+100-50-210-30</f>
        <v>300</v>
      </c>
      <c r="AE46" s="499">
        <v>300</v>
      </c>
      <c r="AF46" s="587"/>
      <c r="AG46" s="588">
        <f t="shared" si="1"/>
        <v>0</v>
      </c>
    </row>
    <row r="47" spans="1:33" x14ac:dyDescent="0.3">
      <c r="A47" s="593" t="s">
        <v>170</v>
      </c>
      <c r="B47" s="594"/>
      <c r="C47" s="712"/>
      <c r="D47" s="715"/>
      <c r="E47" s="712"/>
      <c r="F47" s="113"/>
      <c r="G47" s="113"/>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29"/>
      <c r="AG47" s="99">
        <f t="shared" si="1"/>
        <v>0</v>
      </c>
    </row>
    <row r="48" spans="1:33" ht="93.75" x14ac:dyDescent="0.3">
      <c r="A48" s="713" t="s">
        <v>279</v>
      </c>
      <c r="B48" s="591"/>
      <c r="C48" s="597"/>
      <c r="D48" s="597"/>
      <c r="E48" s="597"/>
      <c r="F48" s="118"/>
      <c r="G48" s="11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29"/>
      <c r="AG48" s="99">
        <f t="shared" si="1"/>
        <v>0</v>
      </c>
    </row>
    <row r="49" spans="1:38" s="589" customFormat="1" x14ac:dyDescent="0.3">
      <c r="A49" s="590" t="s">
        <v>31</v>
      </c>
      <c r="B49" s="591">
        <f>B51+B52+B50+B53</f>
        <v>0</v>
      </c>
      <c r="C49" s="591">
        <f>C51+C52+C50+C53</f>
        <v>0</v>
      </c>
      <c r="D49" s="591">
        <f>D51+D52+D50+D53</f>
        <v>0</v>
      </c>
      <c r="E49" s="591">
        <f>E51+E52+E50+E53</f>
        <v>0</v>
      </c>
      <c r="F49" s="591">
        <f>IFERROR(E49/B49*100,0)</f>
        <v>0</v>
      </c>
      <c r="G49" s="591">
        <f>IFERROR(E49/C49*100,0)</f>
        <v>0</v>
      </c>
      <c r="H49" s="591">
        <f t="shared" ref="H49:AE49" si="13">H51+H52+H50+H53</f>
        <v>0</v>
      </c>
      <c r="I49" s="591">
        <f t="shared" si="13"/>
        <v>0</v>
      </c>
      <c r="J49" s="591">
        <f t="shared" si="13"/>
        <v>0</v>
      </c>
      <c r="K49" s="591">
        <f t="shared" si="13"/>
        <v>0</v>
      </c>
      <c r="L49" s="591">
        <f t="shared" si="13"/>
        <v>0</v>
      </c>
      <c r="M49" s="591">
        <f t="shared" si="13"/>
        <v>0</v>
      </c>
      <c r="N49" s="591">
        <f t="shared" si="13"/>
        <v>0</v>
      </c>
      <c r="O49" s="591">
        <f t="shared" si="13"/>
        <v>0</v>
      </c>
      <c r="P49" s="591">
        <f t="shared" si="13"/>
        <v>0</v>
      </c>
      <c r="Q49" s="591">
        <f t="shared" si="13"/>
        <v>0</v>
      </c>
      <c r="R49" s="591">
        <f t="shared" si="13"/>
        <v>0</v>
      </c>
      <c r="S49" s="591">
        <f t="shared" si="13"/>
        <v>0</v>
      </c>
      <c r="T49" s="591">
        <f t="shared" si="13"/>
        <v>0</v>
      </c>
      <c r="U49" s="591">
        <f t="shared" si="13"/>
        <v>0</v>
      </c>
      <c r="V49" s="591">
        <f t="shared" si="13"/>
        <v>0</v>
      </c>
      <c r="W49" s="591">
        <f t="shared" si="13"/>
        <v>0</v>
      </c>
      <c r="X49" s="591">
        <f t="shared" si="13"/>
        <v>0</v>
      </c>
      <c r="Y49" s="591">
        <f t="shared" si="13"/>
        <v>0</v>
      </c>
      <c r="Z49" s="591">
        <f t="shared" si="13"/>
        <v>0</v>
      </c>
      <c r="AA49" s="591">
        <f t="shared" si="13"/>
        <v>0</v>
      </c>
      <c r="AB49" s="591">
        <f t="shared" si="13"/>
        <v>0</v>
      </c>
      <c r="AC49" s="591">
        <f t="shared" si="13"/>
        <v>0</v>
      </c>
      <c r="AD49" s="591">
        <f t="shared" si="13"/>
        <v>0</v>
      </c>
      <c r="AE49" s="591">
        <f t="shared" si="13"/>
        <v>0</v>
      </c>
      <c r="AF49" s="587"/>
      <c r="AG49" s="588">
        <f t="shared" si="1"/>
        <v>0</v>
      </c>
    </row>
    <row r="50" spans="1:38" s="589" customFormat="1" x14ac:dyDescent="0.3">
      <c r="A50" s="593" t="s">
        <v>169</v>
      </c>
      <c r="B50" s="594">
        <f>J50+L50+N50+P50+R50+T50+V50+X50+Z50+AB50+AD50+H50</f>
        <v>0</v>
      </c>
      <c r="C50" s="712">
        <f>SUM(H50)</f>
        <v>0</v>
      </c>
      <c r="D50" s="715">
        <f>E50</f>
        <v>0</v>
      </c>
      <c r="E50" s="712">
        <f>SUM(I50,K50,M50,O50,Q50,S50,U50,W50,Y50,AA50,AC50,AE50)</f>
        <v>0</v>
      </c>
      <c r="F50" s="594"/>
      <c r="G50" s="594"/>
      <c r="H50" s="499"/>
      <c r="I50" s="499"/>
      <c r="J50" s="499"/>
      <c r="K50" s="499"/>
      <c r="L50" s="499"/>
      <c r="M50" s="499"/>
      <c r="N50" s="499"/>
      <c r="O50" s="499"/>
      <c r="P50" s="499"/>
      <c r="Q50" s="499"/>
      <c r="R50" s="499"/>
      <c r="S50" s="499"/>
      <c r="T50" s="499"/>
      <c r="U50" s="499"/>
      <c r="V50" s="499"/>
      <c r="W50" s="499"/>
      <c r="X50" s="499"/>
      <c r="Y50" s="499"/>
      <c r="Z50" s="499"/>
      <c r="AA50" s="499"/>
      <c r="AB50" s="499"/>
      <c r="AC50" s="499"/>
      <c r="AD50" s="499"/>
      <c r="AE50" s="499"/>
      <c r="AF50" s="587"/>
      <c r="AG50" s="588">
        <f t="shared" si="1"/>
        <v>0</v>
      </c>
    </row>
    <row r="51" spans="1:38" s="589" customFormat="1" x14ac:dyDescent="0.3">
      <c r="A51" s="593" t="s">
        <v>32</v>
      </c>
      <c r="B51" s="594">
        <f>J51+L51+N51+P51+R51+T51+V51+X51+Z51+AB51+AD51+H51</f>
        <v>0</v>
      </c>
      <c r="C51" s="712">
        <f>SUM(H51)</f>
        <v>0</v>
      </c>
      <c r="D51" s="715">
        <f>E51</f>
        <v>0</v>
      </c>
      <c r="E51" s="712">
        <f>SUM(I51,K51,M51,O51,Q51,S51,U51,W51,Y51,AA51,AC51,AE51)</f>
        <v>0</v>
      </c>
      <c r="F51" s="594"/>
      <c r="G51" s="594"/>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F51" s="587"/>
      <c r="AG51" s="588">
        <f t="shared" si="1"/>
        <v>0</v>
      </c>
    </row>
    <row r="52" spans="1:38" s="589" customFormat="1" x14ac:dyDescent="0.3">
      <c r="A52" s="593" t="s">
        <v>33</v>
      </c>
      <c r="B52" s="594">
        <f>J52+L52+N52+P52+R52+T52+V52+X52+Z52+AB52+AD52+H52</f>
        <v>0</v>
      </c>
      <c r="C52" s="712">
        <f>SUM(H52)</f>
        <v>0</v>
      </c>
      <c r="D52" s="715">
        <f>E52</f>
        <v>0</v>
      </c>
      <c r="E52" s="712">
        <f>SUM(I52,K52,M52,O52,Q52,S52,U52,W52,Y52,AA52,AC52,AE52)</f>
        <v>0</v>
      </c>
      <c r="F52" s="594">
        <f>IFERROR(E52/B52*100,0)</f>
        <v>0</v>
      </c>
      <c r="G52" s="594">
        <f>IFERROR(E52/C52*100,0)</f>
        <v>0</v>
      </c>
      <c r="H52" s="499"/>
      <c r="I52" s="499"/>
      <c r="J52" s="499"/>
      <c r="K52" s="499"/>
      <c r="L52" s="499"/>
      <c r="M52" s="499"/>
      <c r="N52" s="499"/>
      <c r="O52" s="499"/>
      <c r="P52" s="499"/>
      <c r="Q52" s="499"/>
      <c r="R52" s="499"/>
      <c r="S52" s="499"/>
      <c r="T52" s="499"/>
      <c r="U52" s="499"/>
      <c r="V52" s="499"/>
      <c r="W52" s="499"/>
      <c r="X52" s="499"/>
      <c r="Y52" s="499"/>
      <c r="Z52" s="499"/>
      <c r="AA52" s="499"/>
      <c r="AB52" s="499"/>
      <c r="AC52" s="499"/>
      <c r="AD52" s="499"/>
      <c r="AE52" s="499"/>
      <c r="AF52" s="587"/>
      <c r="AG52" s="588">
        <f t="shared" si="1"/>
        <v>0</v>
      </c>
    </row>
    <row r="53" spans="1:38" s="589" customFormat="1" x14ac:dyDescent="0.3">
      <c r="A53" s="593" t="s">
        <v>170</v>
      </c>
      <c r="B53" s="594"/>
      <c r="C53" s="712"/>
      <c r="D53" s="715"/>
      <c r="E53" s="712"/>
      <c r="F53" s="594"/>
      <c r="G53" s="594"/>
      <c r="H53" s="499"/>
      <c r="I53" s="499"/>
      <c r="J53" s="499"/>
      <c r="K53" s="499"/>
      <c r="L53" s="499"/>
      <c r="M53" s="499"/>
      <c r="N53" s="499"/>
      <c r="O53" s="499"/>
      <c r="P53" s="499"/>
      <c r="Q53" s="499"/>
      <c r="R53" s="499"/>
      <c r="S53" s="499"/>
      <c r="T53" s="499"/>
      <c r="U53" s="499"/>
      <c r="V53" s="499"/>
      <c r="W53" s="499"/>
      <c r="X53" s="499"/>
      <c r="Y53" s="499"/>
      <c r="Z53" s="499"/>
      <c r="AA53" s="499"/>
      <c r="AB53" s="499"/>
      <c r="AC53" s="499"/>
      <c r="AD53" s="499"/>
      <c r="AE53" s="499"/>
      <c r="AF53" s="587"/>
      <c r="AG53" s="588">
        <f t="shared" si="1"/>
        <v>0</v>
      </c>
    </row>
    <row r="54" spans="1:38" s="589" customFormat="1" ht="93.75" x14ac:dyDescent="0.3">
      <c r="A54" s="593" t="s">
        <v>488</v>
      </c>
      <c r="B54" s="594"/>
      <c r="C54" s="712"/>
      <c r="D54" s="715"/>
      <c r="E54" s="712"/>
      <c r="F54" s="594"/>
      <c r="G54" s="594"/>
      <c r="H54" s="499"/>
      <c r="I54" s="499"/>
      <c r="J54" s="499"/>
      <c r="K54" s="499"/>
      <c r="L54" s="499"/>
      <c r="M54" s="499"/>
      <c r="N54" s="499"/>
      <c r="O54" s="499"/>
      <c r="P54" s="499"/>
      <c r="Q54" s="499"/>
      <c r="R54" s="499"/>
      <c r="S54" s="499"/>
      <c r="T54" s="499"/>
      <c r="U54" s="499"/>
      <c r="V54" s="499"/>
      <c r="W54" s="499"/>
      <c r="X54" s="499"/>
      <c r="Y54" s="499"/>
      <c r="Z54" s="499"/>
      <c r="AA54" s="499"/>
      <c r="AB54" s="499"/>
      <c r="AC54" s="499"/>
      <c r="AD54" s="499"/>
      <c r="AE54" s="499"/>
      <c r="AF54" s="587"/>
      <c r="AG54" s="588"/>
    </row>
    <row r="55" spans="1:38" s="589" customFormat="1" x14ac:dyDescent="0.3">
      <c r="A55" s="590" t="s">
        <v>31</v>
      </c>
      <c r="B55" s="594">
        <f>B58</f>
        <v>1000</v>
      </c>
      <c r="C55" s="594">
        <f>C58</f>
        <v>1000</v>
      </c>
      <c r="D55" s="594">
        <f>D58</f>
        <v>561.6</v>
      </c>
      <c r="E55" s="594">
        <f>E58</f>
        <v>561.6</v>
      </c>
      <c r="F55" s="594">
        <f>IFERROR(E55/B55*100,0)</f>
        <v>56.16</v>
      </c>
      <c r="G55" s="594">
        <f>IFERROR(E55/C55*100,0)</f>
        <v>56.16</v>
      </c>
      <c r="H55" s="499">
        <f>H58</f>
        <v>0</v>
      </c>
      <c r="I55" s="499">
        <f t="shared" ref="I55:AF55" si="14">I58</f>
        <v>0</v>
      </c>
      <c r="J55" s="499">
        <f t="shared" si="14"/>
        <v>0</v>
      </c>
      <c r="K55" s="499">
        <f t="shared" si="14"/>
        <v>0</v>
      </c>
      <c r="L55" s="499">
        <f t="shared" si="14"/>
        <v>0</v>
      </c>
      <c r="M55" s="499">
        <f t="shared" si="14"/>
        <v>0</v>
      </c>
      <c r="N55" s="499">
        <f t="shared" si="14"/>
        <v>0</v>
      </c>
      <c r="O55" s="499">
        <f t="shared" si="14"/>
        <v>0</v>
      </c>
      <c r="P55" s="499">
        <f t="shared" si="14"/>
        <v>0</v>
      </c>
      <c r="Q55" s="499">
        <f t="shared" si="14"/>
        <v>0</v>
      </c>
      <c r="R55" s="499">
        <f t="shared" si="14"/>
        <v>0</v>
      </c>
      <c r="S55" s="499">
        <f t="shared" si="14"/>
        <v>0</v>
      </c>
      <c r="T55" s="499">
        <f t="shared" si="14"/>
        <v>1000</v>
      </c>
      <c r="U55" s="499">
        <f t="shared" si="14"/>
        <v>0</v>
      </c>
      <c r="V55" s="499">
        <f t="shared" si="14"/>
        <v>0</v>
      </c>
      <c r="W55" s="499">
        <f t="shared" si="14"/>
        <v>0</v>
      </c>
      <c r="X55" s="499">
        <f t="shared" si="14"/>
        <v>0</v>
      </c>
      <c r="Y55" s="499">
        <f t="shared" si="14"/>
        <v>0</v>
      </c>
      <c r="Z55" s="499">
        <f t="shared" si="14"/>
        <v>0</v>
      </c>
      <c r="AA55" s="499">
        <f t="shared" si="14"/>
        <v>561.6</v>
      </c>
      <c r="AB55" s="499">
        <f t="shared" si="14"/>
        <v>0</v>
      </c>
      <c r="AC55" s="499">
        <f t="shared" si="14"/>
        <v>0</v>
      </c>
      <c r="AD55" s="499">
        <f t="shared" si="14"/>
        <v>0</v>
      </c>
      <c r="AE55" s="499">
        <f t="shared" si="14"/>
        <v>0</v>
      </c>
      <c r="AF55" s="499">
        <f t="shared" si="14"/>
        <v>0</v>
      </c>
      <c r="AG55" s="588"/>
    </row>
    <row r="56" spans="1:38" s="589" customFormat="1" x14ac:dyDescent="0.3">
      <c r="A56" s="593" t="s">
        <v>169</v>
      </c>
      <c r="B56" s="594">
        <f>J56+L56+N56+P56+R56+T56+V56+X56+Z56+AB56+AD56+H56</f>
        <v>0</v>
      </c>
      <c r="C56" s="712">
        <f>SUM(H56)</f>
        <v>0</v>
      </c>
      <c r="D56" s="715">
        <f>E56</f>
        <v>0</v>
      </c>
      <c r="E56" s="712">
        <f>SUM(I56,K56,M56,O56,Q56,S56,U56,W56,Y56,AA56,AC56,AE56)</f>
        <v>0</v>
      </c>
      <c r="F56" s="594"/>
      <c r="G56" s="594"/>
      <c r="H56" s="499"/>
      <c r="I56" s="499"/>
      <c r="J56" s="499"/>
      <c r="K56" s="499"/>
      <c r="L56" s="499"/>
      <c r="M56" s="499"/>
      <c r="N56" s="499"/>
      <c r="O56" s="499"/>
      <c r="P56" s="499"/>
      <c r="Q56" s="499"/>
      <c r="R56" s="499"/>
      <c r="S56" s="499"/>
      <c r="T56" s="499"/>
      <c r="U56" s="499"/>
      <c r="V56" s="499"/>
      <c r="W56" s="499"/>
      <c r="X56" s="499"/>
      <c r="Y56" s="499"/>
      <c r="Z56" s="499"/>
      <c r="AA56" s="499"/>
      <c r="AB56" s="499"/>
      <c r="AC56" s="499"/>
      <c r="AD56" s="499"/>
      <c r="AE56" s="499"/>
      <c r="AF56" s="587"/>
      <c r="AG56" s="588"/>
    </row>
    <row r="57" spans="1:38" s="589" customFormat="1" x14ac:dyDescent="0.3">
      <c r="A57" s="593" t="s">
        <v>32</v>
      </c>
      <c r="B57" s="594">
        <f>J57+L57+N57+P57+R57+T57+V57+X57+Z57+AB57+AD57+H57</f>
        <v>0</v>
      </c>
      <c r="C57" s="712">
        <f>SUM(H57)</f>
        <v>0</v>
      </c>
      <c r="D57" s="715">
        <f>E57</f>
        <v>0</v>
      </c>
      <c r="E57" s="712">
        <f>SUM(I57,K57,M57,O57,Q57,S57,U57,W57,Y57,AA57,AC57,AE57)</f>
        <v>0</v>
      </c>
      <c r="F57" s="594"/>
      <c r="G57" s="594"/>
      <c r="H57" s="499"/>
      <c r="I57" s="499"/>
      <c r="J57" s="499"/>
      <c r="K57" s="499"/>
      <c r="L57" s="499"/>
      <c r="M57" s="499"/>
      <c r="N57" s="499"/>
      <c r="O57" s="499"/>
      <c r="P57" s="499"/>
      <c r="Q57" s="499"/>
      <c r="R57" s="499"/>
      <c r="S57" s="499"/>
      <c r="T57" s="499"/>
      <c r="U57" s="499"/>
      <c r="V57" s="499"/>
      <c r="W57" s="499"/>
      <c r="X57" s="499"/>
      <c r="Y57" s="499"/>
      <c r="Z57" s="499"/>
      <c r="AA57" s="499"/>
      <c r="AB57" s="499"/>
      <c r="AC57" s="499"/>
      <c r="AD57" s="499"/>
      <c r="AE57" s="499"/>
      <c r="AF57" s="587"/>
      <c r="AG57" s="588"/>
    </row>
    <row r="58" spans="1:38" s="589" customFormat="1" x14ac:dyDescent="0.3">
      <c r="A58" s="593" t="s">
        <v>33</v>
      </c>
      <c r="B58" s="594">
        <f>J58+L58+N58+P58+R58+T58+V58+X58+Z58+AB58+AD58+H58</f>
        <v>1000</v>
      </c>
      <c r="C58" s="712">
        <f>H58+J58+L58+N58+P58+R58+T58+V58</f>
        <v>1000</v>
      </c>
      <c r="D58" s="715">
        <f>E58</f>
        <v>561.6</v>
      </c>
      <c r="E58" s="712">
        <f>SUM(I58,K58,M58,O58,Q58,S58,U58,W58,Y58,AA58,AC58,AE58)</f>
        <v>561.6</v>
      </c>
      <c r="F58" s="594">
        <f>IFERROR(E58/B58*100,0)</f>
        <v>56.16</v>
      </c>
      <c r="G58" s="594">
        <f>IFERROR(E58/C58*100,0)</f>
        <v>56.16</v>
      </c>
      <c r="H58" s="499"/>
      <c r="I58" s="499"/>
      <c r="J58" s="499"/>
      <c r="K58" s="499"/>
      <c r="L58" s="499"/>
      <c r="M58" s="499"/>
      <c r="N58" s="499"/>
      <c r="O58" s="499"/>
      <c r="P58" s="499"/>
      <c r="Q58" s="499"/>
      <c r="R58" s="499"/>
      <c r="S58" s="499"/>
      <c r="T58" s="499">
        <v>1000</v>
      </c>
      <c r="U58" s="499"/>
      <c r="V58" s="499"/>
      <c r="W58" s="499"/>
      <c r="X58" s="499"/>
      <c r="Y58" s="499"/>
      <c r="Z58" s="499"/>
      <c r="AA58" s="499">
        <v>561.6</v>
      </c>
      <c r="AB58" s="499"/>
      <c r="AC58" s="499"/>
      <c r="AD58" s="499"/>
      <c r="AE58" s="499"/>
      <c r="AF58" s="587"/>
      <c r="AG58" s="588"/>
    </row>
    <row r="59" spans="1:38" ht="23.25" x14ac:dyDescent="0.35">
      <c r="A59" s="593" t="s">
        <v>170</v>
      </c>
      <c r="B59" s="594"/>
      <c r="C59" s="712"/>
      <c r="D59" s="715"/>
      <c r="E59" s="712"/>
      <c r="F59" s="113"/>
      <c r="G59" s="113"/>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29"/>
      <c r="AG59" s="99"/>
      <c r="AH59" s="676"/>
      <c r="AI59" s="589"/>
      <c r="AJ59" s="589"/>
      <c r="AK59" s="589"/>
      <c r="AL59" s="589"/>
    </row>
    <row r="60" spans="1:38" ht="56.25" x14ac:dyDescent="0.3">
      <c r="A60" s="121" t="s">
        <v>280</v>
      </c>
      <c r="B60" s="101"/>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98"/>
      <c r="AG60" s="99">
        <f t="shared" si="1"/>
        <v>0</v>
      </c>
    </row>
    <row r="61" spans="1:38" x14ac:dyDescent="0.3">
      <c r="A61" s="100" t="s">
        <v>31</v>
      </c>
      <c r="B61" s="101">
        <f>B62+B63+B64</f>
        <v>70650.039099999995</v>
      </c>
      <c r="C61" s="101">
        <f>C62+C63+C64</f>
        <v>70650.039099999995</v>
      </c>
      <c r="D61" s="101">
        <f>D62+D63+D64</f>
        <v>58711.130000000005</v>
      </c>
      <c r="E61" s="101">
        <f>E62+E63+E64</f>
        <v>58711.130000000005</v>
      </c>
      <c r="F61" s="102">
        <f>IFERROR(E61/B61*100,0)</f>
        <v>83.101341128627922</v>
      </c>
      <c r="G61" s="102">
        <f>IFERROR(E61/C61*100,0)</f>
        <v>83.101341128627922</v>
      </c>
      <c r="H61" s="101">
        <f t="shared" ref="H61:AE61" si="15">H62+H63+H64</f>
        <v>2796.47379</v>
      </c>
      <c r="I61" s="101">
        <f t="shared" si="15"/>
        <v>946.54</v>
      </c>
      <c r="J61" s="101">
        <f t="shared" si="15"/>
        <v>6573.9023099999995</v>
      </c>
      <c r="K61" s="101">
        <f t="shared" si="15"/>
        <v>6387.9299999999994</v>
      </c>
      <c r="L61" s="101">
        <f t="shared" si="15"/>
        <v>4574.5035900000003</v>
      </c>
      <c r="M61" s="101">
        <f t="shared" si="15"/>
        <v>6591.97</v>
      </c>
      <c r="N61" s="101">
        <f t="shared" si="15"/>
        <v>8943.8677200000002</v>
      </c>
      <c r="O61" s="101">
        <f t="shared" si="15"/>
        <v>6593.8499999999995</v>
      </c>
      <c r="P61" s="101">
        <f t="shared" si="15"/>
        <v>11501.86197</v>
      </c>
      <c r="Q61" s="101">
        <f t="shared" si="15"/>
        <v>7126.49</v>
      </c>
      <c r="R61" s="101">
        <f t="shared" si="15"/>
        <v>3781.6400000000003</v>
      </c>
      <c r="S61" s="101">
        <f t="shared" si="15"/>
        <v>5459.49</v>
      </c>
      <c r="T61" s="101">
        <f t="shared" si="15"/>
        <v>1342.6560999999999</v>
      </c>
      <c r="U61" s="101">
        <f t="shared" si="15"/>
        <v>625.11</v>
      </c>
      <c r="V61" s="101">
        <f t="shared" si="15"/>
        <v>3677.4779600000002</v>
      </c>
      <c r="W61" s="101">
        <f t="shared" si="15"/>
        <v>3778.46</v>
      </c>
      <c r="X61" s="101">
        <f t="shared" si="15"/>
        <v>4517.2937999999995</v>
      </c>
      <c r="Y61" s="101">
        <f t="shared" si="15"/>
        <v>815.6</v>
      </c>
      <c r="Z61" s="101">
        <f t="shared" si="15"/>
        <v>3761.65616</v>
      </c>
      <c r="AA61" s="101">
        <f t="shared" si="15"/>
        <v>5527.11</v>
      </c>
      <c r="AB61" s="101">
        <f t="shared" si="15"/>
        <v>2664.1743700000002</v>
      </c>
      <c r="AC61" s="101">
        <f t="shared" si="15"/>
        <v>5945.91</v>
      </c>
      <c r="AD61" s="101">
        <f t="shared" si="15"/>
        <v>16514.531330000002</v>
      </c>
      <c r="AE61" s="101">
        <f t="shared" si="15"/>
        <v>8912.67</v>
      </c>
      <c r="AF61" s="98"/>
      <c r="AG61" s="99">
        <f t="shared" si="1"/>
        <v>0</v>
      </c>
    </row>
    <row r="62" spans="1:38" x14ac:dyDescent="0.3">
      <c r="A62" s="103" t="s">
        <v>169</v>
      </c>
      <c r="B62" s="104">
        <f>B68+B74</f>
        <v>0</v>
      </c>
      <c r="C62" s="104">
        <f>C68+C74</f>
        <v>0</v>
      </c>
      <c r="D62" s="104">
        <f>D68+D74</f>
        <v>0</v>
      </c>
      <c r="E62" s="104">
        <f>E68+E74</f>
        <v>0</v>
      </c>
      <c r="F62" s="104">
        <f>IFERROR(E62/B62*100,0)</f>
        <v>0</v>
      </c>
      <c r="G62" s="104">
        <f>IFERROR(E62/C62*100,0)</f>
        <v>0</v>
      </c>
      <c r="H62" s="104">
        <f t="shared" ref="H62:AE65" si="16">H68+H74</f>
        <v>0</v>
      </c>
      <c r="I62" s="104">
        <f t="shared" si="16"/>
        <v>0</v>
      </c>
      <c r="J62" s="104">
        <f t="shared" si="16"/>
        <v>0</v>
      </c>
      <c r="K62" s="104">
        <f t="shared" si="16"/>
        <v>0</v>
      </c>
      <c r="L62" s="104">
        <f t="shared" si="16"/>
        <v>0</v>
      </c>
      <c r="M62" s="104">
        <f t="shared" si="16"/>
        <v>0</v>
      </c>
      <c r="N62" s="104">
        <f t="shared" si="16"/>
        <v>0</v>
      </c>
      <c r="O62" s="104">
        <f t="shared" si="16"/>
        <v>0</v>
      </c>
      <c r="P62" s="104">
        <f t="shared" si="16"/>
        <v>0</v>
      </c>
      <c r="Q62" s="104">
        <f t="shared" si="16"/>
        <v>0</v>
      </c>
      <c r="R62" s="104">
        <f t="shared" si="16"/>
        <v>0</v>
      </c>
      <c r="S62" s="104">
        <f t="shared" si="16"/>
        <v>0</v>
      </c>
      <c r="T62" s="104">
        <f t="shared" si="16"/>
        <v>0</v>
      </c>
      <c r="U62" s="104">
        <f t="shared" si="16"/>
        <v>0</v>
      </c>
      <c r="V62" s="104">
        <f t="shared" si="16"/>
        <v>0</v>
      </c>
      <c r="W62" s="104">
        <f t="shared" si="16"/>
        <v>0</v>
      </c>
      <c r="X62" s="104">
        <f t="shared" si="16"/>
        <v>0</v>
      </c>
      <c r="Y62" s="104">
        <f t="shared" si="16"/>
        <v>0</v>
      </c>
      <c r="Z62" s="104">
        <f t="shared" si="16"/>
        <v>0</v>
      </c>
      <c r="AA62" s="104">
        <f t="shared" si="16"/>
        <v>0</v>
      </c>
      <c r="AB62" s="104">
        <f t="shared" si="16"/>
        <v>0</v>
      </c>
      <c r="AC62" s="104">
        <f t="shared" si="16"/>
        <v>0</v>
      </c>
      <c r="AD62" s="104">
        <f t="shared" si="16"/>
        <v>0</v>
      </c>
      <c r="AE62" s="104">
        <f t="shared" si="16"/>
        <v>0</v>
      </c>
      <c r="AF62" s="98"/>
      <c r="AG62" s="99">
        <f t="shared" si="1"/>
        <v>0</v>
      </c>
    </row>
    <row r="63" spans="1:38" x14ac:dyDescent="0.3">
      <c r="A63" s="103" t="s">
        <v>32</v>
      </c>
      <c r="B63" s="104">
        <f t="shared" ref="B63:E65" si="17">B69+B75</f>
        <v>0</v>
      </c>
      <c r="C63" s="104">
        <f t="shared" si="17"/>
        <v>0</v>
      </c>
      <c r="D63" s="104">
        <f t="shared" si="17"/>
        <v>0</v>
      </c>
      <c r="E63" s="104">
        <f t="shared" si="17"/>
        <v>0</v>
      </c>
      <c r="F63" s="104">
        <f>IFERROR(E63/B63*100,0)</f>
        <v>0</v>
      </c>
      <c r="G63" s="104">
        <f>IFERROR(E63/C63*100,0)</f>
        <v>0</v>
      </c>
      <c r="H63" s="104">
        <f t="shared" si="16"/>
        <v>0</v>
      </c>
      <c r="I63" s="104">
        <f t="shared" si="16"/>
        <v>0</v>
      </c>
      <c r="J63" s="104">
        <f t="shared" si="16"/>
        <v>0</v>
      </c>
      <c r="K63" s="104">
        <f t="shared" si="16"/>
        <v>0</v>
      </c>
      <c r="L63" s="104">
        <f t="shared" si="16"/>
        <v>0</v>
      </c>
      <c r="M63" s="104">
        <f t="shared" si="16"/>
        <v>0</v>
      </c>
      <c r="N63" s="104">
        <f t="shared" si="16"/>
        <v>0</v>
      </c>
      <c r="O63" s="104">
        <f t="shared" si="16"/>
        <v>0</v>
      </c>
      <c r="P63" s="104">
        <f t="shared" si="16"/>
        <v>0</v>
      </c>
      <c r="Q63" s="104">
        <f t="shared" si="16"/>
        <v>0</v>
      </c>
      <c r="R63" s="104">
        <f t="shared" si="16"/>
        <v>0</v>
      </c>
      <c r="S63" s="104">
        <f t="shared" si="16"/>
        <v>0</v>
      </c>
      <c r="T63" s="104">
        <f t="shared" si="16"/>
        <v>0</v>
      </c>
      <c r="U63" s="104">
        <f t="shared" si="16"/>
        <v>0</v>
      </c>
      <c r="V63" s="104">
        <f t="shared" si="16"/>
        <v>0</v>
      </c>
      <c r="W63" s="104">
        <f t="shared" si="16"/>
        <v>0</v>
      </c>
      <c r="X63" s="104">
        <f t="shared" si="16"/>
        <v>0</v>
      </c>
      <c r="Y63" s="104">
        <f t="shared" si="16"/>
        <v>0</v>
      </c>
      <c r="Z63" s="104">
        <f t="shared" si="16"/>
        <v>0</v>
      </c>
      <c r="AA63" s="104">
        <f t="shared" si="16"/>
        <v>0</v>
      </c>
      <c r="AB63" s="104">
        <f t="shared" si="16"/>
        <v>0</v>
      </c>
      <c r="AC63" s="104">
        <f t="shared" si="16"/>
        <v>0</v>
      </c>
      <c r="AD63" s="104">
        <f t="shared" si="16"/>
        <v>0</v>
      </c>
      <c r="AE63" s="104">
        <f t="shared" si="16"/>
        <v>0</v>
      </c>
      <c r="AF63" s="98"/>
      <c r="AG63" s="99">
        <f t="shared" si="1"/>
        <v>0</v>
      </c>
    </row>
    <row r="64" spans="1:38" x14ac:dyDescent="0.3">
      <c r="A64" s="103" t="s">
        <v>33</v>
      </c>
      <c r="B64" s="104">
        <f>B70+B76+B79</f>
        <v>70650.039099999995</v>
      </c>
      <c r="C64" s="104">
        <f>C70+C76+C79</f>
        <v>70650.039099999995</v>
      </c>
      <c r="D64" s="104">
        <f>D70+D76+D79</f>
        <v>58711.130000000005</v>
      </c>
      <c r="E64" s="104">
        <f>E70+E76+E79</f>
        <v>58711.130000000005</v>
      </c>
      <c r="F64" s="104">
        <f>IFERROR(E64/B64*100,0)</f>
        <v>83.101341128627922</v>
      </c>
      <c r="G64" s="104">
        <f>IFERROR(E64/C64*100,0)</f>
        <v>83.101341128627922</v>
      </c>
      <c r="H64" s="104">
        <f>H70+H76+H82</f>
        <v>2796.47379</v>
      </c>
      <c r="I64" s="104">
        <f t="shared" ref="I64:AE64" si="18">I70+I76+I82</f>
        <v>946.54</v>
      </c>
      <c r="J64" s="104">
        <f t="shared" si="18"/>
        <v>6573.9023099999995</v>
      </c>
      <c r="K64" s="104">
        <f t="shared" si="18"/>
        <v>6387.9299999999994</v>
      </c>
      <c r="L64" s="104">
        <f t="shared" si="18"/>
        <v>4574.5035900000003</v>
      </c>
      <c r="M64" s="104">
        <f t="shared" si="18"/>
        <v>6591.97</v>
      </c>
      <c r="N64" s="104">
        <f t="shared" si="18"/>
        <v>8943.8677200000002</v>
      </c>
      <c r="O64" s="104">
        <f t="shared" si="18"/>
        <v>6593.8499999999995</v>
      </c>
      <c r="P64" s="104">
        <f t="shared" si="18"/>
        <v>11501.86197</v>
      </c>
      <c r="Q64" s="104">
        <f t="shared" si="18"/>
        <v>7126.49</v>
      </c>
      <c r="R64" s="104">
        <f t="shared" si="18"/>
        <v>3781.6400000000003</v>
      </c>
      <c r="S64" s="104">
        <f t="shared" si="18"/>
        <v>5459.49</v>
      </c>
      <c r="T64" s="104">
        <f t="shared" si="18"/>
        <v>1342.6560999999999</v>
      </c>
      <c r="U64" s="104">
        <f t="shared" si="18"/>
        <v>625.11</v>
      </c>
      <c r="V64" s="104">
        <f t="shared" si="18"/>
        <v>3677.4779600000002</v>
      </c>
      <c r="W64" s="104">
        <f t="shared" si="18"/>
        <v>3778.46</v>
      </c>
      <c r="X64" s="104">
        <f t="shared" si="18"/>
        <v>4517.2937999999995</v>
      </c>
      <c r="Y64" s="104">
        <f t="shared" si="18"/>
        <v>815.6</v>
      </c>
      <c r="Z64" s="104">
        <f t="shared" si="18"/>
        <v>3761.65616</v>
      </c>
      <c r="AA64" s="104">
        <f t="shared" si="18"/>
        <v>5527.11</v>
      </c>
      <c r="AB64" s="104">
        <f t="shared" si="18"/>
        <v>2664.1743700000002</v>
      </c>
      <c r="AC64" s="104">
        <f t="shared" si="18"/>
        <v>5945.91</v>
      </c>
      <c r="AD64" s="104">
        <f t="shared" si="18"/>
        <v>16514.531330000002</v>
      </c>
      <c r="AE64" s="104">
        <f t="shared" si="18"/>
        <v>8912.67</v>
      </c>
      <c r="AF64" s="98"/>
      <c r="AG64" s="99">
        <f t="shared" si="1"/>
        <v>0</v>
      </c>
    </row>
    <row r="65" spans="1:33" x14ac:dyDescent="0.3">
      <c r="A65" s="103" t="s">
        <v>170</v>
      </c>
      <c r="B65" s="104">
        <f t="shared" si="17"/>
        <v>0</v>
      </c>
      <c r="C65" s="104">
        <f t="shared" si="17"/>
        <v>0</v>
      </c>
      <c r="D65" s="104">
        <f t="shared" si="17"/>
        <v>0</v>
      </c>
      <c r="E65" s="104">
        <f t="shared" si="17"/>
        <v>0</v>
      </c>
      <c r="F65" s="104">
        <f>IFERROR(E65/B65*100,0)</f>
        <v>0</v>
      </c>
      <c r="G65" s="104">
        <f>IFERROR(E65/C65*100,0)</f>
        <v>0</v>
      </c>
      <c r="H65" s="104">
        <f t="shared" si="16"/>
        <v>0</v>
      </c>
      <c r="I65" s="104">
        <f t="shared" si="16"/>
        <v>0</v>
      </c>
      <c r="J65" s="104">
        <f t="shared" si="16"/>
        <v>0</v>
      </c>
      <c r="K65" s="104">
        <f t="shared" si="16"/>
        <v>0</v>
      </c>
      <c r="L65" s="104">
        <f t="shared" si="16"/>
        <v>0</v>
      </c>
      <c r="M65" s="104">
        <f t="shared" si="16"/>
        <v>0</v>
      </c>
      <c r="N65" s="104">
        <f t="shared" si="16"/>
        <v>0</v>
      </c>
      <c r="O65" s="104">
        <f t="shared" si="16"/>
        <v>0</v>
      </c>
      <c r="P65" s="104">
        <f t="shared" si="16"/>
        <v>0</v>
      </c>
      <c r="Q65" s="104">
        <f t="shared" si="16"/>
        <v>0</v>
      </c>
      <c r="R65" s="104">
        <f t="shared" si="16"/>
        <v>0</v>
      </c>
      <c r="S65" s="104">
        <f t="shared" si="16"/>
        <v>0</v>
      </c>
      <c r="T65" s="104">
        <f t="shared" si="16"/>
        <v>0</v>
      </c>
      <c r="U65" s="104">
        <f t="shared" si="16"/>
        <v>0</v>
      </c>
      <c r="V65" s="104">
        <f t="shared" si="16"/>
        <v>0</v>
      </c>
      <c r="W65" s="104">
        <f t="shared" si="16"/>
        <v>0</v>
      </c>
      <c r="X65" s="104">
        <f t="shared" si="16"/>
        <v>0</v>
      </c>
      <c r="Y65" s="104">
        <f t="shared" si="16"/>
        <v>0</v>
      </c>
      <c r="Z65" s="104">
        <f t="shared" si="16"/>
        <v>0</v>
      </c>
      <c r="AA65" s="104">
        <f t="shared" si="16"/>
        <v>0</v>
      </c>
      <c r="AB65" s="104">
        <f t="shared" si="16"/>
        <v>0</v>
      </c>
      <c r="AC65" s="104">
        <f t="shared" si="16"/>
        <v>0</v>
      </c>
      <c r="AD65" s="104">
        <f t="shared" si="16"/>
        <v>0</v>
      </c>
      <c r="AE65" s="104">
        <f t="shared" si="16"/>
        <v>0</v>
      </c>
      <c r="AF65" s="98"/>
      <c r="AG65" s="99">
        <f t="shared" si="1"/>
        <v>0</v>
      </c>
    </row>
    <row r="66" spans="1:33" ht="120" customHeight="1" x14ac:dyDescent="0.3">
      <c r="A66" s="713" t="s">
        <v>281</v>
      </c>
      <c r="B66" s="594"/>
      <c r="C66" s="107"/>
      <c r="D66" s="107"/>
      <c r="E66" s="107"/>
      <c r="F66" s="107"/>
      <c r="G66" s="107"/>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500" t="s">
        <v>599</v>
      </c>
      <c r="AG66" s="99">
        <f t="shared" si="1"/>
        <v>0</v>
      </c>
    </row>
    <row r="67" spans="1:33" s="589" customFormat="1" x14ac:dyDescent="0.3">
      <c r="A67" s="590" t="s">
        <v>31</v>
      </c>
      <c r="B67" s="591">
        <f>B69+B70+B68+B71</f>
        <v>11464.339099999999</v>
      </c>
      <c r="C67" s="718">
        <f>C69+C70+C68+C71</f>
        <v>11464.339099999997</v>
      </c>
      <c r="D67" s="718">
        <f>D69+D70+D68+D71</f>
        <v>11464.33</v>
      </c>
      <c r="E67" s="718">
        <f>E69+E70+E68+E71</f>
        <v>11464.33</v>
      </c>
      <c r="F67" s="718">
        <f>IFERROR(E67/B67*100,0)</f>
        <v>99.999920623422597</v>
      </c>
      <c r="G67" s="718">
        <f>IFERROR(E67/C67*100,0)</f>
        <v>99.999920623422611</v>
      </c>
      <c r="H67" s="718">
        <f t="shared" ref="H67:AE67" si="19">H69+H70+H68+H71</f>
        <v>946.57493999999997</v>
      </c>
      <c r="I67" s="718">
        <f t="shared" si="19"/>
        <v>946.54</v>
      </c>
      <c r="J67" s="718">
        <f t="shared" si="19"/>
        <v>1710.0039999999999</v>
      </c>
      <c r="K67" s="718">
        <f t="shared" si="19"/>
        <v>1750.03</v>
      </c>
      <c r="L67" s="591">
        <f t="shared" si="19"/>
        <v>1025.9739999999999</v>
      </c>
      <c r="M67" s="591">
        <f t="shared" si="19"/>
        <v>1033.95</v>
      </c>
      <c r="N67" s="591">
        <f t="shared" si="19"/>
        <v>904.51700000000005</v>
      </c>
      <c r="O67" s="591">
        <f t="shared" si="19"/>
        <v>913.7</v>
      </c>
      <c r="P67" s="591">
        <f t="shared" si="19"/>
        <v>1652.5519999999999</v>
      </c>
      <c r="Q67" s="591">
        <f t="shared" si="19"/>
        <v>1939.31</v>
      </c>
      <c r="R67" s="718">
        <f t="shared" si="19"/>
        <v>1289.2149999999999</v>
      </c>
      <c r="S67" s="591">
        <f t="shared" si="19"/>
        <v>1687.68</v>
      </c>
      <c r="T67" s="591">
        <f t="shared" si="19"/>
        <v>286.33</v>
      </c>
      <c r="U67" s="591">
        <f t="shared" si="19"/>
        <v>75.349999999999994</v>
      </c>
      <c r="V67" s="591">
        <f t="shared" si="19"/>
        <v>531.39558999999997</v>
      </c>
      <c r="W67" s="591">
        <f t="shared" si="19"/>
        <v>680.06</v>
      </c>
      <c r="X67" s="591">
        <f t="shared" si="19"/>
        <v>1495.65699</v>
      </c>
      <c r="Y67" s="591">
        <f t="shared" si="19"/>
        <v>815.6</v>
      </c>
      <c r="Z67" s="591">
        <f t="shared" si="19"/>
        <v>540.61378999999999</v>
      </c>
      <c r="AA67" s="591">
        <f t="shared" si="19"/>
        <v>540.61</v>
      </c>
      <c r="AB67" s="591">
        <f t="shared" si="19"/>
        <v>540.61478999999997</v>
      </c>
      <c r="AC67" s="591">
        <f t="shared" si="19"/>
        <v>540.61</v>
      </c>
      <c r="AD67" s="718">
        <f t="shared" si="19"/>
        <v>540.89099999999996</v>
      </c>
      <c r="AE67" s="591">
        <f t="shared" si="19"/>
        <v>540.89</v>
      </c>
      <c r="AF67" s="587"/>
      <c r="AG67" s="588">
        <f t="shared" si="1"/>
        <v>-1.5916157281026244E-12</v>
      </c>
    </row>
    <row r="68" spans="1:33" x14ac:dyDescent="0.3">
      <c r="A68" s="593" t="s">
        <v>169</v>
      </c>
      <c r="B68" s="594">
        <f>J68+L68+N68+P68+R68+T68+V68+X68+Z68+AB68+AD68+H68</f>
        <v>0</v>
      </c>
      <c r="C68" s="114">
        <f>SUM(H68)</f>
        <v>0</v>
      </c>
      <c r="D68" s="115">
        <f>E68</f>
        <v>0</v>
      </c>
      <c r="E68" s="114">
        <f>SUM(I68,K68,M68,O68,Q68,S68,U68,W68,Y68,AA68,AC68,AE68)</f>
        <v>0</v>
      </c>
      <c r="F68" s="113"/>
      <c r="G68" s="113"/>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29"/>
      <c r="AG68" s="99">
        <f t="shared" si="1"/>
        <v>0</v>
      </c>
    </row>
    <row r="69" spans="1:33" x14ac:dyDescent="0.3">
      <c r="A69" s="593" t="s">
        <v>32</v>
      </c>
      <c r="B69" s="594">
        <f>J69+L69+N69+P69+R69+T69+V69+X69+Z69+AB69+AD69+H69</f>
        <v>0</v>
      </c>
      <c r="C69" s="114">
        <f>SUM(H69)</f>
        <v>0</v>
      </c>
      <c r="D69" s="115">
        <f>E69</f>
        <v>0</v>
      </c>
      <c r="E69" s="114">
        <f>SUM(I69,K69,M69,O69,Q69,S69,U69,W69,Y69,AA69,AC69,AE69)</f>
        <v>0</v>
      </c>
      <c r="F69" s="113"/>
      <c r="G69" s="113"/>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29"/>
      <c r="AG69" s="99">
        <f t="shared" si="1"/>
        <v>0</v>
      </c>
    </row>
    <row r="70" spans="1:33" s="589" customFormat="1" x14ac:dyDescent="0.3">
      <c r="A70" s="593" t="s">
        <v>33</v>
      </c>
      <c r="B70" s="594">
        <f>J70+L70+N70+P70+R70+T70+V70+X70+Z70+AB70+AD70+H70</f>
        <v>11464.339099999999</v>
      </c>
      <c r="C70" s="712">
        <f>H70+J70+L70+N70+P70+R70+T70+V70+X70+Z70+AB70+AD70</f>
        <v>11464.339099999997</v>
      </c>
      <c r="D70" s="715">
        <f>E70</f>
        <v>11464.33</v>
      </c>
      <c r="E70" s="712">
        <f>SUM(I70,K70,M70,O70,Q70,S70,U70,W70,Y70,AA70,AC70,AE70)</f>
        <v>11464.33</v>
      </c>
      <c r="F70" s="594">
        <f>IFERROR(E70/B70*100,0)</f>
        <v>99.999920623422597</v>
      </c>
      <c r="G70" s="594">
        <f>IFERROR(E70/C70*100,0)</f>
        <v>99.999920623422611</v>
      </c>
      <c r="H70" s="499">
        <v>946.57493999999997</v>
      </c>
      <c r="I70" s="499">
        <v>946.54</v>
      </c>
      <c r="J70" s="499">
        <v>1710.0039999999999</v>
      </c>
      <c r="K70" s="499">
        <v>1750.03</v>
      </c>
      <c r="L70" s="499">
        <v>1025.9739999999999</v>
      </c>
      <c r="M70" s="499">
        <v>1033.95</v>
      </c>
      <c r="N70" s="499">
        <v>904.51700000000005</v>
      </c>
      <c r="O70" s="499">
        <v>913.7</v>
      </c>
      <c r="P70" s="499">
        <v>1652.5519999999999</v>
      </c>
      <c r="Q70" s="499">
        <v>1939.31</v>
      </c>
      <c r="R70" s="499">
        <v>1289.2149999999999</v>
      </c>
      <c r="S70" s="499">
        <v>1687.68</v>
      </c>
      <c r="T70" s="499">
        <v>286.33</v>
      </c>
      <c r="U70" s="499">
        <v>75.349999999999994</v>
      </c>
      <c r="V70" s="499">
        <v>531.39558999999997</v>
      </c>
      <c r="W70" s="499">
        <v>680.06</v>
      </c>
      <c r="X70" s="499">
        <v>1495.65699</v>
      </c>
      <c r="Y70" s="499">
        <f>747.69+67.91</f>
        <v>815.6</v>
      </c>
      <c r="Z70" s="499">
        <v>540.61378999999999</v>
      </c>
      <c r="AA70" s="499">
        <v>540.61</v>
      </c>
      <c r="AB70" s="499">
        <v>540.61478999999997</v>
      </c>
      <c r="AC70" s="499">
        <v>540.61</v>
      </c>
      <c r="AD70" s="499">
        <v>540.89099999999996</v>
      </c>
      <c r="AE70" s="499">
        <v>540.89</v>
      </c>
      <c r="AF70" s="587"/>
      <c r="AG70" s="588">
        <f t="shared" si="1"/>
        <v>-1.5916157281026244E-12</v>
      </c>
    </row>
    <row r="71" spans="1:33" x14ac:dyDescent="0.3">
      <c r="A71" s="112" t="s">
        <v>170</v>
      </c>
      <c r="B71" s="113"/>
      <c r="C71" s="114"/>
      <c r="D71" s="115"/>
      <c r="E71" s="114"/>
      <c r="F71" s="113"/>
      <c r="G71" s="113"/>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29"/>
      <c r="AG71" s="99">
        <f t="shared" si="1"/>
        <v>0</v>
      </c>
    </row>
    <row r="72" spans="1:33" ht="87" customHeight="1" x14ac:dyDescent="0.3">
      <c r="A72" s="713" t="s">
        <v>282</v>
      </c>
      <c r="B72" s="594"/>
      <c r="C72" s="107"/>
      <c r="D72" s="107"/>
      <c r="E72" s="107"/>
      <c r="F72" s="107"/>
      <c r="G72" s="107"/>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29"/>
      <c r="AG72" s="99">
        <f t="shared" si="1"/>
        <v>0</v>
      </c>
    </row>
    <row r="73" spans="1:33" s="589" customFormat="1" x14ac:dyDescent="0.3">
      <c r="A73" s="590" t="s">
        <v>31</v>
      </c>
      <c r="B73" s="591">
        <f>B75+B76+B74+B77</f>
        <v>56087.3</v>
      </c>
      <c r="C73" s="718">
        <f>C75+C76+C74+C77</f>
        <v>56087.3</v>
      </c>
      <c r="D73" s="718">
        <f>D75+D76+D74+D77</f>
        <v>44148.4</v>
      </c>
      <c r="E73" s="718">
        <f>E75+E76+E74+E77</f>
        <v>44148.4</v>
      </c>
      <c r="F73" s="718">
        <f>IFERROR(E73/B73*100,0)</f>
        <v>78.713719505128608</v>
      </c>
      <c r="G73" s="718">
        <f>IFERROR(E73/C73*100,0)</f>
        <v>78.713719505128608</v>
      </c>
      <c r="H73" s="718">
        <f t="shared" ref="H73:AE73" si="20">H75+H76+H74+H77</f>
        <v>1849.89885</v>
      </c>
      <c r="I73" s="718">
        <f t="shared" si="20"/>
        <v>0</v>
      </c>
      <c r="J73" s="718">
        <f t="shared" si="20"/>
        <v>4863.8983099999996</v>
      </c>
      <c r="K73" s="718">
        <f t="shared" si="20"/>
        <v>4637.8999999999996</v>
      </c>
      <c r="L73" s="718">
        <f t="shared" si="20"/>
        <v>3548.5295900000001</v>
      </c>
      <c r="M73" s="718">
        <f>M75+M76+M74+M77</f>
        <v>5558.02</v>
      </c>
      <c r="N73" s="718">
        <f t="shared" si="20"/>
        <v>8039.3507200000004</v>
      </c>
      <c r="O73" s="718">
        <f t="shared" si="20"/>
        <v>5680.15</v>
      </c>
      <c r="P73" s="718">
        <f t="shared" si="20"/>
        <v>9849.3099700000002</v>
      </c>
      <c r="Q73" s="718">
        <f t="shared" si="20"/>
        <v>5187.18</v>
      </c>
      <c r="R73" s="718">
        <f t="shared" si="20"/>
        <v>2492.4250000000002</v>
      </c>
      <c r="S73" s="718">
        <f t="shared" si="20"/>
        <v>3771.81</v>
      </c>
      <c r="T73" s="718">
        <f t="shared" si="20"/>
        <v>1056.3261</v>
      </c>
      <c r="U73" s="718">
        <f t="shared" si="20"/>
        <v>549.76</v>
      </c>
      <c r="V73" s="591">
        <f t="shared" si="20"/>
        <v>47.682369999999999</v>
      </c>
      <c r="W73" s="591">
        <f t="shared" si="20"/>
        <v>0</v>
      </c>
      <c r="X73" s="591">
        <f t="shared" si="20"/>
        <v>3021.63681</v>
      </c>
      <c r="Y73" s="591">
        <f t="shared" si="20"/>
        <v>0</v>
      </c>
      <c r="Z73" s="591">
        <f t="shared" si="20"/>
        <v>3221.0423700000001</v>
      </c>
      <c r="AA73" s="591">
        <f t="shared" si="20"/>
        <v>4986.5</v>
      </c>
      <c r="AB73" s="591">
        <f t="shared" si="20"/>
        <v>2123.5595800000001</v>
      </c>
      <c r="AC73" s="591">
        <f t="shared" si="20"/>
        <v>5405.3</v>
      </c>
      <c r="AD73" s="718">
        <f t="shared" si="20"/>
        <v>15973.64033</v>
      </c>
      <c r="AE73" s="591">
        <f t="shared" si="20"/>
        <v>8371.7800000000007</v>
      </c>
      <c r="AF73" s="587"/>
      <c r="AG73" s="588">
        <f t="shared" si="1"/>
        <v>0</v>
      </c>
    </row>
    <row r="74" spans="1:33" s="589" customFormat="1" x14ac:dyDescent="0.3">
      <c r="A74" s="593" t="s">
        <v>169</v>
      </c>
      <c r="B74" s="594">
        <f>J74+L74+N74+P74+R74+T74+V74+X74+Z74+AB74+AD74+H74</f>
        <v>0</v>
      </c>
      <c r="C74" s="712">
        <f>SUM(H74)</f>
        <v>0</v>
      </c>
      <c r="D74" s="715">
        <f>E74</f>
        <v>0</v>
      </c>
      <c r="E74" s="712">
        <f>SUM(I74,K74,M74,O74,Q74,S74,U74,W74,Y74,AA74,AC74,AE74)</f>
        <v>0</v>
      </c>
      <c r="F74" s="594"/>
      <c r="G74" s="594"/>
      <c r="H74" s="499"/>
      <c r="I74" s="499"/>
      <c r="J74" s="499"/>
      <c r="K74" s="499"/>
      <c r="L74" s="499"/>
      <c r="M74" s="499"/>
      <c r="N74" s="499"/>
      <c r="O74" s="499"/>
      <c r="P74" s="499"/>
      <c r="Q74" s="499"/>
      <c r="R74" s="499"/>
      <c r="S74" s="499"/>
      <c r="T74" s="499"/>
      <c r="U74" s="499"/>
      <c r="V74" s="499"/>
      <c r="W74" s="499"/>
      <c r="X74" s="499"/>
      <c r="Y74" s="499"/>
      <c r="Z74" s="499"/>
      <c r="AA74" s="499"/>
      <c r="AB74" s="499"/>
      <c r="AC74" s="499"/>
      <c r="AD74" s="499"/>
      <c r="AE74" s="499"/>
      <c r="AF74" s="587"/>
      <c r="AG74" s="588">
        <f t="shared" si="1"/>
        <v>0</v>
      </c>
    </row>
    <row r="75" spans="1:33" s="589" customFormat="1" x14ac:dyDescent="0.3">
      <c r="A75" s="593" t="s">
        <v>32</v>
      </c>
      <c r="B75" s="594">
        <f>J75+L75+N75+P75+R75+T75+V75+X75+Z75+AB75+AD75+H75</f>
        <v>0</v>
      </c>
      <c r="C75" s="712">
        <f>SUM(H75)</f>
        <v>0</v>
      </c>
      <c r="D75" s="715">
        <f>E75</f>
        <v>0</v>
      </c>
      <c r="E75" s="712">
        <f>SUM(I75,K75,M75,O75,Q75,S75,U75,W75,Y75,AA75,AC75,AE75)</f>
        <v>0</v>
      </c>
      <c r="F75" s="594"/>
      <c r="G75" s="594"/>
      <c r="H75" s="499"/>
      <c r="I75" s="499"/>
      <c r="J75" s="499"/>
      <c r="K75" s="499"/>
      <c r="L75" s="499"/>
      <c r="M75" s="499"/>
      <c r="N75" s="499"/>
      <c r="O75" s="499"/>
      <c r="P75" s="499"/>
      <c r="Q75" s="499"/>
      <c r="R75" s="499"/>
      <c r="S75" s="499"/>
      <c r="T75" s="499"/>
      <c r="U75" s="499"/>
      <c r="V75" s="499"/>
      <c r="W75" s="499"/>
      <c r="X75" s="499"/>
      <c r="Y75" s="499"/>
      <c r="Z75" s="499"/>
      <c r="AA75" s="499"/>
      <c r="AB75" s="499"/>
      <c r="AC75" s="499"/>
      <c r="AD75" s="499"/>
      <c r="AE75" s="499"/>
      <c r="AF75" s="587"/>
      <c r="AG75" s="588">
        <f t="shared" si="1"/>
        <v>0</v>
      </c>
    </row>
    <row r="76" spans="1:33" s="589" customFormat="1" x14ac:dyDescent="0.3">
      <c r="A76" s="593" t="s">
        <v>33</v>
      </c>
      <c r="B76" s="594">
        <f>J76+L76+N76+P76+R76+T76+V76+X76+Z76+AB76+AD76+H76</f>
        <v>56087.3</v>
      </c>
      <c r="C76" s="712">
        <f>H76+J76+L76+N76+P76+R76+T76+V76+X76+Z76+AB76+AD76</f>
        <v>56087.3</v>
      </c>
      <c r="D76" s="715">
        <f>E76</f>
        <v>44148.4</v>
      </c>
      <c r="E76" s="712">
        <f>SUM(I76,K76,M76,O76,Q76,S76,U76,W76,Y76,AA76,AC76,AE76)</f>
        <v>44148.4</v>
      </c>
      <c r="F76" s="594">
        <f>IFERROR(E76/B76*100,0)</f>
        <v>78.713719505128608</v>
      </c>
      <c r="G76" s="594">
        <f>IFERROR(E76/C76*100,0)</f>
        <v>78.713719505128608</v>
      </c>
      <c r="H76" s="499">
        <v>1849.89885</v>
      </c>
      <c r="I76" s="499"/>
      <c r="J76" s="499">
        <v>4863.8983099999996</v>
      </c>
      <c r="K76" s="499">
        <v>4637.8999999999996</v>
      </c>
      <c r="L76" s="499">
        <v>3548.5295900000001</v>
      </c>
      <c r="M76" s="499">
        <v>5558.02</v>
      </c>
      <c r="N76" s="499">
        <v>8039.3507200000004</v>
      </c>
      <c r="O76" s="499">
        <v>5680.15</v>
      </c>
      <c r="P76" s="499">
        <v>9849.3099700000002</v>
      </c>
      <c r="Q76" s="499">
        <v>5187.18</v>
      </c>
      <c r="R76" s="499">
        <v>2492.4250000000002</v>
      </c>
      <c r="S76" s="499">
        <f>4046.69-274.88</f>
        <v>3771.81</v>
      </c>
      <c r="T76" s="499">
        <v>1056.3261</v>
      </c>
      <c r="U76" s="499">
        <v>549.76</v>
      </c>
      <c r="V76" s="499">
        <v>47.682369999999999</v>
      </c>
      <c r="W76" s="499"/>
      <c r="X76" s="499">
        <v>3021.63681</v>
      </c>
      <c r="Y76" s="499"/>
      <c r="Z76" s="499">
        <v>3221.0423700000001</v>
      </c>
      <c r="AA76" s="499">
        <v>4986.5</v>
      </c>
      <c r="AB76" s="499">
        <v>2123.5595800000001</v>
      </c>
      <c r="AC76" s="499">
        <v>5405.3</v>
      </c>
      <c r="AD76" s="499">
        <v>15973.64033</v>
      </c>
      <c r="AE76" s="499">
        <v>8371.7800000000007</v>
      </c>
      <c r="AF76" s="587"/>
      <c r="AG76" s="588">
        <f t="shared" si="1"/>
        <v>0</v>
      </c>
    </row>
    <row r="77" spans="1:33" x14ac:dyDescent="0.3">
      <c r="A77" s="112" t="s">
        <v>170</v>
      </c>
      <c r="B77" s="113"/>
      <c r="C77" s="114"/>
      <c r="D77" s="115"/>
      <c r="E77" s="114"/>
      <c r="F77" s="113"/>
      <c r="G77" s="113"/>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29"/>
      <c r="AG77" s="99">
        <f t="shared" si="1"/>
        <v>0</v>
      </c>
    </row>
    <row r="78" spans="1:33" ht="65.25" customHeight="1" x14ac:dyDescent="0.3">
      <c r="A78" s="713" t="s">
        <v>693</v>
      </c>
      <c r="B78" s="594"/>
      <c r="C78" s="107"/>
      <c r="D78" s="107"/>
      <c r="E78" s="107"/>
      <c r="F78" s="107"/>
      <c r="G78" s="107"/>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29"/>
      <c r="AG78" s="99">
        <f t="shared" ref="AG78:AG83" si="21">B78-H78-J78-L78-N78-P78-R78-T78-V78-X78-Z78-AB78-AD78</f>
        <v>0</v>
      </c>
    </row>
    <row r="79" spans="1:33" s="589" customFormat="1" x14ac:dyDescent="0.3">
      <c r="A79" s="590" t="s">
        <v>31</v>
      </c>
      <c r="B79" s="591">
        <f>B81+B82+B80+B83</f>
        <v>3098.4</v>
      </c>
      <c r="C79" s="718">
        <f>C81+C82+C80+C83</f>
        <v>3098.4</v>
      </c>
      <c r="D79" s="718">
        <f>D81+D82+D80+D83</f>
        <v>3098.4</v>
      </c>
      <c r="E79" s="718">
        <f>E81+E82+E80+E83</f>
        <v>3098.4</v>
      </c>
      <c r="F79" s="718">
        <f>IFERROR(E79/B79*100,0)</f>
        <v>100</v>
      </c>
      <c r="G79" s="718">
        <f>IFERROR(E79/C79*100,0)</f>
        <v>100</v>
      </c>
      <c r="H79" s="718">
        <f t="shared" ref="H79:L79" si="22">H81+H82+H80+H83</f>
        <v>0</v>
      </c>
      <c r="I79" s="718">
        <f t="shared" si="22"/>
        <v>0</v>
      </c>
      <c r="J79" s="718">
        <f t="shared" si="22"/>
        <v>0</v>
      </c>
      <c r="K79" s="718">
        <f t="shared" si="22"/>
        <v>0</v>
      </c>
      <c r="L79" s="718">
        <f t="shared" si="22"/>
        <v>0</v>
      </c>
      <c r="M79" s="718">
        <f>M81+M82+M80+M83</f>
        <v>0</v>
      </c>
      <c r="N79" s="718">
        <f t="shared" ref="N79:AE79" si="23">N81+N82+N80+N83</f>
        <v>0</v>
      </c>
      <c r="O79" s="718">
        <f t="shared" si="23"/>
        <v>0</v>
      </c>
      <c r="P79" s="718">
        <f t="shared" si="23"/>
        <v>0</v>
      </c>
      <c r="Q79" s="718">
        <f t="shared" si="23"/>
        <v>0</v>
      </c>
      <c r="R79" s="718">
        <f t="shared" si="23"/>
        <v>0</v>
      </c>
      <c r="S79" s="718">
        <f t="shared" si="23"/>
        <v>0</v>
      </c>
      <c r="T79" s="718">
        <f t="shared" si="23"/>
        <v>0</v>
      </c>
      <c r="U79" s="718">
        <f t="shared" si="23"/>
        <v>0</v>
      </c>
      <c r="V79" s="591">
        <f t="shared" si="23"/>
        <v>3098.4</v>
      </c>
      <c r="W79" s="591">
        <f t="shared" si="23"/>
        <v>3098.4</v>
      </c>
      <c r="X79" s="591">
        <f t="shared" si="23"/>
        <v>0</v>
      </c>
      <c r="Y79" s="591">
        <f t="shared" si="23"/>
        <v>0</v>
      </c>
      <c r="Z79" s="591">
        <f t="shared" si="23"/>
        <v>0</v>
      </c>
      <c r="AA79" s="591">
        <f t="shared" si="23"/>
        <v>0</v>
      </c>
      <c r="AB79" s="591">
        <f t="shared" si="23"/>
        <v>0</v>
      </c>
      <c r="AC79" s="591">
        <f t="shared" si="23"/>
        <v>0</v>
      </c>
      <c r="AD79" s="718">
        <f t="shared" si="23"/>
        <v>0</v>
      </c>
      <c r="AE79" s="591">
        <f t="shared" si="23"/>
        <v>0</v>
      </c>
      <c r="AF79" s="587"/>
      <c r="AG79" s="588">
        <f t="shared" si="21"/>
        <v>0</v>
      </c>
    </row>
    <row r="80" spans="1:33" s="589" customFormat="1" x14ac:dyDescent="0.3">
      <c r="A80" s="593" t="s">
        <v>169</v>
      </c>
      <c r="B80" s="594">
        <f>J80+L80+N80+P80+R80+T80+V80+X80+Z80+AB80+AD80+H80</f>
        <v>0</v>
      </c>
      <c r="C80" s="712">
        <f>SUM(H80)</f>
        <v>0</v>
      </c>
      <c r="D80" s="715">
        <f>E80</f>
        <v>0</v>
      </c>
      <c r="E80" s="712">
        <f>SUM(I80,K80,M80,O80,Q80,S80,U80,W80,Y80,AA80,AC80,AE80)</f>
        <v>0</v>
      </c>
      <c r="F80" s="594"/>
      <c r="G80" s="594"/>
      <c r="H80" s="499"/>
      <c r="I80" s="499"/>
      <c r="J80" s="499"/>
      <c r="K80" s="499"/>
      <c r="L80" s="499"/>
      <c r="M80" s="499"/>
      <c r="N80" s="499"/>
      <c r="O80" s="499"/>
      <c r="P80" s="499"/>
      <c r="Q80" s="499"/>
      <c r="R80" s="499"/>
      <c r="S80" s="499"/>
      <c r="T80" s="499"/>
      <c r="U80" s="499"/>
      <c r="V80" s="499"/>
      <c r="W80" s="499"/>
      <c r="X80" s="499"/>
      <c r="Y80" s="499"/>
      <c r="Z80" s="499"/>
      <c r="AA80" s="499"/>
      <c r="AB80" s="499"/>
      <c r="AC80" s="499"/>
      <c r="AD80" s="499"/>
      <c r="AE80" s="499"/>
      <c r="AF80" s="587"/>
      <c r="AG80" s="588">
        <f t="shared" si="21"/>
        <v>0</v>
      </c>
    </row>
    <row r="81" spans="1:33" s="589" customFormat="1" x14ac:dyDescent="0.3">
      <c r="A81" s="593" t="s">
        <v>32</v>
      </c>
      <c r="B81" s="594">
        <f>J81+L81+N81+P81+R81+T81+V81+X81+Z81+AB81+AD81+H81</f>
        <v>0</v>
      </c>
      <c r="C81" s="712">
        <f>SUM(H81)</f>
        <v>0</v>
      </c>
      <c r="D81" s="715">
        <f>E81</f>
        <v>0</v>
      </c>
      <c r="E81" s="712">
        <f>SUM(I81,K81,M81,O81,Q81,S81,U81,W81,Y81,AA81,AC81,AE81)</f>
        <v>0</v>
      </c>
      <c r="F81" s="594"/>
      <c r="G81" s="594"/>
      <c r="H81" s="499"/>
      <c r="I81" s="499"/>
      <c r="J81" s="499"/>
      <c r="K81" s="499"/>
      <c r="L81" s="499"/>
      <c r="M81" s="499"/>
      <c r="N81" s="499"/>
      <c r="O81" s="499"/>
      <c r="P81" s="499"/>
      <c r="Q81" s="499"/>
      <c r="R81" s="499"/>
      <c r="S81" s="499"/>
      <c r="T81" s="499"/>
      <c r="U81" s="499"/>
      <c r="V81" s="499"/>
      <c r="W81" s="499"/>
      <c r="X81" s="499"/>
      <c r="Y81" s="499"/>
      <c r="Z81" s="499"/>
      <c r="AA81" s="499"/>
      <c r="AB81" s="499"/>
      <c r="AC81" s="499"/>
      <c r="AD81" s="499"/>
      <c r="AE81" s="499"/>
      <c r="AF81" s="587"/>
      <c r="AG81" s="588">
        <f t="shared" si="21"/>
        <v>0</v>
      </c>
    </row>
    <row r="82" spans="1:33" s="589" customFormat="1" x14ac:dyDescent="0.3">
      <c r="A82" s="593" t="s">
        <v>33</v>
      </c>
      <c r="B82" s="594">
        <f>J82+L82+N82+P82+R82+T82+V82+X82+Z82+AB82+AD82+H82</f>
        <v>3098.4</v>
      </c>
      <c r="C82" s="712">
        <f>H82+J82+L82+N82+P82+R82+T82+V82+X82+Z82+AB82+AD82</f>
        <v>3098.4</v>
      </c>
      <c r="D82" s="715">
        <f>E82</f>
        <v>3098.4</v>
      </c>
      <c r="E82" s="712">
        <f>SUM(I82,K82,M82,O82,Q82,S82,U82,W82,Y82,AA82,AC82,AE82)</f>
        <v>3098.4</v>
      </c>
      <c r="F82" s="594">
        <f>IFERROR(E82/B82*100,0)</f>
        <v>100</v>
      </c>
      <c r="G82" s="594">
        <f>IFERROR(E82/C82*100,0)</f>
        <v>100</v>
      </c>
      <c r="H82" s="499"/>
      <c r="I82" s="499"/>
      <c r="J82" s="499"/>
      <c r="K82" s="499"/>
      <c r="L82" s="499"/>
      <c r="M82" s="499"/>
      <c r="N82" s="499"/>
      <c r="O82" s="499"/>
      <c r="P82" s="499"/>
      <c r="Q82" s="499"/>
      <c r="R82" s="499"/>
      <c r="S82" s="499"/>
      <c r="T82" s="499"/>
      <c r="U82" s="499"/>
      <c r="V82" s="499">
        <v>3098.4</v>
      </c>
      <c r="W82" s="499">
        <v>3098.4</v>
      </c>
      <c r="X82" s="499"/>
      <c r="Y82" s="499"/>
      <c r="Z82" s="499"/>
      <c r="AA82" s="499"/>
      <c r="AB82" s="499"/>
      <c r="AC82" s="499"/>
      <c r="AD82" s="499"/>
      <c r="AE82" s="499"/>
      <c r="AF82" s="587"/>
      <c r="AG82" s="588">
        <f t="shared" si="21"/>
        <v>0</v>
      </c>
    </row>
    <row r="83" spans="1:33" x14ac:dyDescent="0.3">
      <c r="A83" s="112" t="s">
        <v>170</v>
      </c>
      <c r="B83" s="113"/>
      <c r="C83" s="114"/>
      <c r="D83" s="115"/>
      <c r="E83" s="114"/>
      <c r="F83" s="113"/>
      <c r="G83" s="113"/>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29"/>
      <c r="AG83" s="99">
        <f t="shared" si="21"/>
        <v>0</v>
      </c>
    </row>
    <row r="84" spans="1:33" ht="72" customHeight="1" x14ac:dyDescent="0.3">
      <c r="A84" s="121" t="s">
        <v>283</v>
      </c>
      <c r="B84" s="101"/>
      <c r="C84" s="724"/>
      <c r="D84" s="724"/>
      <c r="E84" s="724"/>
      <c r="F84" s="122"/>
      <c r="G84" s="122"/>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98"/>
      <c r="AG84" s="99">
        <f t="shared" si="1"/>
        <v>0</v>
      </c>
    </row>
    <row r="85" spans="1:33" x14ac:dyDescent="0.3">
      <c r="A85" s="125" t="s">
        <v>31</v>
      </c>
      <c r="B85" s="101">
        <f>B86+B87+B88+B89</f>
        <v>2835037.9698299998</v>
      </c>
      <c r="C85" s="724">
        <f>C86+C87+C88</f>
        <v>2823568.2998300004</v>
      </c>
      <c r="D85" s="724">
        <f>D86+D87+D88</f>
        <v>2787456.46</v>
      </c>
      <c r="E85" s="724">
        <f>E86+E87+E88</f>
        <v>2787456.46</v>
      </c>
      <c r="F85" s="102">
        <f>IFERROR(E85/B85*100,0)</f>
        <v>98.321662343278845</v>
      </c>
      <c r="G85" s="102">
        <f>IFERROR(E85/C85*100,0)</f>
        <v>98.721056620724397</v>
      </c>
      <c r="H85" s="101">
        <f>H86+H87+H88+H89</f>
        <v>217025.51916</v>
      </c>
      <c r="I85" s="101">
        <f t="shared" ref="I85:AE85" si="24">I86+I87+I88+I89</f>
        <v>90192.700000000012</v>
      </c>
      <c r="J85" s="101">
        <f t="shared" si="24"/>
        <v>289771.33732000005</v>
      </c>
      <c r="K85" s="101">
        <f t="shared" si="24"/>
        <v>253612.65</v>
      </c>
      <c r="L85" s="101">
        <f t="shared" si="24"/>
        <v>245546.04931999999</v>
      </c>
      <c r="M85" s="101">
        <f t="shared" si="24"/>
        <v>204906.37</v>
      </c>
      <c r="N85" s="101">
        <f t="shared" si="24"/>
        <v>287460.08027999999</v>
      </c>
      <c r="O85" s="101">
        <f t="shared" si="24"/>
        <v>224145.56</v>
      </c>
      <c r="P85" s="101">
        <f t="shared" si="24"/>
        <v>441681.89440999995</v>
      </c>
      <c r="Q85" s="101">
        <f t="shared" si="24"/>
        <v>438287.43</v>
      </c>
      <c r="R85" s="101">
        <f t="shared" si="24"/>
        <v>228100.71170000001</v>
      </c>
      <c r="S85" s="101">
        <f t="shared" si="24"/>
        <v>237794.31</v>
      </c>
      <c r="T85" s="101">
        <f t="shared" si="24"/>
        <v>184564.54723999999</v>
      </c>
      <c r="U85" s="101">
        <f t="shared" si="24"/>
        <v>161895.54999999999</v>
      </c>
      <c r="V85" s="101">
        <f t="shared" si="24"/>
        <v>121291.34078</v>
      </c>
      <c r="W85" s="101">
        <f t="shared" si="24"/>
        <v>118368.83</v>
      </c>
      <c r="X85" s="101">
        <f t="shared" si="24"/>
        <v>164142.83882</v>
      </c>
      <c r="Y85" s="101">
        <f t="shared" si="24"/>
        <v>134284.61000000002</v>
      </c>
      <c r="Z85" s="101">
        <f t="shared" si="24"/>
        <v>182574.25033000001</v>
      </c>
      <c r="AA85" s="101">
        <f t="shared" si="24"/>
        <v>285784.53000000003</v>
      </c>
      <c r="AB85" s="101">
        <f t="shared" si="24"/>
        <v>274320.49966000003</v>
      </c>
      <c r="AC85" s="101">
        <f t="shared" si="24"/>
        <v>198701.2</v>
      </c>
      <c r="AD85" s="101">
        <f t="shared" si="24"/>
        <v>198558.90081000002</v>
      </c>
      <c r="AE85" s="101">
        <f t="shared" si="24"/>
        <v>450952.38999999996</v>
      </c>
      <c r="AF85" s="98"/>
      <c r="AG85" s="99">
        <f t="shared" si="1"/>
        <v>-3.4924596548080444E-10</v>
      </c>
    </row>
    <row r="86" spans="1:33" x14ac:dyDescent="0.3">
      <c r="A86" s="126" t="s">
        <v>169</v>
      </c>
      <c r="B86" s="104">
        <f>J86+L86+N86+P86+R86+T86+V86+X86+Z86+AB86+AD86+H86</f>
        <v>83765.200000000012</v>
      </c>
      <c r="C86" s="725">
        <f>SUM(H86+J86+L86+N86+P86+R86+T86+V86+X86+Z86+AB86+AD86)</f>
        <v>83765.2</v>
      </c>
      <c r="D86" s="725">
        <f>E86</f>
        <v>83018.090000000011</v>
      </c>
      <c r="E86" s="725">
        <f>SUM(I86,K86,M86,O86,Q86,S86,U86,W86,Y86,AA86,AC86,AE86)</f>
        <v>83018.090000000011</v>
      </c>
      <c r="F86" s="104">
        <f>IFERROR(E86/B86*100,0)</f>
        <v>99.108090233175588</v>
      </c>
      <c r="G86" s="104">
        <f>IFERROR(E86/C86*100,0)</f>
        <v>99.108090233175602</v>
      </c>
      <c r="H86" s="104">
        <f t="shared" ref="H86:AE86" si="25">H92+H130+H136</f>
        <v>4031.41669</v>
      </c>
      <c r="I86" s="104">
        <f t="shared" si="25"/>
        <v>4012.3</v>
      </c>
      <c r="J86" s="104">
        <f t="shared" si="25"/>
        <v>3958.9883500000001</v>
      </c>
      <c r="K86" s="104">
        <f t="shared" si="25"/>
        <v>3924.3</v>
      </c>
      <c r="L86" s="104">
        <f t="shared" si="25"/>
        <v>4203.31513</v>
      </c>
      <c r="M86" s="104">
        <f t="shared" si="25"/>
        <v>4194.3999999999996</v>
      </c>
      <c r="N86" s="104">
        <f t="shared" si="25"/>
        <v>12161.47659</v>
      </c>
      <c r="O86" s="104">
        <f t="shared" si="25"/>
        <v>12067</v>
      </c>
      <c r="P86" s="104">
        <f t="shared" si="25"/>
        <v>13662.08482</v>
      </c>
      <c r="Q86" s="104">
        <f t="shared" si="25"/>
        <v>10239.700000000001</v>
      </c>
      <c r="R86" s="104">
        <f t="shared" si="25"/>
        <v>10024.978419999999</v>
      </c>
      <c r="S86" s="104">
        <f t="shared" si="25"/>
        <v>13604.5</v>
      </c>
      <c r="T86" s="104">
        <f t="shared" si="25"/>
        <v>522.71104000000003</v>
      </c>
      <c r="U86" s="104">
        <f t="shared" si="25"/>
        <v>2000</v>
      </c>
      <c r="V86" s="104">
        <f t="shared" si="25"/>
        <v>1863.3516500000001</v>
      </c>
      <c r="W86" s="104">
        <f t="shared" si="25"/>
        <v>386.32</v>
      </c>
      <c r="X86" s="104">
        <f t="shared" si="25"/>
        <v>12763.14165</v>
      </c>
      <c r="Y86" s="104">
        <f t="shared" si="25"/>
        <v>8162.3</v>
      </c>
      <c r="Z86" s="104">
        <f t="shared" si="25"/>
        <v>9447.3970699999991</v>
      </c>
      <c r="AA86" s="104">
        <f t="shared" si="25"/>
        <v>8204.01</v>
      </c>
      <c r="AB86" s="104">
        <f t="shared" si="25"/>
        <v>8549.0239199999996</v>
      </c>
      <c r="AC86" s="104">
        <f t="shared" si="25"/>
        <v>8068.18</v>
      </c>
      <c r="AD86" s="104">
        <f t="shared" si="25"/>
        <v>2577.3146700000007</v>
      </c>
      <c r="AE86" s="104">
        <f t="shared" si="25"/>
        <v>8155.08</v>
      </c>
      <c r="AF86" s="98"/>
      <c r="AG86" s="99">
        <f t="shared" si="1"/>
        <v>2.0918378140777349E-11</v>
      </c>
    </row>
    <row r="87" spans="1:33" x14ac:dyDescent="0.3">
      <c r="A87" s="126" t="s">
        <v>32</v>
      </c>
      <c r="B87" s="104">
        <f>J87+L87+N87+P87+R87+T87+V87+X87+Z87+AB87+AD87+H87</f>
        <v>2289650.3998299995</v>
      </c>
      <c r="C87" s="725">
        <f t="shared" ref="C87:C89" si="26">SUM(H87+J87+L87+N87+P87+R87+T87+V87+X87+Z87+AB87+AD87)</f>
        <v>2289650.39983</v>
      </c>
      <c r="D87" s="725">
        <f>E87</f>
        <v>2260088.9500000002</v>
      </c>
      <c r="E87" s="725">
        <f>SUM(I87,K87,M87,O87,Q87,S87,U87,W87,Y87,AA87,AC87,AE87)</f>
        <v>2260088.9500000002</v>
      </c>
      <c r="F87" s="104">
        <f>IFERROR(E87/B87*100,0)</f>
        <v>98.70890989156274</v>
      </c>
      <c r="G87" s="104">
        <f>IFERROR(E87/C87*100,0)</f>
        <v>98.708909891562712</v>
      </c>
      <c r="H87" s="104">
        <f>H93+H131+H137</f>
        <v>160097.37999999998</v>
      </c>
      <c r="I87" s="104">
        <f t="shared" ref="I87:W87" si="27">I93+I131+I137</f>
        <v>33973.1</v>
      </c>
      <c r="J87" s="104">
        <f t="shared" si="27"/>
        <v>218352.98979000002</v>
      </c>
      <c r="K87" s="104">
        <f t="shared" si="27"/>
        <v>181495.2</v>
      </c>
      <c r="L87" s="104">
        <f t="shared" si="27"/>
        <v>194663.11578999998</v>
      </c>
      <c r="M87" s="104">
        <f t="shared" si="27"/>
        <v>154056.82</v>
      </c>
      <c r="N87" s="104">
        <f t="shared" si="27"/>
        <v>233772.05578999998</v>
      </c>
      <c r="O87" s="104">
        <f t="shared" si="27"/>
        <v>170551.99</v>
      </c>
      <c r="P87" s="104">
        <f t="shared" si="27"/>
        <v>388791.16376999998</v>
      </c>
      <c r="Q87" s="104">
        <f t="shared" si="27"/>
        <v>388791.16</v>
      </c>
      <c r="R87" s="104">
        <f t="shared" si="27"/>
        <v>181727.92378000001</v>
      </c>
      <c r="S87" s="104">
        <f t="shared" si="27"/>
        <v>187020.31</v>
      </c>
      <c r="T87" s="104">
        <f t="shared" si="27"/>
        <v>154453.15378999998</v>
      </c>
      <c r="U87" s="104">
        <f t="shared" si="27"/>
        <v>131319.16</v>
      </c>
      <c r="V87" s="104">
        <f t="shared" si="27"/>
        <v>96455.035789999994</v>
      </c>
      <c r="W87" s="104">
        <f t="shared" si="27"/>
        <v>95979.04</v>
      </c>
      <c r="X87" s="104">
        <f t="shared" ref="X87:AE89" si="28">X93+X131+X137</f>
        <v>124853.71879</v>
      </c>
      <c r="Y87" s="104">
        <f t="shared" si="28"/>
        <v>101131.27</v>
      </c>
      <c r="Z87" s="104">
        <f t="shared" si="28"/>
        <v>120675.95379</v>
      </c>
      <c r="AA87" s="104">
        <f t="shared" si="28"/>
        <v>225331.08000000002</v>
      </c>
      <c r="AB87" s="104">
        <f t="shared" si="28"/>
        <v>239491.09379000001</v>
      </c>
      <c r="AC87" s="104">
        <f t="shared" si="28"/>
        <v>162345.23000000001</v>
      </c>
      <c r="AD87" s="104">
        <f t="shared" si="28"/>
        <v>176316.81496000002</v>
      </c>
      <c r="AE87" s="104">
        <f t="shared" si="28"/>
        <v>428094.58999999997</v>
      </c>
      <c r="AF87" s="98"/>
      <c r="AG87" s="99">
        <f t="shared" si="1"/>
        <v>-2.6193447411060333E-10</v>
      </c>
    </row>
    <row r="88" spans="1:33" x14ac:dyDescent="0.3">
      <c r="A88" s="126" t="s">
        <v>33</v>
      </c>
      <c r="B88" s="104">
        <f>J88+L88+N88+P88+R88+T88+V88+X88+Z88+AB88+AD88+H88</f>
        <v>450152.7</v>
      </c>
      <c r="C88" s="725">
        <f t="shared" si="26"/>
        <v>450152.70000000007</v>
      </c>
      <c r="D88" s="725">
        <f>E88</f>
        <v>444349.41999999993</v>
      </c>
      <c r="E88" s="725">
        <f>SUM(I88,K88,M88,O88,Q88,S88,U88,W88,Y88,AA88,AC88,AE88)</f>
        <v>444349.41999999993</v>
      </c>
      <c r="F88" s="104">
        <f>IFERROR(E88/B88*100,0)</f>
        <v>98.710819684076085</v>
      </c>
      <c r="G88" s="104">
        <f>IFERROR(E88/C88*100,0)</f>
        <v>98.710819684076057</v>
      </c>
      <c r="H88" s="104">
        <f>H94+H132+H138</f>
        <v>52896.722470000001</v>
      </c>
      <c r="I88" s="104">
        <f t="shared" ref="I88:W88" si="29">I94+I132+I138</f>
        <v>52207.3</v>
      </c>
      <c r="J88" s="104">
        <f t="shared" si="29"/>
        <v>67459.359179999999</v>
      </c>
      <c r="K88" s="104">
        <f t="shared" si="29"/>
        <v>68193.149999999994</v>
      </c>
      <c r="L88" s="104">
        <f t="shared" si="29"/>
        <v>43449.618399999999</v>
      </c>
      <c r="M88" s="104">
        <f t="shared" si="29"/>
        <v>43425.15</v>
      </c>
      <c r="N88" s="104">
        <f t="shared" si="29"/>
        <v>37415.547899999998</v>
      </c>
      <c r="O88" s="104">
        <f t="shared" si="29"/>
        <v>37415.57</v>
      </c>
      <c r="P88" s="104">
        <f t="shared" si="29"/>
        <v>39228.645819999998</v>
      </c>
      <c r="Q88" s="104">
        <f t="shared" si="29"/>
        <v>39256.57</v>
      </c>
      <c r="R88" s="104">
        <f t="shared" si="29"/>
        <v>36347.809500000003</v>
      </c>
      <c r="S88" s="104">
        <f t="shared" si="29"/>
        <v>37169.5</v>
      </c>
      <c r="T88" s="104">
        <f t="shared" si="29"/>
        <v>29588.682410000001</v>
      </c>
      <c r="U88" s="104">
        <f t="shared" si="29"/>
        <v>28576.39</v>
      </c>
      <c r="V88" s="104">
        <f t="shared" si="29"/>
        <v>22972.95334</v>
      </c>
      <c r="W88" s="104">
        <f t="shared" si="29"/>
        <v>22003.47</v>
      </c>
      <c r="X88" s="104">
        <f t="shared" si="28"/>
        <v>25224.808379999999</v>
      </c>
      <c r="Y88" s="104">
        <f t="shared" si="28"/>
        <v>23871.370000000003</v>
      </c>
      <c r="Z88" s="104">
        <f t="shared" si="28"/>
        <v>49973.399469999997</v>
      </c>
      <c r="AA88" s="104">
        <f t="shared" si="28"/>
        <v>49590.44</v>
      </c>
      <c r="AB88" s="104">
        <f t="shared" si="28"/>
        <v>26280.381950000003</v>
      </c>
      <c r="AC88" s="104">
        <f t="shared" si="28"/>
        <v>28287.79</v>
      </c>
      <c r="AD88" s="104">
        <f t="shared" si="28"/>
        <v>19314.77118</v>
      </c>
      <c r="AE88" s="104">
        <f t="shared" si="28"/>
        <v>14352.72</v>
      </c>
      <c r="AF88" s="98"/>
      <c r="AG88" s="99">
        <f t="shared" si="1"/>
        <v>0</v>
      </c>
    </row>
    <row r="89" spans="1:33" x14ac:dyDescent="0.3">
      <c r="A89" s="126" t="s">
        <v>170</v>
      </c>
      <c r="B89" s="104">
        <f>J89+L89+N89+P89+R89+T89+V89+X89+Z89+AB89+AD89+H89</f>
        <v>11469.67</v>
      </c>
      <c r="C89" s="725">
        <f t="shared" si="26"/>
        <v>11469.67</v>
      </c>
      <c r="D89" s="725">
        <f>E89</f>
        <v>11469.67</v>
      </c>
      <c r="E89" s="725">
        <f>SUM(I89,K89,M89,O89,Q89,S89,U89,W89,Y89,AA89,AC89,AE89)</f>
        <v>11469.67</v>
      </c>
      <c r="F89" s="104">
        <f>IFERROR(E89/B89*100,0)</f>
        <v>100</v>
      </c>
      <c r="G89" s="104">
        <f>IFERROR(E89/C89*100,0)</f>
        <v>100</v>
      </c>
      <c r="H89" s="104">
        <f>H95+H133+H139</f>
        <v>0</v>
      </c>
      <c r="I89" s="104">
        <f t="shared" ref="I89:W89" si="30">I95+I133+I139</f>
        <v>0</v>
      </c>
      <c r="J89" s="104">
        <f t="shared" si="30"/>
        <v>0</v>
      </c>
      <c r="K89" s="104">
        <f t="shared" si="30"/>
        <v>0</v>
      </c>
      <c r="L89" s="104">
        <f t="shared" si="30"/>
        <v>3230</v>
      </c>
      <c r="M89" s="104">
        <f t="shared" si="30"/>
        <v>3230</v>
      </c>
      <c r="N89" s="104">
        <f t="shared" si="30"/>
        <v>4111</v>
      </c>
      <c r="O89" s="104">
        <f t="shared" si="30"/>
        <v>4111</v>
      </c>
      <c r="P89" s="104">
        <f t="shared" si="30"/>
        <v>0</v>
      </c>
      <c r="Q89" s="104">
        <f t="shared" si="30"/>
        <v>0</v>
      </c>
      <c r="R89" s="104">
        <f t="shared" si="30"/>
        <v>0</v>
      </c>
      <c r="S89" s="104">
        <f t="shared" si="30"/>
        <v>0</v>
      </c>
      <c r="T89" s="104">
        <f t="shared" si="30"/>
        <v>0</v>
      </c>
      <c r="U89" s="104">
        <f t="shared" si="30"/>
        <v>0</v>
      </c>
      <c r="V89" s="104">
        <f t="shared" si="30"/>
        <v>0</v>
      </c>
      <c r="W89" s="104">
        <f t="shared" si="30"/>
        <v>0</v>
      </c>
      <c r="X89" s="104">
        <f t="shared" si="28"/>
        <v>1301.17</v>
      </c>
      <c r="Y89" s="104">
        <f t="shared" si="28"/>
        <v>1119.67</v>
      </c>
      <c r="Z89" s="104">
        <f t="shared" si="28"/>
        <v>2477.5</v>
      </c>
      <c r="AA89" s="104">
        <f t="shared" si="28"/>
        <v>2659</v>
      </c>
      <c r="AB89" s="104">
        <f t="shared" si="28"/>
        <v>0</v>
      </c>
      <c r="AC89" s="104">
        <f t="shared" si="28"/>
        <v>0</v>
      </c>
      <c r="AD89" s="104">
        <f t="shared" si="28"/>
        <v>350</v>
      </c>
      <c r="AE89" s="104">
        <f t="shared" si="28"/>
        <v>350</v>
      </c>
      <c r="AF89" s="98"/>
      <c r="AG89" s="99">
        <f t="shared" si="1"/>
        <v>0</v>
      </c>
    </row>
    <row r="90" spans="1:33" s="94" customFormat="1" ht="97.5" customHeight="1" x14ac:dyDescent="0.3">
      <c r="A90" s="207" t="s">
        <v>514</v>
      </c>
      <c r="B90" s="127"/>
      <c r="C90" s="128"/>
      <c r="D90" s="128"/>
      <c r="E90" s="128"/>
      <c r="F90" s="128"/>
      <c r="G90" s="128"/>
      <c r="H90" s="208"/>
      <c r="I90" s="208"/>
      <c r="J90" s="208"/>
      <c r="K90" s="208"/>
      <c r="L90" s="208"/>
      <c r="M90" s="208"/>
      <c r="N90" s="208"/>
      <c r="O90" s="208"/>
      <c r="P90" s="208"/>
      <c r="Q90" s="208"/>
      <c r="R90" s="208"/>
      <c r="S90" s="208"/>
      <c r="T90" s="208"/>
      <c r="U90" s="208"/>
      <c r="V90" s="208"/>
      <c r="W90" s="208"/>
      <c r="X90" s="208"/>
      <c r="Y90" s="208"/>
      <c r="Z90" s="208"/>
      <c r="AA90" s="208"/>
      <c r="AB90" s="208"/>
      <c r="AC90" s="208"/>
      <c r="AD90" s="208"/>
      <c r="AE90" s="208"/>
      <c r="AF90" s="209"/>
      <c r="AG90" s="210">
        <f t="shared" si="1"/>
        <v>0</v>
      </c>
    </row>
    <row r="91" spans="1:33" s="94" customFormat="1" x14ac:dyDescent="0.3">
      <c r="A91" s="123" t="s">
        <v>31</v>
      </c>
      <c r="B91" s="110">
        <f>B93+B94+B92+B95</f>
        <v>2835037.9698299998</v>
      </c>
      <c r="C91" s="110">
        <f>C93+C94+C92+C95</f>
        <v>2772231.0998299997</v>
      </c>
      <c r="D91" s="110">
        <f>D93+D94+D92+D95</f>
        <v>2738915.09</v>
      </c>
      <c r="E91" s="110">
        <f>E93+E94+E92+E95</f>
        <v>2738915.09</v>
      </c>
      <c r="F91" s="110">
        <f>IFERROR(E91/B91*100,0)</f>
        <v>96.609467638425883</v>
      </c>
      <c r="G91" s="110">
        <f>IFERROR(E91/C91*100,0)</f>
        <v>98.798223934792333</v>
      </c>
      <c r="H91" s="110">
        <f t="shared" ref="H91:AE91" si="31">H93+H94+H92+H95</f>
        <v>216045.51916</v>
      </c>
      <c r="I91" s="110">
        <f t="shared" si="31"/>
        <v>90192.7</v>
      </c>
      <c r="J91" s="110">
        <f t="shared" si="31"/>
        <v>286076.73732000001</v>
      </c>
      <c r="K91" s="110">
        <f t="shared" si="31"/>
        <v>249918.55</v>
      </c>
      <c r="L91" s="110">
        <f t="shared" si="31"/>
        <v>241745.64932</v>
      </c>
      <c r="M91" s="110">
        <f t="shared" si="31"/>
        <v>201105.97</v>
      </c>
      <c r="N91" s="110">
        <f t="shared" si="31"/>
        <v>283818.28027999995</v>
      </c>
      <c r="O91" s="110">
        <f t="shared" si="31"/>
        <v>220503.75</v>
      </c>
      <c r="P91" s="110">
        <f t="shared" si="31"/>
        <v>437712.09440999996</v>
      </c>
      <c r="Q91" s="110">
        <f t="shared" si="31"/>
        <v>434317.63</v>
      </c>
      <c r="R91" s="110">
        <f t="shared" si="31"/>
        <v>223959.5117</v>
      </c>
      <c r="S91" s="110">
        <f t="shared" si="31"/>
        <v>233669.95</v>
      </c>
      <c r="T91" s="110">
        <f t="shared" si="31"/>
        <v>180084.54723999999</v>
      </c>
      <c r="U91" s="110">
        <f t="shared" si="31"/>
        <v>157415.54999999999</v>
      </c>
      <c r="V91" s="110">
        <f t="shared" si="31"/>
        <v>116066.47078</v>
      </c>
      <c r="W91" s="110">
        <f t="shared" si="31"/>
        <v>113144.96000000001</v>
      </c>
      <c r="X91" s="110">
        <f t="shared" si="31"/>
        <v>159621.74882000001</v>
      </c>
      <c r="Y91" s="110">
        <f t="shared" si="31"/>
        <v>129501.19</v>
      </c>
      <c r="Z91" s="110">
        <f t="shared" si="31"/>
        <v>175614.25033000001</v>
      </c>
      <c r="AA91" s="110">
        <f t="shared" si="31"/>
        <v>280539.05000000005</v>
      </c>
      <c r="AB91" s="110">
        <f t="shared" si="31"/>
        <v>269744.73966000002</v>
      </c>
      <c r="AC91" s="110">
        <f t="shared" si="31"/>
        <v>193177.44</v>
      </c>
      <c r="AD91" s="110">
        <f t="shared" si="31"/>
        <v>182091.55081000002</v>
      </c>
      <c r="AE91" s="110">
        <f t="shared" si="31"/>
        <v>435428.35</v>
      </c>
      <c r="AF91" s="209"/>
      <c r="AG91" s="210">
        <f t="shared" si="1"/>
        <v>62456.870000000141</v>
      </c>
    </row>
    <row r="92" spans="1:33" s="94" customFormat="1" x14ac:dyDescent="0.3">
      <c r="A92" s="123" t="s">
        <v>169</v>
      </c>
      <c r="B92" s="110">
        <f>B98+B104+B110+B116+B122</f>
        <v>83765.2</v>
      </c>
      <c r="C92" s="110">
        <f>C98+C104+C110+C116+C122</f>
        <v>83765.2</v>
      </c>
      <c r="D92" s="110">
        <f>D98+D104+D110+D116+D122</f>
        <v>83018.090000000011</v>
      </c>
      <c r="E92" s="110">
        <f>E98+E104+E110+E116+E122</f>
        <v>83018.090000000011</v>
      </c>
      <c r="F92" s="110">
        <f>IFERROR(E92/B92*100,0)</f>
        <v>99.108090233175602</v>
      </c>
      <c r="G92" s="110">
        <f>IFERROR(E92/C92*100,0)</f>
        <v>99.108090233175602</v>
      </c>
      <c r="H92" s="110">
        <f t="shared" ref="H92:AE92" si="32">H98+H104+H110+H116+H122</f>
        <v>4031.41669</v>
      </c>
      <c r="I92" s="110">
        <f t="shared" si="32"/>
        <v>4012.3</v>
      </c>
      <c r="J92" s="110">
        <f t="shared" si="32"/>
        <v>3958.9883500000001</v>
      </c>
      <c r="K92" s="110">
        <f t="shared" si="32"/>
        <v>3924.3</v>
      </c>
      <c r="L92" s="110">
        <f t="shared" si="32"/>
        <v>4203.31513</v>
      </c>
      <c r="M92" s="110">
        <f t="shared" si="32"/>
        <v>4194.3999999999996</v>
      </c>
      <c r="N92" s="110">
        <f t="shared" si="32"/>
        <v>12161.47659</v>
      </c>
      <c r="O92" s="110">
        <f t="shared" si="32"/>
        <v>12067</v>
      </c>
      <c r="P92" s="110">
        <f t="shared" si="32"/>
        <v>13662.08482</v>
      </c>
      <c r="Q92" s="110">
        <f t="shared" si="32"/>
        <v>10239.700000000001</v>
      </c>
      <c r="R92" s="110">
        <f t="shared" si="32"/>
        <v>10024.978419999999</v>
      </c>
      <c r="S92" s="110">
        <f t="shared" si="32"/>
        <v>13604.5</v>
      </c>
      <c r="T92" s="110">
        <f t="shared" si="32"/>
        <v>522.71104000000003</v>
      </c>
      <c r="U92" s="110">
        <f t="shared" si="32"/>
        <v>2000</v>
      </c>
      <c r="V92" s="110">
        <f t="shared" si="32"/>
        <v>1863.3516500000001</v>
      </c>
      <c r="W92" s="110">
        <f t="shared" si="32"/>
        <v>386.32</v>
      </c>
      <c r="X92" s="110">
        <f t="shared" si="32"/>
        <v>12763.14165</v>
      </c>
      <c r="Y92" s="110">
        <f t="shared" si="32"/>
        <v>8162.3</v>
      </c>
      <c r="Z92" s="110">
        <f t="shared" si="32"/>
        <v>9447.3970699999991</v>
      </c>
      <c r="AA92" s="110">
        <f t="shared" si="32"/>
        <v>8204.01</v>
      </c>
      <c r="AB92" s="110">
        <f t="shared" si="32"/>
        <v>8549.0239199999996</v>
      </c>
      <c r="AC92" s="110">
        <f t="shared" si="32"/>
        <v>8068.18</v>
      </c>
      <c r="AD92" s="110">
        <f t="shared" si="32"/>
        <v>2577.3146700000007</v>
      </c>
      <c r="AE92" s="110">
        <f t="shared" si="32"/>
        <v>8155.08</v>
      </c>
      <c r="AF92" s="209"/>
      <c r="AG92" s="210">
        <f t="shared" si="1"/>
        <v>6.3664629124104977E-12</v>
      </c>
    </row>
    <row r="93" spans="1:33" s="94" customFormat="1" x14ac:dyDescent="0.3">
      <c r="A93" s="123" t="s">
        <v>32</v>
      </c>
      <c r="B93" s="110">
        <f>B99+B105+B111+B117+B131+B137</f>
        <v>2289650.3998299995</v>
      </c>
      <c r="C93" s="110">
        <f t="shared" ref="B93:E95" si="33">C99+C105+C111+C117</f>
        <v>2227193.5298299994</v>
      </c>
      <c r="D93" s="110">
        <f t="shared" si="33"/>
        <v>2200077.91</v>
      </c>
      <c r="E93" s="110">
        <f t="shared" si="33"/>
        <v>2200077.91</v>
      </c>
      <c r="F93" s="110">
        <f>IFERROR(E93/B93*100,0)</f>
        <v>96.087940331997842</v>
      </c>
      <c r="G93" s="110">
        <f>IFERROR(E93/C93*100,0)</f>
        <v>98.782520716461093</v>
      </c>
      <c r="H93" s="110">
        <f>H99+H105+H111+H117</f>
        <v>159117.37999999998</v>
      </c>
      <c r="I93" s="110">
        <f t="shared" ref="H93:AE95" si="34">I99+I105+I111+I117</f>
        <v>33973.1</v>
      </c>
      <c r="J93" s="110">
        <f t="shared" si="34"/>
        <v>214658.38979000002</v>
      </c>
      <c r="K93" s="110">
        <f t="shared" si="34"/>
        <v>177801.1</v>
      </c>
      <c r="L93" s="110">
        <f t="shared" si="34"/>
        <v>190862.71578999999</v>
      </c>
      <c r="M93" s="110">
        <f t="shared" si="34"/>
        <v>150256.42000000001</v>
      </c>
      <c r="N93" s="110">
        <f t="shared" si="34"/>
        <v>230130.25579</v>
      </c>
      <c r="O93" s="110">
        <f t="shared" si="34"/>
        <v>166910.18</v>
      </c>
      <c r="P93" s="110">
        <f t="shared" si="34"/>
        <v>384821.36377</v>
      </c>
      <c r="Q93" s="110">
        <f t="shared" si="34"/>
        <v>384821.36</v>
      </c>
      <c r="R93" s="110">
        <f t="shared" si="34"/>
        <v>177586.72378</v>
      </c>
      <c r="S93" s="110">
        <f t="shared" si="34"/>
        <v>182895.95</v>
      </c>
      <c r="T93" s="110">
        <f t="shared" si="34"/>
        <v>149973.15378999998</v>
      </c>
      <c r="U93" s="110">
        <f t="shared" si="34"/>
        <v>126839.16</v>
      </c>
      <c r="V93" s="110">
        <f t="shared" si="34"/>
        <v>91230.165789999999</v>
      </c>
      <c r="W93" s="110">
        <f t="shared" si="34"/>
        <v>90755.17</v>
      </c>
      <c r="X93" s="110">
        <f t="shared" si="34"/>
        <v>120332.62879</v>
      </c>
      <c r="Y93" s="110">
        <f t="shared" si="34"/>
        <v>96347.85</v>
      </c>
      <c r="Z93" s="110">
        <f t="shared" si="34"/>
        <v>113715.95379</v>
      </c>
      <c r="AA93" s="110">
        <f t="shared" si="34"/>
        <v>220085.6</v>
      </c>
      <c r="AB93" s="110">
        <f t="shared" si="34"/>
        <v>234915.33379</v>
      </c>
      <c r="AC93" s="110">
        <f t="shared" si="34"/>
        <v>156821.47</v>
      </c>
      <c r="AD93" s="110">
        <f t="shared" si="34"/>
        <v>159849.46496000001</v>
      </c>
      <c r="AE93" s="110">
        <f t="shared" si="34"/>
        <v>412570.55</v>
      </c>
      <c r="AF93" s="209"/>
      <c r="AG93" s="210">
        <f t="shared" si="1"/>
        <v>62456.869999999646</v>
      </c>
    </row>
    <row r="94" spans="1:33" s="94" customFormat="1" x14ac:dyDescent="0.3">
      <c r="A94" s="109" t="s">
        <v>33</v>
      </c>
      <c r="B94" s="110">
        <f t="shared" si="33"/>
        <v>450152.7</v>
      </c>
      <c r="C94" s="110">
        <f>C100+C106+C112+C118</f>
        <v>450152.70000000007</v>
      </c>
      <c r="D94" s="110">
        <f t="shared" si="33"/>
        <v>444349.41999999993</v>
      </c>
      <c r="E94" s="110">
        <f t="shared" si="33"/>
        <v>444349.41999999993</v>
      </c>
      <c r="F94" s="110">
        <f>IFERROR(E94/B94*100,0)</f>
        <v>98.710819684076085</v>
      </c>
      <c r="G94" s="110">
        <f>IFERROR(E94/C94*100,0)</f>
        <v>98.710819684076057</v>
      </c>
      <c r="H94" s="110">
        <f t="shared" si="34"/>
        <v>52896.722470000001</v>
      </c>
      <c r="I94" s="110">
        <f t="shared" si="34"/>
        <v>52207.3</v>
      </c>
      <c r="J94" s="110">
        <f t="shared" si="34"/>
        <v>67459.359179999999</v>
      </c>
      <c r="K94" s="110">
        <f t="shared" si="34"/>
        <v>68193.149999999994</v>
      </c>
      <c r="L94" s="110">
        <f t="shared" si="34"/>
        <v>43449.618399999999</v>
      </c>
      <c r="M94" s="110">
        <f t="shared" si="34"/>
        <v>43425.15</v>
      </c>
      <c r="N94" s="110">
        <f t="shared" si="34"/>
        <v>37415.547899999998</v>
      </c>
      <c r="O94" s="110">
        <f t="shared" si="34"/>
        <v>37415.57</v>
      </c>
      <c r="P94" s="110">
        <f t="shared" si="34"/>
        <v>39228.645819999998</v>
      </c>
      <c r="Q94" s="110">
        <f t="shared" si="34"/>
        <v>39256.57</v>
      </c>
      <c r="R94" s="110">
        <f t="shared" si="34"/>
        <v>36347.809500000003</v>
      </c>
      <c r="S94" s="110">
        <f t="shared" si="34"/>
        <v>37169.5</v>
      </c>
      <c r="T94" s="110">
        <f t="shared" si="34"/>
        <v>29588.682410000001</v>
      </c>
      <c r="U94" s="110">
        <f t="shared" si="34"/>
        <v>28576.39</v>
      </c>
      <c r="V94" s="110">
        <f t="shared" si="34"/>
        <v>22972.95334</v>
      </c>
      <c r="W94" s="110">
        <f t="shared" si="34"/>
        <v>22003.47</v>
      </c>
      <c r="X94" s="110">
        <f t="shared" si="34"/>
        <v>25224.808379999999</v>
      </c>
      <c r="Y94" s="110">
        <f t="shared" si="34"/>
        <v>23871.370000000003</v>
      </c>
      <c r="Z94" s="110">
        <f t="shared" si="34"/>
        <v>49973.399469999997</v>
      </c>
      <c r="AA94" s="110">
        <f t="shared" si="34"/>
        <v>49590.44</v>
      </c>
      <c r="AB94" s="110">
        <f t="shared" si="34"/>
        <v>26280.381950000003</v>
      </c>
      <c r="AC94" s="110">
        <f t="shared" si="34"/>
        <v>28287.79</v>
      </c>
      <c r="AD94" s="110">
        <f t="shared" si="34"/>
        <v>19314.77118</v>
      </c>
      <c r="AE94" s="110">
        <f t="shared" si="34"/>
        <v>14352.72</v>
      </c>
      <c r="AF94" s="209"/>
      <c r="AG94" s="210">
        <f t="shared" si="1"/>
        <v>0</v>
      </c>
    </row>
    <row r="95" spans="1:33" s="94" customFormat="1" x14ac:dyDescent="0.3">
      <c r="A95" s="109" t="s">
        <v>170</v>
      </c>
      <c r="B95" s="110">
        <f>B101+B107+B113+B119</f>
        <v>11469.67</v>
      </c>
      <c r="C95" s="110">
        <f>C101+C107+C113+C119</f>
        <v>11119.67</v>
      </c>
      <c r="D95" s="110">
        <f t="shared" si="33"/>
        <v>11469.67</v>
      </c>
      <c r="E95" s="110">
        <f t="shared" si="33"/>
        <v>11469.67</v>
      </c>
      <c r="F95" s="110">
        <f>IFERROR(E95/B95*100,0)</f>
        <v>100</v>
      </c>
      <c r="G95" s="110">
        <f>IFERROR(E95/C95*100,0)</f>
        <v>103.14757542265194</v>
      </c>
      <c r="H95" s="110">
        <f t="shared" si="34"/>
        <v>0</v>
      </c>
      <c r="I95" s="110">
        <f t="shared" si="34"/>
        <v>0</v>
      </c>
      <c r="J95" s="110">
        <f t="shared" si="34"/>
        <v>0</v>
      </c>
      <c r="K95" s="110">
        <f t="shared" si="34"/>
        <v>0</v>
      </c>
      <c r="L95" s="110">
        <f t="shared" si="34"/>
        <v>3230</v>
      </c>
      <c r="M95" s="110">
        <f t="shared" si="34"/>
        <v>3230</v>
      </c>
      <c r="N95" s="110">
        <f t="shared" si="34"/>
        <v>4111</v>
      </c>
      <c r="O95" s="110">
        <f t="shared" si="34"/>
        <v>4111</v>
      </c>
      <c r="P95" s="110">
        <f t="shared" si="34"/>
        <v>0</v>
      </c>
      <c r="Q95" s="110">
        <f t="shared" si="34"/>
        <v>0</v>
      </c>
      <c r="R95" s="110">
        <f t="shared" si="34"/>
        <v>0</v>
      </c>
      <c r="S95" s="110">
        <f t="shared" si="34"/>
        <v>0</v>
      </c>
      <c r="T95" s="110">
        <f t="shared" si="34"/>
        <v>0</v>
      </c>
      <c r="U95" s="110">
        <f t="shared" si="34"/>
        <v>0</v>
      </c>
      <c r="V95" s="110">
        <f t="shared" si="34"/>
        <v>0</v>
      </c>
      <c r="W95" s="110">
        <f t="shared" si="34"/>
        <v>0</v>
      </c>
      <c r="X95" s="110">
        <f t="shared" si="34"/>
        <v>1301.17</v>
      </c>
      <c r="Y95" s="110">
        <f t="shared" si="34"/>
        <v>1119.67</v>
      </c>
      <c r="Z95" s="110">
        <f t="shared" si="34"/>
        <v>2477.5</v>
      </c>
      <c r="AA95" s="110">
        <f t="shared" si="34"/>
        <v>2659</v>
      </c>
      <c r="AB95" s="110">
        <f t="shared" si="34"/>
        <v>0</v>
      </c>
      <c r="AC95" s="110">
        <f t="shared" si="34"/>
        <v>0</v>
      </c>
      <c r="AD95" s="110">
        <f>AD101+AD107+AD113+AD119</f>
        <v>350</v>
      </c>
      <c r="AE95" s="110">
        <f t="shared" si="34"/>
        <v>350</v>
      </c>
      <c r="AF95" s="209"/>
      <c r="AG95" s="210">
        <f t="shared" si="1"/>
        <v>0</v>
      </c>
    </row>
    <row r="96" spans="1:33" ht="197.25" customHeight="1" x14ac:dyDescent="0.3">
      <c r="A96" s="713" t="s">
        <v>512</v>
      </c>
      <c r="B96" s="594"/>
      <c r="C96" s="107"/>
      <c r="D96" s="107"/>
      <c r="E96" s="107"/>
      <c r="F96" s="107"/>
      <c r="G96" s="107"/>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29"/>
      <c r="AG96" s="99">
        <f t="shared" si="1"/>
        <v>0</v>
      </c>
    </row>
    <row r="97" spans="1:33" s="589" customFormat="1" x14ac:dyDescent="0.3">
      <c r="A97" s="722" t="s">
        <v>31</v>
      </c>
      <c r="B97" s="718">
        <f>B99+B100+B98+B101</f>
        <v>83612.7</v>
      </c>
      <c r="C97" s="718">
        <f>C99+C100+C98+C101</f>
        <v>83612.7</v>
      </c>
      <c r="D97" s="718">
        <f>D99+D100+D98+D101</f>
        <v>82869.290000000008</v>
      </c>
      <c r="E97" s="718">
        <f>E99+E100+E98+E101</f>
        <v>82869.290000000008</v>
      </c>
      <c r="F97" s="718">
        <f>IFERROR(E97/B97*100,0)</f>
        <v>99.110888656866734</v>
      </c>
      <c r="G97" s="718">
        <f>IFERROR(E97/C97*100,0)</f>
        <v>99.110888656866734</v>
      </c>
      <c r="H97" s="718">
        <f t="shared" ref="H97:AE97" si="35">H99+H100+H98+H101</f>
        <v>4031.41669</v>
      </c>
      <c r="I97" s="718">
        <f t="shared" si="35"/>
        <v>4012.3</v>
      </c>
      <c r="J97" s="718">
        <f t="shared" si="35"/>
        <v>3958.9883500000001</v>
      </c>
      <c r="K97" s="718">
        <f t="shared" si="35"/>
        <v>3924.3</v>
      </c>
      <c r="L97" s="718">
        <f t="shared" si="35"/>
        <v>4203.31513</v>
      </c>
      <c r="M97" s="718">
        <f t="shared" si="35"/>
        <v>4194.3999999999996</v>
      </c>
      <c r="N97" s="718">
        <f t="shared" si="35"/>
        <v>12161.47659</v>
      </c>
      <c r="O97" s="718">
        <f t="shared" si="35"/>
        <v>12067</v>
      </c>
      <c r="P97" s="718">
        <f t="shared" si="35"/>
        <v>13662.08482</v>
      </c>
      <c r="Q97" s="718">
        <f t="shared" si="35"/>
        <v>10239.700000000001</v>
      </c>
      <c r="R97" s="718">
        <f t="shared" si="35"/>
        <v>10024.978419999999</v>
      </c>
      <c r="S97" s="718">
        <f t="shared" si="35"/>
        <v>13604.5</v>
      </c>
      <c r="T97" s="718">
        <f t="shared" si="35"/>
        <v>522.71104000000003</v>
      </c>
      <c r="U97" s="718">
        <f t="shared" si="35"/>
        <v>2000</v>
      </c>
      <c r="V97" s="718">
        <f t="shared" si="35"/>
        <v>1863.3516500000001</v>
      </c>
      <c r="W97" s="718">
        <f t="shared" si="35"/>
        <v>386.32</v>
      </c>
      <c r="X97" s="718">
        <f t="shared" si="35"/>
        <v>12727.791649999999</v>
      </c>
      <c r="Y97" s="718">
        <f t="shared" si="35"/>
        <v>8132.3</v>
      </c>
      <c r="Z97" s="718">
        <f t="shared" si="35"/>
        <v>9408.3470699999998</v>
      </c>
      <c r="AA97" s="718">
        <f t="shared" si="35"/>
        <v>8177.91</v>
      </c>
      <c r="AB97" s="718">
        <f t="shared" si="35"/>
        <v>8509.9739200000004</v>
      </c>
      <c r="AC97" s="718">
        <f t="shared" si="35"/>
        <v>8016.18</v>
      </c>
      <c r="AD97" s="718">
        <f t="shared" si="35"/>
        <v>2538.2646700000005</v>
      </c>
      <c r="AE97" s="718">
        <f t="shared" si="35"/>
        <v>8114.38</v>
      </c>
      <c r="AF97" s="587"/>
      <c r="AG97" s="588">
        <f t="shared" si="1"/>
        <v>3.637978807091713E-12</v>
      </c>
    </row>
    <row r="98" spans="1:33" x14ac:dyDescent="0.3">
      <c r="A98" s="593" t="s">
        <v>169</v>
      </c>
      <c r="B98" s="594">
        <f>J98+L98+N98+P98+R98+T98+V98+X98+Z98+AB98+AD98+H98</f>
        <v>83612.7</v>
      </c>
      <c r="C98" s="114">
        <f>H98+J98+L98+N98+P98+R98+T98+V98+X98+Z98+AB98+AD98</f>
        <v>83612.7</v>
      </c>
      <c r="D98" s="715">
        <f>E98</f>
        <v>82869.290000000008</v>
      </c>
      <c r="E98" s="114">
        <f>SUM(I98,K98,M98,O98,Q98,S98,U98,W98,Y98,AA98,AC98,AE98)</f>
        <v>82869.290000000008</v>
      </c>
      <c r="F98" s="113">
        <f>IFERROR(E98/B98*100,0)</f>
        <v>99.110888656866734</v>
      </c>
      <c r="G98" s="113">
        <f>IFERROR(E98/C98*100,0)</f>
        <v>99.110888656866734</v>
      </c>
      <c r="H98" s="108">
        <v>4031.41669</v>
      </c>
      <c r="I98" s="108">
        <v>4012.3</v>
      </c>
      <c r="J98" s="108">
        <v>3958.9883500000001</v>
      </c>
      <c r="K98" s="108">
        <v>3924.3</v>
      </c>
      <c r="L98" s="108">
        <v>4203.31513</v>
      </c>
      <c r="M98" s="108">
        <v>4194.3999999999996</v>
      </c>
      <c r="N98" s="108">
        <v>12161.47659</v>
      </c>
      <c r="O98" s="108">
        <v>12067</v>
      </c>
      <c r="P98" s="108">
        <v>13662.08482</v>
      </c>
      <c r="Q98" s="108">
        <v>10239.700000000001</v>
      </c>
      <c r="R98" s="108">
        <v>10024.978419999999</v>
      </c>
      <c r="S98" s="108">
        <v>13604.5</v>
      </c>
      <c r="T98" s="108">
        <v>522.71104000000003</v>
      </c>
      <c r="U98" s="108">
        <v>2000</v>
      </c>
      <c r="V98" s="108">
        <v>1863.3516500000001</v>
      </c>
      <c r="W98" s="108">
        <v>386.32</v>
      </c>
      <c r="X98" s="108">
        <v>12727.791649999999</v>
      </c>
      <c r="Y98" s="108">
        <v>8132.3</v>
      </c>
      <c r="Z98" s="108">
        <v>9408.3470699999998</v>
      </c>
      <c r="AA98" s="108">
        <v>8177.91</v>
      </c>
      <c r="AB98" s="108">
        <v>8509.9739200000004</v>
      </c>
      <c r="AC98" s="108">
        <v>8016.18</v>
      </c>
      <c r="AD98" s="108">
        <f>10273.86467-7735.6</f>
        <v>2538.2646700000005</v>
      </c>
      <c r="AE98" s="108">
        <v>8114.38</v>
      </c>
      <c r="AF98" s="29"/>
      <c r="AG98" s="99">
        <f t="shared" si="1"/>
        <v>3.637978807091713E-12</v>
      </c>
    </row>
    <row r="99" spans="1:33" x14ac:dyDescent="0.3">
      <c r="A99" s="593" t="s">
        <v>32</v>
      </c>
      <c r="B99" s="594"/>
      <c r="C99" s="114"/>
      <c r="D99" s="115"/>
      <c r="E99" s="114"/>
      <c r="F99" s="113"/>
      <c r="G99" s="113"/>
      <c r="H99" s="108"/>
      <c r="I99" s="108"/>
      <c r="J99" s="108"/>
      <c r="K99" s="108"/>
      <c r="L99" s="108"/>
      <c r="M99" s="108"/>
      <c r="N99" s="108"/>
      <c r="O99" s="108"/>
      <c r="P99" s="108"/>
      <c r="Q99" s="108"/>
      <c r="R99" s="108"/>
      <c r="S99" s="108"/>
      <c r="T99" s="108"/>
      <c r="U99" s="108"/>
      <c r="V99" s="108"/>
      <c r="W99" s="108"/>
      <c r="X99" s="108"/>
      <c r="Y99" s="108"/>
      <c r="Z99" s="108"/>
      <c r="AA99" s="108"/>
      <c r="AB99" s="108"/>
      <c r="AC99" s="108"/>
      <c r="AD99" s="108"/>
      <c r="AE99" s="108"/>
      <c r="AF99" s="29"/>
      <c r="AG99" s="99">
        <f t="shared" si="1"/>
        <v>0</v>
      </c>
    </row>
    <row r="100" spans="1:33" x14ac:dyDescent="0.3">
      <c r="A100" s="593" t="s">
        <v>33</v>
      </c>
      <c r="B100" s="594">
        <f>J100+L100+N100+P100+R100+T100+V100+X100+Z100+AB100+AD100+H100</f>
        <v>0</v>
      </c>
      <c r="C100" s="114">
        <f>SUM(H100)</f>
        <v>0</v>
      </c>
      <c r="D100" s="115">
        <f>E100</f>
        <v>0</v>
      </c>
      <c r="E100" s="114">
        <f>SUM(I100,K100,M100,O100,Q100,S100,U100,W100,Y100,AA100,AC100,AE100)</f>
        <v>0</v>
      </c>
      <c r="F100" s="113">
        <f>IFERROR(E100/B100*100,0)</f>
        <v>0</v>
      </c>
      <c r="G100" s="113">
        <f>IFERROR(E100/C100*100,0)</f>
        <v>0</v>
      </c>
      <c r="H100" s="108"/>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29"/>
      <c r="AG100" s="99">
        <f t="shared" si="1"/>
        <v>0</v>
      </c>
    </row>
    <row r="101" spans="1:33" x14ac:dyDescent="0.3">
      <c r="A101" s="593" t="s">
        <v>170</v>
      </c>
      <c r="B101" s="594"/>
      <c r="C101" s="114"/>
      <c r="D101" s="115"/>
      <c r="E101" s="114"/>
      <c r="F101" s="113"/>
      <c r="G101" s="113"/>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29"/>
      <c r="AG101" s="99">
        <f t="shared" si="1"/>
        <v>0</v>
      </c>
    </row>
    <row r="102" spans="1:33" ht="65.25" customHeight="1" x14ac:dyDescent="0.3">
      <c r="A102" s="713" t="s">
        <v>566</v>
      </c>
      <c r="B102" s="594"/>
      <c r="C102" s="107"/>
      <c r="D102" s="107"/>
      <c r="E102" s="107"/>
      <c r="F102" s="107"/>
      <c r="G102" s="107"/>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29"/>
      <c r="AG102" s="99">
        <f t="shared" si="1"/>
        <v>0</v>
      </c>
    </row>
    <row r="103" spans="1:33" s="589" customFormat="1" x14ac:dyDescent="0.3">
      <c r="A103" s="722" t="s">
        <v>31</v>
      </c>
      <c r="B103" s="718">
        <f>B105+B106+B104+B107</f>
        <v>461622.37</v>
      </c>
      <c r="C103" s="718">
        <f>C105+C106+C104+C107</f>
        <v>461272.37000000005</v>
      </c>
      <c r="D103" s="718">
        <f>D105+D106+D104+D107</f>
        <v>455819.08999999991</v>
      </c>
      <c r="E103" s="718">
        <f>E105+E106+E104+E107</f>
        <v>455819.08999999991</v>
      </c>
      <c r="F103" s="718">
        <f>IFERROR(E103/B103*100,0)</f>
        <v>98.742851218410394</v>
      </c>
      <c r="G103" s="718">
        <f>IFERROR(E103/C103*100,0)</f>
        <v>98.817774409509909</v>
      </c>
      <c r="H103" s="718">
        <f t="shared" ref="H103:AE103" si="36">H105+H106+H104+H107</f>
        <v>52896.722470000001</v>
      </c>
      <c r="I103" s="718">
        <f t="shared" si="36"/>
        <v>52207.3</v>
      </c>
      <c r="J103" s="718">
        <f t="shared" si="36"/>
        <v>67459.359179999999</v>
      </c>
      <c r="K103" s="718">
        <f t="shared" si="36"/>
        <v>68193.149999999994</v>
      </c>
      <c r="L103" s="718">
        <f t="shared" si="36"/>
        <v>46679.618399999999</v>
      </c>
      <c r="M103" s="718">
        <f t="shared" si="36"/>
        <v>46655.15</v>
      </c>
      <c r="N103" s="718">
        <f t="shared" si="36"/>
        <v>41526.547899999998</v>
      </c>
      <c r="O103" s="718">
        <f t="shared" si="36"/>
        <v>41526.57</v>
      </c>
      <c r="P103" s="718">
        <f t="shared" si="36"/>
        <v>39228.645819999998</v>
      </c>
      <c r="Q103" s="718">
        <f t="shared" si="36"/>
        <v>39256.57</v>
      </c>
      <c r="R103" s="718">
        <f t="shared" si="36"/>
        <v>36347.809500000003</v>
      </c>
      <c r="S103" s="718">
        <f t="shared" si="36"/>
        <v>37169.5</v>
      </c>
      <c r="T103" s="718">
        <f t="shared" si="36"/>
        <v>29588.682410000001</v>
      </c>
      <c r="U103" s="718">
        <f t="shared" si="36"/>
        <v>28576.39</v>
      </c>
      <c r="V103" s="718">
        <f t="shared" si="36"/>
        <v>22972.95334</v>
      </c>
      <c r="W103" s="718">
        <f t="shared" si="36"/>
        <v>22003.47</v>
      </c>
      <c r="X103" s="718">
        <f t="shared" si="36"/>
        <v>26525.97838</v>
      </c>
      <c r="Y103" s="718">
        <f t="shared" si="36"/>
        <v>24991.040000000001</v>
      </c>
      <c r="Z103" s="718">
        <f>Z105+Z106+Z104+Z107</f>
        <v>52450.899469999997</v>
      </c>
      <c r="AA103" s="718">
        <f t="shared" si="36"/>
        <v>52249.440000000002</v>
      </c>
      <c r="AB103" s="718">
        <f t="shared" si="36"/>
        <v>26280.381950000003</v>
      </c>
      <c r="AC103" s="718">
        <f t="shared" si="36"/>
        <v>28287.79</v>
      </c>
      <c r="AD103" s="718">
        <f>AD105+AD106+AD104+AD107</f>
        <v>19664.77118</v>
      </c>
      <c r="AE103" s="718">
        <f t="shared" si="36"/>
        <v>14702.72</v>
      </c>
      <c r="AF103" s="587"/>
      <c r="AG103" s="588">
        <f t="shared" si="1"/>
        <v>4.0017766878008842E-11</v>
      </c>
    </row>
    <row r="104" spans="1:33" x14ac:dyDescent="0.3">
      <c r="A104" s="593" t="s">
        <v>169</v>
      </c>
      <c r="B104" s="594"/>
      <c r="C104" s="114"/>
      <c r="D104" s="115"/>
      <c r="E104" s="114"/>
      <c r="F104" s="113"/>
      <c r="G104" s="113"/>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29"/>
      <c r="AG104" s="99">
        <f t="shared" si="1"/>
        <v>0</v>
      </c>
    </row>
    <row r="105" spans="1:33" x14ac:dyDescent="0.3">
      <c r="A105" s="593" t="s">
        <v>32</v>
      </c>
      <c r="B105" s="594"/>
      <c r="C105" s="712"/>
      <c r="D105" s="715"/>
      <c r="E105" s="114"/>
      <c r="F105" s="113"/>
      <c r="G105" s="113"/>
      <c r="H105" s="108"/>
      <c r="I105" s="108"/>
      <c r="J105" s="108"/>
      <c r="K105" s="108"/>
      <c r="L105" s="108"/>
      <c r="M105" s="108"/>
      <c r="N105" s="108"/>
      <c r="O105" s="108"/>
      <c r="P105" s="108"/>
      <c r="Q105" s="108"/>
      <c r="R105" s="108"/>
      <c r="S105" s="108"/>
      <c r="T105" s="108"/>
      <c r="U105" s="108"/>
      <c r="V105" s="108"/>
      <c r="W105" s="108"/>
      <c r="X105" s="108"/>
      <c r="Y105" s="108"/>
      <c r="Z105" s="108"/>
      <c r="AA105" s="108"/>
      <c r="AB105" s="108"/>
      <c r="AC105" s="108"/>
      <c r="AD105" s="108"/>
      <c r="AE105" s="108"/>
      <c r="AF105" s="29"/>
      <c r="AG105" s="99">
        <f t="shared" si="1"/>
        <v>0</v>
      </c>
    </row>
    <row r="106" spans="1:33" x14ac:dyDescent="0.3">
      <c r="A106" s="593" t="s">
        <v>33</v>
      </c>
      <c r="B106" s="594">
        <f>J106+L106+N106+P106+R106+T106+V106+X106+Z106+AB106+AD106+H106</f>
        <v>450152.7</v>
      </c>
      <c r="C106" s="720">
        <f>SUM(H106+J106+L106+N106+P106+R106+T106+V106+X106+Z106+AB106+AD106)</f>
        <v>450152.70000000007</v>
      </c>
      <c r="D106" s="721">
        <f>E106</f>
        <v>444349.41999999993</v>
      </c>
      <c r="E106" s="720">
        <f>SUM(I106,K106,M106,O106,Q106,S106,U106,W106,Y106,AA106,AC106,AE106)</f>
        <v>444349.41999999993</v>
      </c>
      <c r="F106" s="719">
        <f>IFERROR(E106/B106*100,0)</f>
        <v>98.710819684076085</v>
      </c>
      <c r="G106" s="719">
        <f>IFERROR(E106/C106*100,0)</f>
        <v>98.710819684076057</v>
      </c>
      <c r="H106" s="499">
        <v>52896.722470000001</v>
      </c>
      <c r="I106" s="499">
        <v>52207.3</v>
      </c>
      <c r="J106" s="499">
        <v>67459.359179999999</v>
      </c>
      <c r="K106" s="499">
        <v>68193.149999999994</v>
      </c>
      <c r="L106" s="499">
        <v>43449.618399999999</v>
      </c>
      <c r="M106" s="499">
        <v>43425.15</v>
      </c>
      <c r="N106" s="499">
        <v>37415.547899999998</v>
      </c>
      <c r="O106" s="499">
        <v>37415.57</v>
      </c>
      <c r="P106" s="499">
        <v>39228.645819999998</v>
      </c>
      <c r="Q106" s="499">
        <v>39256.57</v>
      </c>
      <c r="R106" s="499">
        <v>36347.809500000003</v>
      </c>
      <c r="S106" s="499">
        <v>37169.5</v>
      </c>
      <c r="T106" s="499">
        <v>29588.682410000001</v>
      </c>
      <c r="U106" s="499">
        <v>28576.39</v>
      </c>
      <c r="V106" s="499">
        <f>22003.47334+969.48</f>
        <v>22972.95334</v>
      </c>
      <c r="W106" s="499">
        <v>22003.47</v>
      </c>
      <c r="X106" s="499">
        <v>25224.808379999999</v>
      </c>
      <c r="Y106" s="499">
        <f>22682.58+1188.79</f>
        <v>23871.370000000003</v>
      </c>
      <c r="Z106" s="499">
        <v>49973.399469999997</v>
      </c>
      <c r="AA106" s="499">
        <f>49973.4-382.96</f>
        <v>49590.44</v>
      </c>
      <c r="AB106" s="499">
        <f>19611.26195-969.48+7638.6</f>
        <v>26280.381950000003</v>
      </c>
      <c r="AC106" s="499">
        <v>28287.79</v>
      </c>
      <c r="AD106" s="499">
        <f>18099.32118+1215.45</f>
        <v>19314.77118</v>
      </c>
      <c r="AE106" s="108">
        <v>14352.72</v>
      </c>
      <c r="AF106" s="29"/>
      <c r="AG106" s="99">
        <f t="shared" si="1"/>
        <v>0</v>
      </c>
    </row>
    <row r="107" spans="1:33" x14ac:dyDescent="0.3">
      <c r="A107" s="593" t="s">
        <v>170</v>
      </c>
      <c r="B107" s="594">
        <f>J107+L107+N107+P107+R107+T107+V107+X107+Z107+AB107+AD107+H107</f>
        <v>11469.67</v>
      </c>
      <c r="C107" s="720">
        <f>L107+N107+Q107+X107+Z107</f>
        <v>11119.67</v>
      </c>
      <c r="D107" s="721">
        <f>E107</f>
        <v>11469.67</v>
      </c>
      <c r="E107" s="720">
        <f>SUM(I107,K107,M107,O107,Q107,S107,U107,W107,Y107,AA107,AC107,AE107)</f>
        <v>11469.67</v>
      </c>
      <c r="F107" s="719">
        <f>IFERROR(E107/B107*100,0)</f>
        <v>100</v>
      </c>
      <c r="G107" s="719">
        <f>IFERROR(E107/C107*100,0)</f>
        <v>103.14757542265194</v>
      </c>
      <c r="H107" s="499">
        <v>0</v>
      </c>
      <c r="I107" s="499">
        <v>0</v>
      </c>
      <c r="J107" s="499">
        <v>0</v>
      </c>
      <c r="K107" s="499"/>
      <c r="L107" s="499">
        <v>3230</v>
      </c>
      <c r="M107" s="499">
        <v>3230</v>
      </c>
      <c r="N107" s="499">
        <v>4111</v>
      </c>
      <c r="O107" s="499">
        <v>4111</v>
      </c>
      <c r="P107" s="499">
        <v>0</v>
      </c>
      <c r="Q107" s="499"/>
      <c r="R107" s="499">
        <v>0</v>
      </c>
      <c r="S107" s="499"/>
      <c r="T107" s="499">
        <v>0</v>
      </c>
      <c r="U107" s="499"/>
      <c r="V107" s="499"/>
      <c r="W107" s="499"/>
      <c r="X107" s="499">
        <f>1119.67+181.5</f>
        <v>1301.17</v>
      </c>
      <c r="Y107" s="499">
        <f>1119.67-181.5+181.5</f>
        <v>1119.67</v>
      </c>
      <c r="Z107" s="499">
        <f>67.67+113.83+2477.5-181.5</f>
        <v>2477.5</v>
      </c>
      <c r="AA107" s="499">
        <f>2477.5+181.5</f>
        <v>2659</v>
      </c>
      <c r="AB107" s="499">
        <v>0</v>
      </c>
      <c r="AC107" s="499"/>
      <c r="AD107" s="499">
        <v>350</v>
      </c>
      <c r="AE107" s="108">
        <v>350</v>
      </c>
      <c r="AF107" s="29"/>
      <c r="AG107" s="99">
        <f t="shared" si="1"/>
        <v>0</v>
      </c>
    </row>
    <row r="108" spans="1:33" ht="287.25" customHeight="1" x14ac:dyDescent="0.3">
      <c r="A108" s="713" t="s">
        <v>513</v>
      </c>
      <c r="B108" s="594"/>
      <c r="C108" s="107"/>
      <c r="D108" s="107"/>
      <c r="E108" s="107"/>
      <c r="F108" s="107"/>
      <c r="G108" s="107"/>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641" t="s">
        <v>492</v>
      </c>
      <c r="AG108" s="99">
        <f t="shared" si="1"/>
        <v>0</v>
      </c>
    </row>
    <row r="109" spans="1:33" x14ac:dyDescent="0.3">
      <c r="A109" s="123" t="s">
        <v>31</v>
      </c>
      <c r="B109" s="591">
        <f>B111+B112+B110+B113</f>
        <v>2176192.7301999996</v>
      </c>
      <c r="C109" s="591">
        <f>C111+C112+C110+C113</f>
        <v>2176192.7301999996</v>
      </c>
      <c r="D109" s="591">
        <f>D111+D112+D110+D113</f>
        <v>2152624.23</v>
      </c>
      <c r="E109" s="110">
        <f>E111+E112+E110+E113</f>
        <v>2152624.23</v>
      </c>
      <c r="F109" s="110">
        <f>IFERROR(E109/B109*100,0)</f>
        <v>98.916984701174258</v>
      </c>
      <c r="G109" s="110">
        <f>IFERROR(E109/C109*100,0)</f>
        <v>98.916984701174258</v>
      </c>
      <c r="H109" s="110">
        <f t="shared" ref="H109:AE109" si="37">H111+H112+H110+H113</f>
        <v>154921.35999999999</v>
      </c>
      <c r="I109" s="110">
        <f t="shared" si="37"/>
        <v>32726.3</v>
      </c>
      <c r="J109" s="110">
        <f t="shared" si="37"/>
        <v>209296.92600000001</v>
      </c>
      <c r="K109" s="110">
        <f t="shared" si="37"/>
        <v>174495.7</v>
      </c>
      <c r="L109" s="110">
        <f t="shared" si="37"/>
        <v>185523.4</v>
      </c>
      <c r="M109" s="110">
        <f t="shared" si="37"/>
        <v>145599.5</v>
      </c>
      <c r="N109" s="110">
        <f t="shared" si="37"/>
        <v>225302.69</v>
      </c>
      <c r="O109" s="110">
        <f t="shared" si="37"/>
        <v>162726.53</v>
      </c>
      <c r="P109" s="110">
        <f t="shared" si="37"/>
        <v>380330.2</v>
      </c>
      <c r="Q109" s="110">
        <f t="shared" si="37"/>
        <v>380330.2</v>
      </c>
      <c r="R109" s="110">
        <f t="shared" si="37"/>
        <v>174083.41</v>
      </c>
      <c r="S109" s="110">
        <f t="shared" si="37"/>
        <v>178644.98</v>
      </c>
      <c r="T109" s="110">
        <f t="shared" si="37"/>
        <v>147201.99</v>
      </c>
      <c r="U109" s="110">
        <f t="shared" si="37"/>
        <v>124068</v>
      </c>
      <c r="V109" s="110">
        <f t="shared" si="37"/>
        <v>88859</v>
      </c>
      <c r="W109" s="110">
        <f t="shared" si="37"/>
        <v>88859</v>
      </c>
      <c r="X109" s="110">
        <f t="shared" si="37"/>
        <v>116638.19500000001</v>
      </c>
      <c r="Y109" s="110">
        <f t="shared" si="37"/>
        <v>94399.22</v>
      </c>
      <c r="Z109" s="110">
        <f t="shared" si="37"/>
        <v>111314.9</v>
      </c>
      <c r="AA109" s="110">
        <f t="shared" si="37"/>
        <v>215941.37</v>
      </c>
      <c r="AB109" s="110">
        <f t="shared" si="37"/>
        <v>224673.64</v>
      </c>
      <c r="AC109" s="110">
        <f t="shared" si="37"/>
        <v>151398.48000000001</v>
      </c>
      <c r="AD109" s="110">
        <f t="shared" si="37"/>
        <v>158047.01920000001</v>
      </c>
      <c r="AE109" s="110">
        <f t="shared" si="37"/>
        <v>403434.95</v>
      </c>
      <c r="AF109" s="29"/>
      <c r="AG109" s="99">
        <f t="shared" si="1"/>
        <v>0</v>
      </c>
    </row>
    <row r="110" spans="1:33" x14ac:dyDescent="0.3">
      <c r="A110" s="124" t="s">
        <v>169</v>
      </c>
      <c r="B110" s="113"/>
      <c r="C110" s="114"/>
      <c r="D110" s="115"/>
      <c r="E110" s="114"/>
      <c r="F110" s="113"/>
      <c r="G110" s="113"/>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29"/>
      <c r="AG110" s="99">
        <f t="shared" si="1"/>
        <v>0</v>
      </c>
    </row>
    <row r="111" spans="1:33" s="155" customFormat="1" x14ac:dyDescent="0.3">
      <c r="A111" s="124" t="s">
        <v>32</v>
      </c>
      <c r="B111" s="594">
        <f>J111+L111+N111+P111+R111+T111+V111+X111+Z111+AB111+AD111+H111</f>
        <v>2176192.7301999996</v>
      </c>
      <c r="C111" s="114">
        <f>H111+J111+L111+N111+P111+R111+T111+V111+X111+Z111+AB111+AD111</f>
        <v>2176192.7301999996</v>
      </c>
      <c r="D111" s="115">
        <f>E111</f>
        <v>2152624.23</v>
      </c>
      <c r="E111" s="114">
        <f>SUM(I111,K111,M111,O111,Q111,S111,U111,W111,Y111,AA111,AC111,AE111)</f>
        <v>2152624.23</v>
      </c>
      <c r="F111" s="113">
        <f>IFERROR(E111/B111*100,0)</f>
        <v>98.916984701174258</v>
      </c>
      <c r="G111" s="113">
        <f>IFERROR(E111/C111*100,0)</f>
        <v>98.916984701174258</v>
      </c>
      <c r="H111" s="134">
        <v>154921.35999999999</v>
      </c>
      <c r="I111" s="134">
        <v>32726.3</v>
      </c>
      <c r="J111" s="134">
        <v>209296.92600000001</v>
      </c>
      <c r="K111" s="134">
        <v>174495.7</v>
      </c>
      <c r="L111" s="134">
        <v>185523.4</v>
      </c>
      <c r="M111" s="134">
        <v>145599.5</v>
      </c>
      <c r="N111" s="134">
        <f>59.99+225242.7</f>
        <v>225302.69</v>
      </c>
      <c r="O111" s="134">
        <v>162726.53</v>
      </c>
      <c r="P111" s="134">
        <v>380330.2</v>
      </c>
      <c r="Q111" s="134">
        <v>380330.2</v>
      </c>
      <c r="R111" s="134">
        <f>174143.4-59.99</f>
        <v>174083.41</v>
      </c>
      <c r="S111" s="134">
        <v>178644.98</v>
      </c>
      <c r="T111" s="134">
        <f>23133.99+124068</f>
        <v>147201.99</v>
      </c>
      <c r="U111" s="134">
        <v>124068</v>
      </c>
      <c r="V111" s="134">
        <v>88859</v>
      </c>
      <c r="W111" s="134">
        <v>88859</v>
      </c>
      <c r="X111" s="134">
        <v>116638.19500000001</v>
      </c>
      <c r="Y111" s="134">
        <v>94399.22</v>
      </c>
      <c r="Z111" s="134">
        <v>111314.9</v>
      </c>
      <c r="AA111" s="134">
        <v>215941.37</v>
      </c>
      <c r="AB111" s="134">
        <f>119813.71+104424.5+5342.6-4907.17</f>
        <v>224673.64</v>
      </c>
      <c r="AC111" s="134">
        <v>151398.48000000001</v>
      </c>
      <c r="AD111" s="134">
        <v>158047.01920000001</v>
      </c>
      <c r="AE111" s="134">
        <v>403434.95</v>
      </c>
      <c r="AF111" s="88"/>
      <c r="AG111" s="726">
        <f t="shared" si="1"/>
        <v>0</v>
      </c>
    </row>
    <row r="112" spans="1:33" x14ac:dyDescent="0.3">
      <c r="A112" s="112" t="s">
        <v>33</v>
      </c>
      <c r="B112" s="113">
        <f>J112+L112+N112+P112+R112+T112+V112+X112+Z112+AB112+AD112+H112</f>
        <v>0</v>
      </c>
      <c r="C112" s="114">
        <f>SUM(H112)</f>
        <v>0</v>
      </c>
      <c r="D112" s="115">
        <f>E112</f>
        <v>0</v>
      </c>
      <c r="E112" s="114">
        <f>SUM(I112,K112,M112,O112,Q112,S112,U112,W112,Y112,AA112,AC112,AE112)</f>
        <v>0</v>
      </c>
      <c r="F112" s="113">
        <f>IFERROR(E112/B112*100,0)</f>
        <v>0</v>
      </c>
      <c r="G112" s="113">
        <f>IFERROR(E112/C112*100,0)</f>
        <v>0</v>
      </c>
      <c r="H112" s="108"/>
      <c r="I112" s="108"/>
      <c r="J112" s="108"/>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29"/>
      <c r="AG112" s="99">
        <f t="shared" si="1"/>
        <v>0</v>
      </c>
    </row>
    <row r="113" spans="1:33" x14ac:dyDescent="0.3">
      <c r="A113" s="112" t="s">
        <v>170</v>
      </c>
      <c r="B113" s="113"/>
      <c r="C113" s="114"/>
      <c r="D113" s="115"/>
      <c r="E113" s="114"/>
      <c r="F113" s="113"/>
      <c r="G113" s="113"/>
      <c r="H113" s="108"/>
      <c r="I113" s="108"/>
      <c r="J113" s="108"/>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29"/>
      <c r="AG113" s="99">
        <f t="shared" si="1"/>
        <v>0</v>
      </c>
    </row>
    <row r="114" spans="1:33" ht="260.25" customHeight="1" x14ac:dyDescent="0.3">
      <c r="A114" s="713" t="s">
        <v>559</v>
      </c>
      <c r="B114" s="594"/>
      <c r="C114" s="107"/>
      <c r="D114" s="107"/>
      <c r="E114" s="107"/>
      <c r="F114" s="107"/>
      <c r="G114" s="107"/>
      <c r="H114" s="108"/>
      <c r="I114" s="108"/>
      <c r="J114" s="108"/>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29"/>
      <c r="AG114" s="99">
        <f t="shared" si="1"/>
        <v>0</v>
      </c>
    </row>
    <row r="115" spans="1:33" x14ac:dyDescent="0.3">
      <c r="A115" s="590" t="s">
        <v>31</v>
      </c>
      <c r="B115" s="591">
        <f>B117+B118+B116+B119</f>
        <v>51000.799630000009</v>
      </c>
      <c r="C115" s="110">
        <f>C117+C118+C116+C119</f>
        <v>51000.799630000009</v>
      </c>
      <c r="D115" s="110">
        <f>D117+D118+D116+D119</f>
        <v>47453.68</v>
      </c>
      <c r="E115" s="110">
        <f>E117+E118+E116+E119</f>
        <v>47453.68</v>
      </c>
      <c r="F115" s="110">
        <f>IFERROR(E115/B115*100,0)</f>
        <v>93.044972518600474</v>
      </c>
      <c r="G115" s="110">
        <f>IFERROR(E115/C115*100,0)</f>
        <v>93.044972518600474</v>
      </c>
      <c r="H115" s="110">
        <f t="shared" ref="H115:AE115" si="38">H117+H118+H116+H119</f>
        <v>4196.0200000000004</v>
      </c>
      <c r="I115" s="110">
        <f t="shared" si="38"/>
        <v>1246.8</v>
      </c>
      <c r="J115" s="110">
        <f t="shared" si="38"/>
        <v>5361.4637899999998</v>
      </c>
      <c r="K115" s="110">
        <f t="shared" si="38"/>
        <v>3305.4</v>
      </c>
      <c r="L115" s="110">
        <f t="shared" si="38"/>
        <v>5339.3157899999997</v>
      </c>
      <c r="M115" s="110">
        <f t="shared" si="38"/>
        <v>4656.92</v>
      </c>
      <c r="N115" s="110">
        <f t="shared" si="38"/>
        <v>4827.5657899999997</v>
      </c>
      <c r="O115" s="110">
        <f t="shared" si="38"/>
        <v>4183.6499999999996</v>
      </c>
      <c r="P115" s="110">
        <f t="shared" si="38"/>
        <v>4491.1637700000001</v>
      </c>
      <c r="Q115" s="110">
        <f t="shared" si="38"/>
        <v>4491.16</v>
      </c>
      <c r="R115" s="110">
        <f t="shared" si="38"/>
        <v>3503.31378</v>
      </c>
      <c r="S115" s="110">
        <f t="shared" si="38"/>
        <v>4250.97</v>
      </c>
      <c r="T115" s="110">
        <f t="shared" si="38"/>
        <v>2771.1637900000001</v>
      </c>
      <c r="U115" s="110">
        <f t="shared" si="38"/>
        <v>2771.16</v>
      </c>
      <c r="V115" s="110">
        <f t="shared" si="38"/>
        <v>2371.16579</v>
      </c>
      <c r="W115" s="110">
        <f t="shared" si="38"/>
        <v>1896.17</v>
      </c>
      <c r="X115" s="110">
        <f t="shared" si="38"/>
        <v>3694.43379</v>
      </c>
      <c r="Y115" s="110">
        <f t="shared" si="38"/>
        <v>1948.63</v>
      </c>
      <c r="Z115" s="110">
        <f t="shared" si="38"/>
        <v>2401.0537899999999</v>
      </c>
      <c r="AA115" s="110">
        <f t="shared" si="38"/>
        <v>4144.2299999999996</v>
      </c>
      <c r="AB115" s="110">
        <f t="shared" si="38"/>
        <v>10241.693790000001</v>
      </c>
      <c r="AC115" s="110">
        <f t="shared" si="38"/>
        <v>5422.99</v>
      </c>
      <c r="AD115" s="110">
        <f t="shared" si="38"/>
        <v>1802.4457600000001</v>
      </c>
      <c r="AE115" s="110">
        <f t="shared" si="38"/>
        <v>9135.6</v>
      </c>
      <c r="AF115" s="29"/>
      <c r="AG115" s="99">
        <f t="shared" si="1"/>
        <v>4.0927261579781771E-12</v>
      </c>
    </row>
    <row r="116" spans="1:33" x14ac:dyDescent="0.3">
      <c r="A116" s="593" t="s">
        <v>169</v>
      </c>
      <c r="B116" s="594"/>
      <c r="C116" s="114"/>
      <c r="D116" s="115"/>
      <c r="E116" s="114"/>
      <c r="F116" s="113"/>
      <c r="G116" s="113"/>
      <c r="H116" s="108"/>
      <c r="I116" s="108"/>
      <c r="J116" s="108"/>
      <c r="K116" s="108"/>
      <c r="L116" s="108"/>
      <c r="M116" s="108"/>
      <c r="N116" s="108"/>
      <c r="O116" s="108"/>
      <c r="P116" s="108"/>
      <c r="Q116" s="108"/>
      <c r="R116" s="108"/>
      <c r="S116" s="108"/>
      <c r="T116" s="108"/>
      <c r="U116" s="108"/>
      <c r="V116" s="108"/>
      <c r="W116" s="108"/>
      <c r="X116" s="108"/>
      <c r="Y116" s="108"/>
      <c r="Z116" s="108"/>
      <c r="AA116" s="108"/>
      <c r="AB116" s="108"/>
      <c r="AC116" s="108"/>
      <c r="AD116" s="108"/>
      <c r="AE116" s="108"/>
      <c r="AF116" s="29"/>
      <c r="AG116" s="99">
        <f t="shared" si="1"/>
        <v>0</v>
      </c>
    </row>
    <row r="117" spans="1:33" x14ac:dyDescent="0.3">
      <c r="A117" s="593" t="s">
        <v>32</v>
      </c>
      <c r="B117" s="594">
        <f>J117+L117+N117+P117+R117+T117+V117+X117+Z117+AB117+AD117+H117</f>
        <v>51000.799630000009</v>
      </c>
      <c r="C117" s="114">
        <f>H117+J117+L117+N117+P117+R117+T117+V117+X117+Z117+AB117+AD117</f>
        <v>51000.799630000009</v>
      </c>
      <c r="D117" s="115">
        <f>E117</f>
        <v>47453.68</v>
      </c>
      <c r="E117" s="114">
        <f>SUM(I117,K117,M117,O117,Q117,S117,U117,W117,Y117,AA117,AC117,AE117)</f>
        <v>47453.68</v>
      </c>
      <c r="F117" s="113">
        <f>IFERROR(E117/B117*100,0)</f>
        <v>93.044972518600474</v>
      </c>
      <c r="G117" s="113">
        <f>IFERROR(E117/C117*100,0)</f>
        <v>93.044972518600474</v>
      </c>
      <c r="H117" s="134">
        <f>3940+256.02</f>
        <v>4196.0200000000004</v>
      </c>
      <c r="I117" s="134">
        <v>1246.8</v>
      </c>
      <c r="J117" s="108">
        <v>5361.4637899999998</v>
      </c>
      <c r="K117" s="108">
        <v>3305.4</v>
      </c>
      <c r="L117" s="108">
        <v>5339.3157899999997</v>
      </c>
      <c r="M117" s="108">
        <v>4656.92</v>
      </c>
      <c r="N117" s="108">
        <v>4827.5657899999997</v>
      </c>
      <c r="O117" s="108">
        <v>4183.6499999999996</v>
      </c>
      <c r="P117" s="108">
        <v>4491.1637700000001</v>
      </c>
      <c r="Q117" s="108">
        <v>4491.16</v>
      </c>
      <c r="R117" s="108">
        <f>3503.31378</f>
        <v>3503.31378</v>
      </c>
      <c r="S117" s="108">
        <v>4250.97</v>
      </c>
      <c r="T117" s="108">
        <v>2771.1637900000001</v>
      </c>
      <c r="U117" s="108">
        <v>2771.16</v>
      </c>
      <c r="V117" s="108">
        <v>2371.16579</v>
      </c>
      <c r="W117" s="108">
        <v>1896.17</v>
      </c>
      <c r="X117" s="108">
        <f>828.12+2866.31379</f>
        <v>3694.43379</v>
      </c>
      <c r="Y117" s="108">
        <v>1948.63</v>
      </c>
      <c r="Z117" s="108">
        <f>2401.06379-0.01</f>
        <v>2401.0537899999999</v>
      </c>
      <c r="AA117" s="108">
        <v>4144.2299999999996</v>
      </c>
      <c r="AB117" s="108">
        <f>8186.68+2055.01379</f>
        <v>10241.693790000001</v>
      </c>
      <c r="AC117" s="108">
        <v>5422.99</v>
      </c>
      <c r="AD117" s="108">
        <v>1802.4457600000001</v>
      </c>
      <c r="AE117" s="108">
        <v>9135.6</v>
      </c>
      <c r="AF117" s="29"/>
      <c r="AG117" s="99">
        <f t="shared" si="1"/>
        <v>4.0927261579781771E-12</v>
      </c>
    </row>
    <row r="118" spans="1:33" x14ac:dyDescent="0.3">
      <c r="A118" s="112" t="s">
        <v>33</v>
      </c>
      <c r="B118" s="113">
        <f>J118+L118+N118+P118+R118+T118+V118+X118+Z118+AB118+AD118+H118</f>
        <v>0</v>
      </c>
      <c r="C118" s="114">
        <f>SUM(H118)</f>
        <v>0</v>
      </c>
      <c r="D118" s="115">
        <f>E118</f>
        <v>0</v>
      </c>
      <c r="E118" s="114">
        <f>SUM(I118,K118,M118,O118,Q118,S118,U118,W118,Y118,AA118,AC118,AE118)</f>
        <v>0</v>
      </c>
      <c r="F118" s="113">
        <f>IFERROR(E118/B118*100,0)</f>
        <v>0</v>
      </c>
      <c r="G118" s="113">
        <f>IFERROR(E118/C118*100,0)</f>
        <v>0</v>
      </c>
      <c r="H118" s="108"/>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29"/>
      <c r="AG118" s="99">
        <f t="shared" si="1"/>
        <v>0</v>
      </c>
    </row>
    <row r="119" spans="1:33" x14ac:dyDescent="0.3">
      <c r="A119" s="112" t="s">
        <v>170</v>
      </c>
      <c r="B119" s="113"/>
      <c r="C119" s="114"/>
      <c r="D119" s="115"/>
      <c r="E119" s="114"/>
      <c r="F119" s="113"/>
      <c r="G119" s="113"/>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29"/>
      <c r="AG119" s="99">
        <f t="shared" si="1"/>
        <v>0</v>
      </c>
    </row>
    <row r="120" spans="1:33" ht="150" x14ac:dyDescent="0.3">
      <c r="A120" s="112" t="s">
        <v>622</v>
      </c>
      <c r="B120" s="113"/>
      <c r="C120" s="114"/>
      <c r="D120" s="115"/>
      <c r="E120" s="114"/>
      <c r="F120" s="113"/>
      <c r="G120" s="113"/>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29"/>
      <c r="AG120" s="99"/>
    </row>
    <row r="121" spans="1:33" x14ac:dyDescent="0.3">
      <c r="A121" s="109" t="s">
        <v>31</v>
      </c>
      <c r="B121" s="110">
        <f>B123+B124+B122+B125</f>
        <v>152.5</v>
      </c>
      <c r="C121" s="110">
        <f>C123+C124+C122+C125</f>
        <v>152.5</v>
      </c>
      <c r="D121" s="938">
        <f>D123+D124+D122+D125</f>
        <v>148.80000000000001</v>
      </c>
      <c r="E121" s="110">
        <f>E123+E124+E122+E125</f>
        <v>148.80000000000001</v>
      </c>
      <c r="F121" s="110">
        <f>IFERROR(E121/B121*100,0)</f>
        <v>97.573770491803288</v>
      </c>
      <c r="G121" s="110">
        <f>IFERROR(E121/C121*100,0)</f>
        <v>97.573770491803288</v>
      </c>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29"/>
      <c r="AG121" s="99"/>
    </row>
    <row r="122" spans="1:33" x14ac:dyDescent="0.3">
      <c r="A122" s="112" t="s">
        <v>169</v>
      </c>
      <c r="B122" s="113">
        <f>J122+L122+N122+P122+R122+T122+V122+X122+Z122+AB122+AD122+H122</f>
        <v>152.5</v>
      </c>
      <c r="C122" s="114">
        <f>H122+J122+L122+N122+P122+R122+T122+V122+X122+Z122+AB122+AD122</f>
        <v>152.5</v>
      </c>
      <c r="D122" s="115">
        <f>E122</f>
        <v>148.80000000000001</v>
      </c>
      <c r="E122" s="114">
        <f>SUM(I122,K122,M122,O122,Q122,S122,U122,W122,Y122,AA122,AC122,AE122)</f>
        <v>148.80000000000001</v>
      </c>
      <c r="F122" s="113">
        <f>IFERROR(E122/B122*100,0)</f>
        <v>97.573770491803288</v>
      </c>
      <c r="G122" s="113">
        <f>IFERROR(E122/C122*100,0)</f>
        <v>97.573770491803288</v>
      </c>
      <c r="H122" s="108"/>
      <c r="I122" s="108"/>
      <c r="J122" s="108"/>
      <c r="K122" s="108"/>
      <c r="L122" s="108"/>
      <c r="M122" s="108"/>
      <c r="N122" s="108"/>
      <c r="O122" s="108"/>
      <c r="P122" s="108"/>
      <c r="Q122" s="108"/>
      <c r="R122" s="108"/>
      <c r="S122" s="108"/>
      <c r="T122" s="108"/>
      <c r="U122" s="108"/>
      <c r="V122" s="108"/>
      <c r="W122" s="108"/>
      <c r="X122" s="108">
        <f>39.05-3.7</f>
        <v>35.349999999999994</v>
      </c>
      <c r="Y122" s="108">
        <v>30</v>
      </c>
      <c r="Z122" s="108">
        <v>39.049999999999997</v>
      </c>
      <c r="AA122" s="108">
        <v>26.1</v>
      </c>
      <c r="AB122" s="108">
        <v>39.049999999999997</v>
      </c>
      <c r="AC122" s="108">
        <v>52</v>
      </c>
      <c r="AD122" s="108">
        <v>39.049999999999997</v>
      </c>
      <c r="AE122" s="108">
        <v>40.700000000000003</v>
      </c>
      <c r="AF122" s="29"/>
      <c r="AG122" s="99"/>
    </row>
    <row r="123" spans="1:33" x14ac:dyDescent="0.3">
      <c r="A123" s="112" t="s">
        <v>32</v>
      </c>
      <c r="B123" s="113"/>
      <c r="C123" s="114"/>
      <c r="D123" s="115"/>
      <c r="E123" s="114"/>
      <c r="F123" s="113"/>
      <c r="G123" s="113"/>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29"/>
      <c r="AG123" s="99"/>
    </row>
    <row r="124" spans="1:33" x14ac:dyDescent="0.3">
      <c r="A124" s="112" t="s">
        <v>33</v>
      </c>
      <c r="B124" s="113"/>
      <c r="C124" s="114"/>
      <c r="D124" s="115"/>
      <c r="E124" s="114"/>
      <c r="F124" s="113"/>
      <c r="G124" s="113"/>
      <c r="H124" s="108"/>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29"/>
      <c r="AG124" s="99"/>
    </row>
    <row r="125" spans="1:33" x14ac:dyDescent="0.3">
      <c r="A125" s="112" t="s">
        <v>170</v>
      </c>
      <c r="B125" s="113"/>
      <c r="C125" s="114"/>
      <c r="D125" s="115"/>
      <c r="E125" s="114"/>
      <c r="F125" s="113"/>
      <c r="G125" s="113"/>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29"/>
      <c r="AG125" s="99"/>
    </row>
    <row r="126" spans="1:33" x14ac:dyDescent="0.3">
      <c r="A126" s="112"/>
      <c r="B126" s="113"/>
      <c r="C126" s="114"/>
      <c r="D126" s="115"/>
      <c r="E126" s="114"/>
      <c r="F126" s="113"/>
      <c r="G126" s="113"/>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29"/>
      <c r="AG126" s="99"/>
    </row>
    <row r="127" spans="1:33" x14ac:dyDescent="0.3">
      <c r="A127" s="112"/>
      <c r="B127" s="113"/>
      <c r="C127" s="114"/>
      <c r="D127" s="115"/>
      <c r="E127" s="114"/>
      <c r="F127" s="113"/>
      <c r="G127" s="113"/>
      <c r="H127" s="108"/>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29"/>
      <c r="AG127" s="99"/>
    </row>
    <row r="128" spans="1:33" ht="123" customHeight="1" x14ac:dyDescent="0.3">
      <c r="A128" s="713" t="s">
        <v>284</v>
      </c>
      <c r="B128" s="594"/>
      <c r="C128" s="602"/>
      <c r="D128" s="602"/>
      <c r="E128" s="602"/>
      <c r="F128" s="602"/>
      <c r="G128" s="602"/>
      <c r="H128" s="499"/>
      <c r="I128" s="499"/>
      <c r="J128" s="499"/>
      <c r="K128" s="499"/>
      <c r="L128" s="499"/>
      <c r="M128" s="499"/>
      <c r="N128" s="499"/>
      <c r="O128" s="499"/>
      <c r="P128" s="499"/>
      <c r="Q128" s="108"/>
      <c r="R128" s="108"/>
      <c r="S128" s="108"/>
      <c r="T128" s="108"/>
      <c r="U128" s="108"/>
      <c r="V128" s="108"/>
      <c r="W128" s="108"/>
      <c r="X128" s="108"/>
      <c r="Y128" s="108"/>
      <c r="Z128" s="108"/>
      <c r="AA128" s="108"/>
      <c r="AB128" s="108"/>
      <c r="AC128" s="108"/>
      <c r="AD128" s="108"/>
      <c r="AE128" s="108"/>
      <c r="AF128" s="647" t="s">
        <v>496</v>
      </c>
      <c r="AG128" s="99">
        <f t="shared" si="1"/>
        <v>0</v>
      </c>
    </row>
    <row r="129" spans="1:34" x14ac:dyDescent="0.3">
      <c r="A129" s="590" t="s">
        <v>31</v>
      </c>
      <c r="B129" s="591">
        <f>B131+B132+B130+B133</f>
        <v>9360</v>
      </c>
      <c r="C129" s="591">
        <f>C131+C132+C130+C133</f>
        <v>9360</v>
      </c>
      <c r="D129" s="591">
        <f>D131+D132+D130+D133</f>
        <v>9360</v>
      </c>
      <c r="E129" s="591">
        <f>E131+E132+E130+E133</f>
        <v>9360</v>
      </c>
      <c r="F129" s="591">
        <f>IFERROR(E129/B129*100,0)</f>
        <v>100</v>
      </c>
      <c r="G129" s="591">
        <f>IFERROR(E129/C129*100,0)</f>
        <v>100</v>
      </c>
      <c r="H129" s="591">
        <f t="shared" ref="H129:AE129" si="39">H131+H132+H130+H133</f>
        <v>980</v>
      </c>
      <c r="I129" s="591">
        <f t="shared" si="39"/>
        <v>0</v>
      </c>
      <c r="J129" s="591">
        <f t="shared" si="39"/>
        <v>720</v>
      </c>
      <c r="K129" s="591">
        <f t="shared" si="39"/>
        <v>720</v>
      </c>
      <c r="L129" s="591">
        <f t="shared" si="39"/>
        <v>652</v>
      </c>
      <c r="M129" s="591">
        <f t="shared" si="39"/>
        <v>652</v>
      </c>
      <c r="N129" s="591">
        <f t="shared" si="39"/>
        <v>652</v>
      </c>
      <c r="O129" s="591">
        <f t="shared" si="39"/>
        <v>652</v>
      </c>
      <c r="P129" s="591">
        <f t="shared" si="39"/>
        <v>980</v>
      </c>
      <c r="Q129" s="110">
        <f t="shared" si="39"/>
        <v>980</v>
      </c>
      <c r="R129" s="110">
        <f t="shared" si="39"/>
        <v>384</v>
      </c>
      <c r="S129" s="110">
        <f t="shared" si="39"/>
        <v>384</v>
      </c>
      <c r="T129" s="110">
        <f t="shared" si="39"/>
        <v>980</v>
      </c>
      <c r="U129" s="110">
        <f t="shared" si="39"/>
        <v>980</v>
      </c>
      <c r="V129" s="110">
        <f t="shared" si="39"/>
        <v>693</v>
      </c>
      <c r="W129" s="110">
        <f t="shared" si="39"/>
        <v>692</v>
      </c>
      <c r="X129" s="110">
        <f t="shared" si="39"/>
        <v>255</v>
      </c>
      <c r="Y129" s="110">
        <f t="shared" si="39"/>
        <v>500</v>
      </c>
      <c r="Z129" s="110">
        <f t="shared" si="39"/>
        <v>1960</v>
      </c>
      <c r="AA129" s="110">
        <f t="shared" si="39"/>
        <v>1180</v>
      </c>
      <c r="AB129" s="110">
        <f t="shared" si="39"/>
        <v>0</v>
      </c>
      <c r="AC129" s="110">
        <f t="shared" si="39"/>
        <v>948</v>
      </c>
      <c r="AD129" s="110">
        <f t="shared" si="39"/>
        <v>1104</v>
      </c>
      <c r="AE129" s="110">
        <f t="shared" si="39"/>
        <v>1672</v>
      </c>
      <c r="AF129" s="29"/>
      <c r="AG129" s="99">
        <f t="shared" si="1"/>
        <v>0</v>
      </c>
    </row>
    <row r="130" spans="1:34" x14ac:dyDescent="0.3">
      <c r="A130" s="593" t="s">
        <v>169</v>
      </c>
      <c r="B130" s="594"/>
      <c r="C130" s="712"/>
      <c r="D130" s="715"/>
      <c r="E130" s="712"/>
      <c r="F130" s="594"/>
      <c r="G130" s="594"/>
      <c r="H130" s="499"/>
      <c r="I130" s="499"/>
      <c r="J130" s="499"/>
      <c r="K130" s="499"/>
      <c r="L130" s="499"/>
      <c r="M130" s="499"/>
      <c r="N130" s="499"/>
      <c r="O130" s="499"/>
      <c r="P130" s="499"/>
      <c r="Q130" s="108"/>
      <c r="R130" s="108"/>
      <c r="S130" s="108"/>
      <c r="T130" s="108"/>
      <c r="U130" s="108"/>
      <c r="V130" s="108"/>
      <c r="W130" s="108"/>
      <c r="X130" s="108"/>
      <c r="Y130" s="108"/>
      <c r="Z130" s="108"/>
      <c r="AA130" s="108"/>
      <c r="AB130" s="108"/>
      <c r="AC130" s="108"/>
      <c r="AD130" s="108"/>
      <c r="AE130" s="108"/>
      <c r="AF130" s="29"/>
      <c r="AG130" s="99">
        <f t="shared" si="1"/>
        <v>0</v>
      </c>
    </row>
    <row r="131" spans="1:34" x14ac:dyDescent="0.3">
      <c r="A131" s="593" t="s">
        <v>32</v>
      </c>
      <c r="B131" s="594">
        <f>J131+L131+N131+P131+R131+T131+V131+X131+Z131+AB131+AD131+H131</f>
        <v>9360</v>
      </c>
      <c r="C131" s="712">
        <f>H131+J131+L131+N131+P131+R131+T131+V131+X131+Z131+AB131+AD131</f>
        <v>9360</v>
      </c>
      <c r="D131" s="715">
        <f>E131</f>
        <v>9360</v>
      </c>
      <c r="E131" s="712">
        <f>SUM(I131,K131,M131,O131,Q131,S131,U131,W131,Y131,AA131,AC131,AE131)</f>
        <v>9360</v>
      </c>
      <c r="F131" s="594">
        <f>IFERROR(E131/B131*100,0)</f>
        <v>100</v>
      </c>
      <c r="G131" s="594">
        <f>IFERROR(E131/C131*100,0)</f>
        <v>100</v>
      </c>
      <c r="H131" s="499">
        <v>980</v>
      </c>
      <c r="I131" s="499"/>
      <c r="J131" s="499">
        <v>720</v>
      </c>
      <c r="K131" s="499">
        <v>720</v>
      </c>
      <c r="L131" s="499">
        <v>652</v>
      </c>
      <c r="M131" s="499">
        <v>652</v>
      </c>
      <c r="N131" s="499">
        <v>652</v>
      </c>
      <c r="O131" s="499">
        <v>652</v>
      </c>
      <c r="P131" s="499">
        <v>980</v>
      </c>
      <c r="Q131" s="108">
        <v>980</v>
      </c>
      <c r="R131" s="108">
        <v>384</v>
      </c>
      <c r="S131" s="108">
        <v>384</v>
      </c>
      <c r="T131" s="108">
        <v>980</v>
      </c>
      <c r="U131" s="108">
        <v>980</v>
      </c>
      <c r="V131" s="108">
        <v>693</v>
      </c>
      <c r="W131" s="108">
        <v>692</v>
      </c>
      <c r="X131" s="108">
        <f>500-245</f>
        <v>255</v>
      </c>
      <c r="Y131" s="108">
        <v>500</v>
      </c>
      <c r="Z131" s="108">
        <v>1960</v>
      </c>
      <c r="AA131" s="108">
        <v>1180</v>
      </c>
      <c r="AB131" s="108"/>
      <c r="AC131" s="108">
        <v>948</v>
      </c>
      <c r="AD131" s="108">
        <v>1104</v>
      </c>
      <c r="AE131" s="108">
        <v>1672</v>
      </c>
      <c r="AF131" s="29"/>
      <c r="AG131" s="99">
        <f t="shared" si="1"/>
        <v>0</v>
      </c>
      <c r="AH131" s="646">
        <f>C131-E131</f>
        <v>0</v>
      </c>
    </row>
    <row r="132" spans="1:34" x14ac:dyDescent="0.3">
      <c r="A132" s="593" t="s">
        <v>33</v>
      </c>
      <c r="B132" s="594">
        <f>J132+L132+N132+P132+R132+T132+V132+X132+Z132+AB132+AD132+H132</f>
        <v>0</v>
      </c>
      <c r="C132" s="712">
        <f>SUM(H132)</f>
        <v>0</v>
      </c>
      <c r="D132" s="715">
        <f>E132</f>
        <v>0</v>
      </c>
      <c r="E132" s="712">
        <f>SUM(I132,K132,M132,O132,Q132,S132,U132,W132,Y132,AA132,AC132,AE132)</f>
        <v>0</v>
      </c>
      <c r="F132" s="594">
        <f>IFERROR(E132/B132*100,0)</f>
        <v>0</v>
      </c>
      <c r="G132" s="594">
        <f>IFERROR(E132/C132*100,0)</f>
        <v>0</v>
      </c>
      <c r="H132" s="499"/>
      <c r="I132" s="499"/>
      <c r="J132" s="499"/>
      <c r="K132" s="499"/>
      <c r="L132" s="499"/>
      <c r="M132" s="499"/>
      <c r="N132" s="499"/>
      <c r="O132" s="499"/>
      <c r="P132" s="499"/>
      <c r="Q132" s="108"/>
      <c r="R132" s="108"/>
      <c r="S132" s="108"/>
      <c r="T132" s="108"/>
      <c r="U132" s="108"/>
      <c r="V132" s="108"/>
      <c r="W132" s="108"/>
      <c r="X132" s="108"/>
      <c r="Y132" s="108"/>
      <c r="Z132" s="108"/>
      <c r="AA132" s="108"/>
      <c r="AB132" s="108"/>
      <c r="AC132" s="108"/>
      <c r="AD132" s="108"/>
      <c r="AE132" s="108"/>
      <c r="AF132" s="29"/>
      <c r="AG132" s="99">
        <f t="shared" si="1"/>
        <v>0</v>
      </c>
    </row>
    <row r="133" spans="1:34" x14ac:dyDescent="0.3">
      <c r="A133" s="593" t="s">
        <v>170</v>
      </c>
      <c r="B133" s="594"/>
      <c r="C133" s="712"/>
      <c r="D133" s="715"/>
      <c r="E133" s="712"/>
      <c r="F133" s="594"/>
      <c r="G133" s="594"/>
      <c r="H133" s="499"/>
      <c r="I133" s="499"/>
      <c r="J133" s="499"/>
      <c r="K133" s="499"/>
      <c r="L133" s="499"/>
      <c r="M133" s="499"/>
      <c r="N133" s="499"/>
      <c r="O133" s="499"/>
      <c r="P133" s="499"/>
      <c r="Q133" s="108"/>
      <c r="R133" s="108"/>
      <c r="S133" s="108"/>
      <c r="T133" s="108"/>
      <c r="U133" s="108"/>
      <c r="V133" s="108"/>
      <c r="W133" s="108"/>
      <c r="X133" s="108"/>
      <c r="Y133" s="108"/>
      <c r="Z133" s="108"/>
      <c r="AA133" s="108"/>
      <c r="AB133" s="108"/>
      <c r="AC133" s="108"/>
      <c r="AD133" s="108"/>
      <c r="AE133" s="108"/>
      <c r="AF133" s="29"/>
      <c r="AG133" s="99">
        <f t="shared" si="1"/>
        <v>0</v>
      </c>
    </row>
    <row r="134" spans="1:34" ht="123" customHeight="1" x14ac:dyDescent="0.3">
      <c r="A134" s="713" t="s">
        <v>285</v>
      </c>
      <c r="B134" s="594"/>
      <c r="C134" s="602"/>
      <c r="D134" s="602"/>
      <c r="E134" s="602"/>
      <c r="F134" s="602"/>
      <c r="G134" s="602"/>
      <c r="H134" s="499"/>
      <c r="I134" s="499"/>
      <c r="J134" s="499"/>
      <c r="K134" s="499"/>
      <c r="L134" s="499"/>
      <c r="M134" s="499"/>
      <c r="N134" s="499"/>
      <c r="O134" s="499"/>
      <c r="P134" s="499"/>
      <c r="Q134" s="108"/>
      <c r="R134" s="108"/>
      <c r="S134" s="108"/>
      <c r="T134" s="108"/>
      <c r="U134" s="108"/>
      <c r="V134" s="108"/>
      <c r="W134" s="108"/>
      <c r="X134" s="108"/>
      <c r="Y134" s="108"/>
      <c r="Z134" s="108"/>
      <c r="AA134" s="108"/>
      <c r="AB134" s="108"/>
      <c r="AC134" s="108"/>
      <c r="AD134" s="108"/>
      <c r="AE134" s="108"/>
      <c r="AF134" s="29"/>
      <c r="AG134" s="99">
        <f t="shared" si="1"/>
        <v>0</v>
      </c>
    </row>
    <row r="135" spans="1:34" x14ac:dyDescent="0.3">
      <c r="A135" s="123" t="s">
        <v>31</v>
      </c>
      <c r="B135" s="591">
        <f>B137+B138+B136+B139</f>
        <v>53096.869999999995</v>
      </c>
      <c r="C135" s="110">
        <f>C137+C138+C136+C139</f>
        <v>53096.869999999995</v>
      </c>
      <c r="D135" s="110">
        <f>D137+D138+D136+D139</f>
        <v>50651.040000000001</v>
      </c>
      <c r="E135" s="110">
        <f>E137+E138+E136+E139</f>
        <v>50651.040000000001</v>
      </c>
      <c r="F135" s="110">
        <f>IFERROR(E135/B135*100,0)</f>
        <v>95.393645614138848</v>
      </c>
      <c r="G135" s="110">
        <f>IFERROR(E135/C135*100,0)</f>
        <v>95.393645614138848</v>
      </c>
      <c r="H135" s="110">
        <f t="shared" ref="H135:AE135" si="40">H137+H138+H136+H139</f>
        <v>0</v>
      </c>
      <c r="I135" s="110">
        <f t="shared" si="40"/>
        <v>0</v>
      </c>
      <c r="J135" s="110">
        <f t="shared" si="40"/>
        <v>2974.6</v>
      </c>
      <c r="K135" s="110">
        <f t="shared" si="40"/>
        <v>2974.1</v>
      </c>
      <c r="L135" s="110">
        <f t="shared" si="40"/>
        <v>3148.4</v>
      </c>
      <c r="M135" s="110">
        <f t="shared" si="40"/>
        <v>3148.4</v>
      </c>
      <c r="N135" s="110">
        <f t="shared" si="40"/>
        <v>2989.8</v>
      </c>
      <c r="O135" s="110">
        <f t="shared" si="40"/>
        <v>2989.81</v>
      </c>
      <c r="P135" s="110">
        <f t="shared" si="40"/>
        <v>2989.8</v>
      </c>
      <c r="Q135" s="110">
        <f t="shared" si="40"/>
        <v>2989.8</v>
      </c>
      <c r="R135" s="110">
        <f t="shared" si="40"/>
        <v>3757.2</v>
      </c>
      <c r="S135" s="110">
        <f t="shared" si="40"/>
        <v>3740.36</v>
      </c>
      <c r="T135" s="110">
        <f t="shared" si="40"/>
        <v>3500</v>
      </c>
      <c r="U135" s="110">
        <f t="shared" si="40"/>
        <v>3500</v>
      </c>
      <c r="V135" s="110">
        <f t="shared" si="40"/>
        <v>4531.87</v>
      </c>
      <c r="W135" s="110">
        <f t="shared" si="40"/>
        <v>4531.87</v>
      </c>
      <c r="X135" s="110">
        <f t="shared" si="40"/>
        <v>4266.09</v>
      </c>
      <c r="Y135" s="110">
        <f t="shared" si="40"/>
        <v>4283.42</v>
      </c>
      <c r="Z135" s="110">
        <f t="shared" si="40"/>
        <v>5000</v>
      </c>
      <c r="AA135" s="110">
        <f t="shared" si="40"/>
        <v>4065.48</v>
      </c>
      <c r="AB135" s="110">
        <f t="shared" si="40"/>
        <v>4575.76</v>
      </c>
      <c r="AC135" s="110">
        <f t="shared" si="40"/>
        <v>4575.76</v>
      </c>
      <c r="AD135" s="110">
        <f t="shared" si="40"/>
        <v>15363.349999999995</v>
      </c>
      <c r="AE135" s="110">
        <f t="shared" si="40"/>
        <v>13852.04</v>
      </c>
      <c r="AF135" s="29"/>
      <c r="AG135" s="99">
        <f t="shared" si="1"/>
        <v>0</v>
      </c>
    </row>
    <row r="136" spans="1:34" x14ac:dyDescent="0.3">
      <c r="A136" s="124" t="s">
        <v>169</v>
      </c>
      <c r="B136" s="594"/>
      <c r="C136" s="114"/>
      <c r="D136" s="115"/>
      <c r="E136" s="114"/>
      <c r="F136" s="113"/>
      <c r="G136" s="113"/>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29"/>
      <c r="AG136" s="99">
        <f t="shared" si="1"/>
        <v>0</v>
      </c>
    </row>
    <row r="137" spans="1:34" ht="30.75" customHeight="1" x14ac:dyDescent="0.3">
      <c r="A137" s="124" t="s">
        <v>32</v>
      </c>
      <c r="B137" s="594">
        <f>J137+L137+N137+P137+R137+T137+V137+X137+Z137+AB137+AD137+H137</f>
        <v>53096.869999999995</v>
      </c>
      <c r="C137" s="114">
        <f>H137+J137+L137+N137+P137+R137+T137+V137+X137+Z137+AB137+AD137</f>
        <v>53096.869999999995</v>
      </c>
      <c r="D137" s="115">
        <f>E137</f>
        <v>50651.040000000001</v>
      </c>
      <c r="E137" s="114">
        <f>SUM(I137,K137,M137,O137,Q137,S137,U137,W137,Y137,AA137,AC137,AE137)</f>
        <v>50651.040000000001</v>
      </c>
      <c r="F137" s="113">
        <f>IFERROR(E137/B137*100,0)</f>
        <v>95.393645614138848</v>
      </c>
      <c r="G137" s="113">
        <f>IFERROR(E137/C137*100,0)</f>
        <v>95.393645614138848</v>
      </c>
      <c r="H137" s="108"/>
      <c r="I137" s="108"/>
      <c r="J137" s="108">
        <f>3300-325.4</f>
        <v>2974.6</v>
      </c>
      <c r="K137" s="108">
        <v>2974.1</v>
      </c>
      <c r="L137" s="108">
        <v>3148.4</v>
      </c>
      <c r="M137" s="108">
        <v>3148.4</v>
      </c>
      <c r="N137" s="108">
        <f>2664.4+325.4</f>
        <v>2989.8</v>
      </c>
      <c r="O137" s="108">
        <v>2989.81</v>
      </c>
      <c r="P137" s="108">
        <v>2989.8</v>
      </c>
      <c r="Q137" s="108">
        <v>2989.8</v>
      </c>
      <c r="R137" s="108">
        <v>3757.2</v>
      </c>
      <c r="S137" s="108">
        <v>3740.36</v>
      </c>
      <c r="T137" s="108">
        <v>3500</v>
      </c>
      <c r="U137" s="108">
        <v>3500</v>
      </c>
      <c r="V137" s="108">
        <v>4531.87</v>
      </c>
      <c r="W137" s="108">
        <v>4531.87</v>
      </c>
      <c r="X137" s="108">
        <f>4283.42-17.33</f>
        <v>4266.09</v>
      </c>
      <c r="Y137" s="108">
        <v>4283.42</v>
      </c>
      <c r="Z137" s="108">
        <v>5000</v>
      </c>
      <c r="AA137" s="108">
        <v>4065.48</v>
      </c>
      <c r="AB137" s="108">
        <v>4575.76</v>
      </c>
      <c r="AC137" s="108">
        <v>4575.76</v>
      </c>
      <c r="AD137" s="108">
        <f>60894.6-3300-3148.4-6224.4+3560-6747-8031.87-4283.42+17.33-5000-4575.76-7797.73</f>
        <v>15363.349999999995</v>
      </c>
      <c r="AE137" s="108">
        <f>934.52+12917.52</f>
        <v>13852.04</v>
      </c>
      <c r="AF137" s="647" t="s">
        <v>496</v>
      </c>
      <c r="AG137" s="99">
        <f>B137-H137-J137-L137-N137-P137-R137-T137-V137-X137-Z137-AB137-AD137</f>
        <v>0</v>
      </c>
      <c r="AH137" s="646">
        <f>C137-E137</f>
        <v>2445.8299999999945</v>
      </c>
    </row>
    <row r="138" spans="1:34" x14ac:dyDescent="0.3">
      <c r="A138" s="112" t="s">
        <v>33</v>
      </c>
      <c r="B138" s="113">
        <f>J138+L138+N138+P138+R138+T138+V138+X138+Z138+AB138+AD138+H138</f>
        <v>0</v>
      </c>
      <c r="C138" s="114">
        <f>SUM(H138)</f>
        <v>0</v>
      </c>
      <c r="D138" s="115">
        <f>E138</f>
        <v>0</v>
      </c>
      <c r="E138" s="114">
        <f>SUM(I138,K138,M138,O138,Q138,S138,U138,W138,Y138,AA138,AC138,AE138)</f>
        <v>0</v>
      </c>
      <c r="F138" s="113">
        <f>IFERROR(E138/B138*100,0)</f>
        <v>0</v>
      </c>
      <c r="G138" s="113">
        <f>IFERROR(E138/C138*100,0)</f>
        <v>0</v>
      </c>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29"/>
      <c r="AG138" s="99">
        <f t="shared" si="1"/>
        <v>0</v>
      </c>
    </row>
    <row r="139" spans="1:34" x14ac:dyDescent="0.3">
      <c r="A139" s="112" t="s">
        <v>170</v>
      </c>
      <c r="B139" s="113"/>
      <c r="C139" s="114"/>
      <c r="D139" s="115"/>
      <c r="E139" s="114"/>
      <c r="F139" s="113"/>
      <c r="G139" s="113"/>
      <c r="H139" s="108"/>
      <c r="I139" s="108"/>
      <c r="J139" s="108"/>
      <c r="K139" s="108"/>
      <c r="L139" s="108"/>
      <c r="M139" s="108"/>
      <c r="N139" s="108"/>
      <c r="O139" s="108"/>
      <c r="P139" s="108"/>
      <c r="Q139" s="108"/>
      <c r="R139" s="108"/>
      <c r="S139" s="108"/>
      <c r="T139" s="108"/>
      <c r="U139" s="108"/>
      <c r="V139" s="108"/>
      <c r="W139" s="108"/>
      <c r="X139" s="108"/>
      <c r="Y139" s="108"/>
      <c r="Z139" s="108"/>
      <c r="AA139" s="108"/>
      <c r="AB139" s="108"/>
      <c r="AC139" s="108"/>
      <c r="AD139" s="108"/>
      <c r="AE139" s="108"/>
      <c r="AF139" s="29"/>
      <c r="AG139" s="99">
        <f t="shared" si="1"/>
        <v>0</v>
      </c>
    </row>
    <row r="140" spans="1:34" ht="43.5" customHeight="1" x14ac:dyDescent="0.3">
      <c r="A140" s="121" t="s">
        <v>286</v>
      </c>
      <c r="B140" s="101"/>
      <c r="C140" s="122"/>
      <c r="D140" s="122"/>
      <c r="E140" s="122"/>
      <c r="F140" s="122"/>
      <c r="G140" s="122"/>
      <c r="H140" s="122"/>
      <c r="I140" s="122"/>
      <c r="J140" s="122"/>
      <c r="K140" s="122"/>
      <c r="L140" s="122"/>
      <c r="M140" s="122"/>
      <c r="N140" s="122"/>
      <c r="O140" s="122"/>
      <c r="P140" s="122"/>
      <c r="Q140" s="122"/>
      <c r="R140" s="122"/>
      <c r="S140" s="122"/>
      <c r="T140" s="122"/>
      <c r="U140" s="122"/>
      <c r="V140" s="122"/>
      <c r="W140" s="122"/>
      <c r="X140" s="122"/>
      <c r="Y140" s="122"/>
      <c r="Z140" s="122"/>
      <c r="AA140" s="122"/>
      <c r="AB140" s="122"/>
      <c r="AC140" s="122"/>
      <c r="AD140" s="122"/>
      <c r="AE140" s="122"/>
      <c r="AF140" s="98"/>
      <c r="AG140" s="99">
        <f t="shared" si="1"/>
        <v>0</v>
      </c>
    </row>
    <row r="141" spans="1:34" x14ac:dyDescent="0.3">
      <c r="A141" s="125" t="s">
        <v>31</v>
      </c>
      <c r="B141" s="101">
        <f>B142+B143+B144+B145</f>
        <v>54068.534820000001</v>
      </c>
      <c r="C141" s="101">
        <f>C142+C143+C144+C145</f>
        <v>54068.534820000001</v>
      </c>
      <c r="D141" s="101">
        <f>D142+D143+D144</f>
        <v>40741.964599999992</v>
      </c>
      <c r="E141" s="101">
        <f>E142+E143+E144</f>
        <v>40741.964599999992</v>
      </c>
      <c r="F141" s="101">
        <f>IFERROR(E141/B141*100,0)</f>
        <v>75.352448028477923</v>
      </c>
      <c r="G141" s="101">
        <f>IFERROR(E141/C141*100,0)</f>
        <v>75.352448028477923</v>
      </c>
      <c r="H141" s="101">
        <f>H142+H143+H144</f>
        <v>9700</v>
      </c>
      <c r="I141" s="101">
        <f t="shared" ref="I141:AE141" si="41">I142+I143+I144</f>
        <v>0</v>
      </c>
      <c r="J141" s="101">
        <f t="shared" si="41"/>
        <v>0</v>
      </c>
      <c r="K141" s="101">
        <f t="shared" si="41"/>
        <v>8394</v>
      </c>
      <c r="L141" s="101">
        <f t="shared" si="41"/>
        <v>1622.5</v>
      </c>
      <c r="M141" s="101">
        <f t="shared" si="41"/>
        <v>1622.5</v>
      </c>
      <c r="N141" s="101">
        <f t="shared" si="41"/>
        <v>2120.8173200000001</v>
      </c>
      <c r="O141" s="101">
        <f t="shared" si="41"/>
        <v>2107.9</v>
      </c>
      <c r="P141" s="101">
        <f t="shared" si="41"/>
        <v>5538.4589599999999</v>
      </c>
      <c r="Q141" s="101">
        <f t="shared" si="41"/>
        <v>1589.5</v>
      </c>
      <c r="R141" s="101">
        <f t="shared" si="41"/>
        <v>9817.7839399999993</v>
      </c>
      <c r="S141" s="101">
        <f t="shared" si="41"/>
        <v>9185.36</v>
      </c>
      <c r="T141" s="101">
        <f t="shared" si="41"/>
        <v>14606.788</v>
      </c>
      <c r="U141" s="101">
        <f t="shared" si="41"/>
        <v>4391.8999999999996</v>
      </c>
      <c r="V141" s="101">
        <f t="shared" si="41"/>
        <v>560.98</v>
      </c>
      <c r="W141" s="101">
        <f t="shared" si="41"/>
        <v>10938.52</v>
      </c>
      <c r="X141" s="101">
        <f t="shared" si="41"/>
        <v>0</v>
      </c>
      <c r="Y141" s="101">
        <f t="shared" si="41"/>
        <v>2251.5346</v>
      </c>
      <c r="Z141" s="101">
        <f t="shared" si="41"/>
        <v>1090.1125000000002</v>
      </c>
      <c r="AA141" s="101">
        <f t="shared" si="41"/>
        <v>260.75</v>
      </c>
      <c r="AB141" s="101">
        <f t="shared" si="41"/>
        <v>0</v>
      </c>
      <c r="AC141" s="101">
        <f t="shared" si="41"/>
        <v>0</v>
      </c>
      <c r="AD141" s="101">
        <f t="shared" si="41"/>
        <v>1029.2541000000001</v>
      </c>
      <c r="AE141" s="101">
        <f t="shared" si="41"/>
        <v>0</v>
      </c>
      <c r="AF141" s="98"/>
      <c r="AG141" s="99">
        <f t="shared" si="1"/>
        <v>7981.8399999999947</v>
      </c>
    </row>
    <row r="142" spans="1:34" x14ac:dyDescent="0.3">
      <c r="A142" s="126" t="s">
        <v>169</v>
      </c>
      <c r="B142" s="104">
        <f t="shared" ref="B142:E144" si="42">B148+B155</f>
        <v>0</v>
      </c>
      <c r="C142" s="104">
        <f t="shared" si="42"/>
        <v>0</v>
      </c>
      <c r="D142" s="104">
        <f t="shared" si="42"/>
        <v>0</v>
      </c>
      <c r="E142" s="104">
        <f t="shared" si="42"/>
        <v>0</v>
      </c>
      <c r="F142" s="104">
        <f>IFERROR(E142/B142*100,0)</f>
        <v>0</v>
      </c>
      <c r="G142" s="104">
        <f>IFERROR(E142/C142*100,0)</f>
        <v>0</v>
      </c>
      <c r="H142" s="104">
        <f t="shared" ref="H142:AE142" si="43">H148+H155</f>
        <v>0</v>
      </c>
      <c r="I142" s="104">
        <f t="shared" si="43"/>
        <v>0</v>
      </c>
      <c r="J142" s="104">
        <f t="shared" si="43"/>
        <v>0</v>
      </c>
      <c r="K142" s="104">
        <f t="shared" si="43"/>
        <v>0</v>
      </c>
      <c r="L142" s="104">
        <f t="shared" si="43"/>
        <v>0</v>
      </c>
      <c r="M142" s="104">
        <f t="shared" si="43"/>
        <v>0</v>
      </c>
      <c r="N142" s="104">
        <f t="shared" si="43"/>
        <v>0</v>
      </c>
      <c r="O142" s="104">
        <f t="shared" si="43"/>
        <v>0</v>
      </c>
      <c r="P142" s="104">
        <f t="shared" si="43"/>
        <v>0</v>
      </c>
      <c r="Q142" s="104">
        <f t="shared" si="43"/>
        <v>0</v>
      </c>
      <c r="R142" s="104">
        <f t="shared" si="43"/>
        <v>0</v>
      </c>
      <c r="S142" s="104">
        <f t="shared" si="43"/>
        <v>0</v>
      </c>
      <c r="T142" s="104">
        <f t="shared" si="43"/>
        <v>0</v>
      </c>
      <c r="U142" s="104">
        <f t="shared" si="43"/>
        <v>0</v>
      </c>
      <c r="V142" s="104">
        <f t="shared" si="43"/>
        <v>0</v>
      </c>
      <c r="W142" s="104">
        <f t="shared" si="43"/>
        <v>0</v>
      </c>
      <c r="X142" s="104">
        <f t="shared" si="43"/>
        <v>0</v>
      </c>
      <c r="Y142" s="104">
        <f t="shared" si="43"/>
        <v>0</v>
      </c>
      <c r="Z142" s="104">
        <f t="shared" si="43"/>
        <v>0</v>
      </c>
      <c r="AA142" s="104">
        <f t="shared" si="43"/>
        <v>0</v>
      </c>
      <c r="AB142" s="104">
        <f t="shared" si="43"/>
        <v>0</v>
      </c>
      <c r="AC142" s="104">
        <f t="shared" si="43"/>
        <v>0</v>
      </c>
      <c r="AD142" s="104">
        <f t="shared" si="43"/>
        <v>0</v>
      </c>
      <c r="AE142" s="104">
        <f t="shared" si="43"/>
        <v>0</v>
      </c>
      <c r="AF142" s="98"/>
      <c r="AG142" s="99">
        <f t="shared" si="1"/>
        <v>0</v>
      </c>
    </row>
    <row r="143" spans="1:34" x14ac:dyDescent="0.3">
      <c r="A143" s="126" t="s">
        <v>32</v>
      </c>
      <c r="B143" s="104">
        <f t="shared" si="42"/>
        <v>25528.0975</v>
      </c>
      <c r="C143" s="104">
        <f t="shared" si="42"/>
        <v>25528.0975</v>
      </c>
      <c r="D143" s="104">
        <f t="shared" si="42"/>
        <v>22744.414599999996</v>
      </c>
      <c r="E143" s="104">
        <f t="shared" si="42"/>
        <v>22744.414599999996</v>
      </c>
      <c r="F143" s="104">
        <f>IFERROR(E143/B143*100,0)</f>
        <v>89.095611609913334</v>
      </c>
      <c r="G143" s="104">
        <f>IFERROR(E143/C143*100,0)</f>
        <v>89.095611609913334</v>
      </c>
      <c r="H143" s="104">
        <f t="shared" ref="H143:AE143" si="44">H149+H156</f>
        <v>9700</v>
      </c>
      <c r="I143" s="104">
        <f t="shared" si="44"/>
        <v>0</v>
      </c>
      <c r="J143" s="104">
        <f t="shared" si="44"/>
        <v>0</v>
      </c>
      <c r="K143" s="104">
        <f t="shared" si="44"/>
        <v>8394</v>
      </c>
      <c r="L143" s="104">
        <f t="shared" si="44"/>
        <v>0</v>
      </c>
      <c r="M143" s="104">
        <f t="shared" si="44"/>
        <v>0</v>
      </c>
      <c r="N143" s="104">
        <f t="shared" si="44"/>
        <v>1587.72</v>
      </c>
      <c r="O143" s="104">
        <f t="shared" si="44"/>
        <v>1574.8</v>
      </c>
      <c r="P143" s="104">
        <f t="shared" si="44"/>
        <v>0</v>
      </c>
      <c r="Q143" s="104">
        <f t="shared" si="44"/>
        <v>0</v>
      </c>
      <c r="R143" s="104">
        <f t="shared" si="44"/>
        <v>4450</v>
      </c>
      <c r="S143" s="104">
        <f t="shared" si="44"/>
        <v>16.84</v>
      </c>
      <c r="T143" s="104">
        <f t="shared" si="44"/>
        <v>9023.7080000000005</v>
      </c>
      <c r="U143" s="104">
        <f t="shared" si="44"/>
        <v>3281.9</v>
      </c>
      <c r="V143" s="104">
        <f t="shared" si="44"/>
        <v>0</v>
      </c>
      <c r="W143" s="104">
        <f t="shared" si="44"/>
        <v>7225.34</v>
      </c>
      <c r="X143" s="104">
        <f t="shared" si="44"/>
        <v>0</v>
      </c>
      <c r="Y143" s="104">
        <f t="shared" si="44"/>
        <v>2251.5346</v>
      </c>
      <c r="Z143" s="104">
        <f t="shared" si="44"/>
        <v>127.52250000000004</v>
      </c>
      <c r="AA143" s="104">
        <f t="shared" si="44"/>
        <v>0</v>
      </c>
      <c r="AB143" s="104">
        <f t="shared" si="44"/>
        <v>0</v>
      </c>
      <c r="AC143" s="104">
        <f t="shared" si="44"/>
        <v>0</v>
      </c>
      <c r="AD143" s="104">
        <f t="shared" si="44"/>
        <v>639.14699999999993</v>
      </c>
      <c r="AE143" s="104">
        <f t="shared" si="44"/>
        <v>0</v>
      </c>
      <c r="AF143" s="98"/>
      <c r="AG143" s="99">
        <f t="shared" si="1"/>
        <v>0</v>
      </c>
    </row>
    <row r="144" spans="1:34" x14ac:dyDescent="0.3">
      <c r="A144" s="126" t="s">
        <v>33</v>
      </c>
      <c r="B144" s="104">
        <f t="shared" si="42"/>
        <v>20558.597320000001</v>
      </c>
      <c r="C144" s="104">
        <f t="shared" si="42"/>
        <v>20558.597320000001</v>
      </c>
      <c r="D144" s="104">
        <f t="shared" si="42"/>
        <v>17997.55</v>
      </c>
      <c r="E144" s="104">
        <f t="shared" si="42"/>
        <v>17997.55</v>
      </c>
      <c r="F144" s="104">
        <f>IFERROR(E144/B144*100,0)</f>
        <v>87.542694279494739</v>
      </c>
      <c r="G144" s="104">
        <f>IFERROR(E144/C144*100,0)</f>
        <v>87.542694279494739</v>
      </c>
      <c r="H144" s="104">
        <f t="shared" ref="H144:AE144" si="45">H150+H157</f>
        <v>0</v>
      </c>
      <c r="I144" s="104">
        <f t="shared" si="45"/>
        <v>0</v>
      </c>
      <c r="J144" s="104">
        <f t="shared" si="45"/>
        <v>0</v>
      </c>
      <c r="K144" s="104">
        <f t="shared" si="45"/>
        <v>0</v>
      </c>
      <c r="L144" s="104">
        <f t="shared" si="45"/>
        <v>1622.5</v>
      </c>
      <c r="M144" s="104">
        <f t="shared" si="45"/>
        <v>1622.5</v>
      </c>
      <c r="N144" s="104">
        <f t="shared" si="45"/>
        <v>533.09732000000008</v>
      </c>
      <c r="O144" s="104">
        <f t="shared" si="45"/>
        <v>533.1</v>
      </c>
      <c r="P144" s="104">
        <f t="shared" si="45"/>
        <v>5538.4589599999999</v>
      </c>
      <c r="Q144" s="104">
        <f t="shared" si="45"/>
        <v>1589.5</v>
      </c>
      <c r="R144" s="104">
        <f t="shared" si="45"/>
        <v>5367.7839399999993</v>
      </c>
      <c r="S144" s="104">
        <f t="shared" si="45"/>
        <v>9168.52</v>
      </c>
      <c r="T144" s="104">
        <f t="shared" si="45"/>
        <v>5583.08</v>
      </c>
      <c r="U144" s="104">
        <f t="shared" si="45"/>
        <v>1110</v>
      </c>
      <c r="V144" s="104">
        <f t="shared" si="45"/>
        <v>560.98</v>
      </c>
      <c r="W144" s="104">
        <f t="shared" si="45"/>
        <v>3713.18</v>
      </c>
      <c r="X144" s="104">
        <f t="shared" si="45"/>
        <v>0</v>
      </c>
      <c r="Y144" s="104">
        <f t="shared" si="45"/>
        <v>0</v>
      </c>
      <c r="Z144" s="104">
        <f t="shared" si="45"/>
        <v>962.59</v>
      </c>
      <c r="AA144" s="104">
        <f t="shared" si="45"/>
        <v>260.75</v>
      </c>
      <c r="AB144" s="104">
        <f t="shared" si="45"/>
        <v>0</v>
      </c>
      <c r="AC144" s="104">
        <f t="shared" si="45"/>
        <v>0</v>
      </c>
      <c r="AD144" s="104">
        <f t="shared" si="45"/>
        <v>390.10710000000017</v>
      </c>
      <c r="AE144" s="104">
        <f t="shared" si="45"/>
        <v>0</v>
      </c>
      <c r="AF144" s="98"/>
      <c r="AG144" s="99">
        <f t="shared" ref="AG144:AG372" si="46">B144-H144-J144-L144-N144-P144-R144-T144-V144-X144-Z144-AB144-AD144</f>
        <v>5.6843418860808015E-13</v>
      </c>
    </row>
    <row r="145" spans="1:34" x14ac:dyDescent="0.3">
      <c r="A145" s="126" t="s">
        <v>170</v>
      </c>
      <c r="B145" s="104">
        <f>B152+B158</f>
        <v>7981.84</v>
      </c>
      <c r="C145" s="104">
        <f>C152+C158</f>
        <v>7981.84</v>
      </c>
      <c r="D145" s="104">
        <f>D152+D158</f>
        <v>7981.84</v>
      </c>
      <c r="E145" s="104">
        <f>E152+E158</f>
        <v>7981.84</v>
      </c>
      <c r="F145" s="104">
        <f>IFERROR(E145/B145*100,0)</f>
        <v>100</v>
      </c>
      <c r="G145" s="104">
        <f>IFERROR(E145/C145*100,0)</f>
        <v>100</v>
      </c>
      <c r="H145" s="104">
        <f t="shared" ref="H145:AE145" si="47">H152+H158</f>
        <v>0</v>
      </c>
      <c r="I145" s="104">
        <f t="shared" si="47"/>
        <v>0</v>
      </c>
      <c r="J145" s="104">
        <f t="shared" si="47"/>
        <v>0</v>
      </c>
      <c r="K145" s="104">
        <f t="shared" si="47"/>
        <v>0</v>
      </c>
      <c r="L145" s="104">
        <f t="shared" si="47"/>
        <v>0</v>
      </c>
      <c r="M145" s="104">
        <f t="shared" si="47"/>
        <v>0</v>
      </c>
      <c r="N145" s="104">
        <f t="shared" si="47"/>
        <v>0</v>
      </c>
      <c r="O145" s="104">
        <f t="shared" si="47"/>
        <v>0</v>
      </c>
      <c r="P145" s="104">
        <f t="shared" si="47"/>
        <v>5700</v>
      </c>
      <c r="Q145" s="104">
        <f t="shared" si="47"/>
        <v>5700</v>
      </c>
      <c r="R145" s="104">
        <f t="shared" si="47"/>
        <v>2281.84</v>
      </c>
      <c r="S145" s="104">
        <f t="shared" si="47"/>
        <v>2281.84</v>
      </c>
      <c r="T145" s="104">
        <f t="shared" si="47"/>
        <v>0</v>
      </c>
      <c r="U145" s="104">
        <f t="shared" si="47"/>
        <v>0</v>
      </c>
      <c r="V145" s="104">
        <f t="shared" si="47"/>
        <v>0</v>
      </c>
      <c r="W145" s="104">
        <f t="shared" si="47"/>
        <v>0</v>
      </c>
      <c r="X145" s="104">
        <f t="shared" si="47"/>
        <v>0</v>
      </c>
      <c r="Y145" s="104">
        <f t="shared" si="47"/>
        <v>0</v>
      </c>
      <c r="Z145" s="104">
        <f t="shared" si="47"/>
        <v>0</v>
      </c>
      <c r="AA145" s="104">
        <f t="shared" si="47"/>
        <v>0</v>
      </c>
      <c r="AB145" s="104">
        <f t="shared" si="47"/>
        <v>0</v>
      </c>
      <c r="AC145" s="104">
        <f t="shared" si="47"/>
        <v>0</v>
      </c>
      <c r="AD145" s="104">
        <f t="shared" si="47"/>
        <v>0</v>
      </c>
      <c r="AE145" s="104">
        <f t="shared" si="47"/>
        <v>0</v>
      </c>
      <c r="AF145" s="98"/>
      <c r="AG145" s="99">
        <f t="shared" si="46"/>
        <v>0</v>
      </c>
    </row>
    <row r="146" spans="1:34" ht="243.75" x14ac:dyDescent="0.3">
      <c r="A146" s="723" t="s">
        <v>515</v>
      </c>
      <c r="B146" s="591"/>
      <c r="C146" s="128"/>
      <c r="D146" s="128"/>
      <c r="E146" s="128"/>
      <c r="F146" s="128"/>
      <c r="G146" s="128"/>
      <c r="H146" s="108"/>
      <c r="I146" s="108"/>
      <c r="J146" s="108"/>
      <c r="K146" s="108"/>
      <c r="L146" s="108"/>
      <c r="M146" s="108"/>
      <c r="N146" s="108"/>
      <c r="O146" s="108"/>
      <c r="P146" s="108"/>
      <c r="Q146" s="108"/>
      <c r="R146" s="108"/>
      <c r="S146" s="108"/>
      <c r="T146" s="108"/>
      <c r="U146" s="108"/>
      <c r="V146" s="108"/>
      <c r="W146" s="108"/>
      <c r="X146" s="108"/>
      <c r="Y146" s="108"/>
      <c r="Z146" s="108"/>
      <c r="AA146" s="108"/>
      <c r="AB146" s="108"/>
      <c r="AC146" s="108"/>
      <c r="AD146" s="108"/>
      <c r="AE146" s="108"/>
      <c r="AF146" s="29"/>
      <c r="AG146" s="99">
        <f t="shared" si="46"/>
        <v>0</v>
      </c>
    </row>
    <row r="147" spans="1:34" s="589" customFormat="1" x14ac:dyDescent="0.3">
      <c r="A147" s="590" t="s">
        <v>31</v>
      </c>
      <c r="B147" s="591">
        <f>B149+B150+B148+B152</f>
        <v>51896.537500000006</v>
      </c>
      <c r="C147" s="591">
        <f>C149+C150+C148+C152</f>
        <v>51896.537500000006</v>
      </c>
      <c r="D147" s="591">
        <f>D149+D150+D148+D152</f>
        <v>46551.804599999989</v>
      </c>
      <c r="E147" s="591">
        <f>E149+E150+E148+E152</f>
        <v>46551.804599999989</v>
      </c>
      <c r="F147" s="591">
        <f>IFERROR(E147/B147*100,0)</f>
        <v>89.701176306800775</v>
      </c>
      <c r="G147" s="591">
        <f>IFERROR(E147/C147*100,0)</f>
        <v>89.701176306800775</v>
      </c>
      <c r="H147" s="591">
        <f t="shared" ref="H147:AE147" si="48">H149+H150+H148+H152</f>
        <v>9700</v>
      </c>
      <c r="I147" s="591">
        <f t="shared" si="48"/>
        <v>0</v>
      </c>
      <c r="J147" s="591">
        <f t="shared" si="48"/>
        <v>0</v>
      </c>
      <c r="K147" s="591">
        <f t="shared" si="48"/>
        <v>8394</v>
      </c>
      <c r="L147" s="591">
        <f>L149+L150+L148+L152</f>
        <v>1622.5</v>
      </c>
      <c r="M147" s="591">
        <f t="shared" si="48"/>
        <v>1622.5</v>
      </c>
      <c r="N147" s="718">
        <f>N149+N150+N148+N152</f>
        <v>2116.92</v>
      </c>
      <c r="O147" s="718">
        <f t="shared" si="48"/>
        <v>2104</v>
      </c>
      <c r="P147" s="718">
        <f t="shared" si="48"/>
        <v>10584.658960000001</v>
      </c>
      <c r="Q147" s="718">
        <f t="shared" si="48"/>
        <v>6635.7</v>
      </c>
      <c r="R147" s="718">
        <f t="shared" si="48"/>
        <v>11469.80394</v>
      </c>
      <c r="S147" s="718">
        <f t="shared" si="48"/>
        <v>10984.380000000001</v>
      </c>
      <c r="T147" s="718">
        <f t="shared" si="48"/>
        <v>14283.288</v>
      </c>
      <c r="U147" s="718">
        <f t="shared" si="48"/>
        <v>3921.4</v>
      </c>
      <c r="V147" s="718">
        <f t="shared" si="48"/>
        <v>0</v>
      </c>
      <c r="W147" s="718">
        <f t="shared" si="48"/>
        <v>10377.540000000001</v>
      </c>
      <c r="X147" s="718">
        <f t="shared" si="48"/>
        <v>0</v>
      </c>
      <c r="Y147" s="591">
        <f t="shared" si="48"/>
        <v>2251.5346</v>
      </c>
      <c r="Z147" s="591">
        <f t="shared" si="48"/>
        <v>1090.1125000000002</v>
      </c>
      <c r="AA147" s="591">
        <f t="shared" si="48"/>
        <v>260.75</v>
      </c>
      <c r="AB147" s="591">
        <f t="shared" si="48"/>
        <v>0</v>
      </c>
      <c r="AC147" s="591">
        <f t="shared" si="48"/>
        <v>0</v>
      </c>
      <c r="AD147" s="597">
        <f t="shared" si="48"/>
        <v>1029.2541000000001</v>
      </c>
      <c r="AE147" s="591">
        <f t="shared" si="48"/>
        <v>0</v>
      </c>
      <c r="AF147" s="587"/>
      <c r="AG147" s="588">
        <f t="shared" si="46"/>
        <v>8.1854523159563541E-12</v>
      </c>
    </row>
    <row r="148" spans="1:34" s="589" customFormat="1" x14ac:dyDescent="0.3">
      <c r="A148" s="593" t="s">
        <v>169</v>
      </c>
      <c r="B148" s="594"/>
      <c r="C148" s="712"/>
      <c r="D148" s="715"/>
      <c r="E148" s="712"/>
      <c r="F148" s="594"/>
      <c r="G148" s="594"/>
      <c r="H148" s="499"/>
      <c r="I148" s="499"/>
      <c r="J148" s="499"/>
      <c r="K148" s="499"/>
      <c r="L148" s="499"/>
      <c r="M148" s="499"/>
      <c r="N148" s="499"/>
      <c r="O148" s="499"/>
      <c r="P148" s="499"/>
      <c r="Q148" s="499"/>
      <c r="R148" s="499"/>
      <c r="S148" s="499"/>
      <c r="T148" s="499"/>
      <c r="U148" s="499"/>
      <c r="V148" s="499"/>
      <c r="W148" s="499"/>
      <c r="X148" s="499"/>
      <c r="Y148" s="499"/>
      <c r="Z148" s="499"/>
      <c r="AA148" s="499"/>
      <c r="AB148" s="499"/>
      <c r="AC148" s="499"/>
      <c r="AD148" s="499"/>
      <c r="AE148" s="499"/>
      <c r="AF148" s="587"/>
      <c r="AG148" s="588">
        <f t="shared" si="46"/>
        <v>0</v>
      </c>
    </row>
    <row r="149" spans="1:34" s="589" customFormat="1" ht="27" customHeight="1" x14ac:dyDescent="0.3">
      <c r="A149" s="593" t="s">
        <v>32</v>
      </c>
      <c r="B149" s="594">
        <f>J149+L149+N149+P149+R149+T149+V149+X149+Z149+AB149+AD149+H149</f>
        <v>25528.0975</v>
      </c>
      <c r="C149" s="712">
        <f>H149+J149+L149+N149+P149+R149+T149+V149+X149+Z149+AD149</f>
        <v>25528.0975</v>
      </c>
      <c r="D149" s="715">
        <f>E149</f>
        <v>22744.414599999996</v>
      </c>
      <c r="E149" s="712">
        <f>SUM(I149,K149,M149,O149,Q149,S149,U149,W149,Y149,AA149,AC149,AE149)</f>
        <v>22744.414599999996</v>
      </c>
      <c r="F149" s="594">
        <f>IFERROR(E149/B149*100,0)</f>
        <v>89.095611609913334</v>
      </c>
      <c r="G149" s="594">
        <f>IFERROR(E149/C149*100,0)</f>
        <v>89.095611609913334</v>
      </c>
      <c r="H149" s="499">
        <v>9700</v>
      </c>
      <c r="I149" s="499"/>
      <c r="J149" s="499"/>
      <c r="K149" s="499">
        <v>8394</v>
      </c>
      <c r="L149" s="499"/>
      <c r="M149" s="499"/>
      <c r="N149" s="499">
        <v>1587.72</v>
      </c>
      <c r="O149" s="499">
        <v>1574.8</v>
      </c>
      <c r="P149" s="499"/>
      <c r="Q149" s="499"/>
      <c r="R149" s="499">
        <v>4450</v>
      </c>
      <c r="S149" s="499">
        <v>16.84</v>
      </c>
      <c r="T149" s="499">
        <v>9023.7080000000005</v>
      </c>
      <c r="U149" s="499">
        <v>3281.9</v>
      </c>
      <c r="V149" s="499"/>
      <c r="W149" s="499">
        <v>7225.34</v>
      </c>
      <c r="X149" s="499"/>
      <c r="Y149" s="499">
        <v>2251.5346</v>
      </c>
      <c r="Z149" s="499">
        <f>1587.7225-1460.2</f>
        <v>127.52250000000004</v>
      </c>
      <c r="AA149" s="499"/>
      <c r="AB149" s="499"/>
      <c r="AC149" s="499"/>
      <c r="AD149" s="499">
        <f>4055.047-3415.9</f>
        <v>639.14699999999993</v>
      </c>
      <c r="AE149" s="499"/>
      <c r="AF149" s="716" t="s">
        <v>498</v>
      </c>
      <c r="AG149" s="588">
        <f t="shared" si="46"/>
        <v>0</v>
      </c>
      <c r="AH149" s="717">
        <f>C149-E149</f>
        <v>2783.6829000000034</v>
      </c>
    </row>
    <row r="150" spans="1:34" s="589" customFormat="1" x14ac:dyDescent="0.3">
      <c r="A150" s="593" t="s">
        <v>33</v>
      </c>
      <c r="B150" s="594">
        <f>J150+L150+N150+P150+R150+T150+V150+X150+Z150+AB150+AD150+H150</f>
        <v>18386.600000000002</v>
      </c>
      <c r="C150" s="712">
        <f>SUM(H150+J150+L150+N150+P150+R150+T150+V150+X150+Z150+AB150+AD150)</f>
        <v>18386.600000000002</v>
      </c>
      <c r="D150" s="715">
        <f>E150</f>
        <v>15825.55</v>
      </c>
      <c r="E150" s="712">
        <f>SUM(I150,K150,M150,O150,Q150,S150,U150,W150,Y150,AA150,AC150,AE150)</f>
        <v>15825.55</v>
      </c>
      <c r="F150" s="594">
        <f>IFERROR(E150/B150*100,0)</f>
        <v>86.071106131639326</v>
      </c>
      <c r="G150" s="594">
        <f>IFERROR(E150/C150*100,0)</f>
        <v>86.071106131639326</v>
      </c>
      <c r="H150" s="499"/>
      <c r="I150" s="499"/>
      <c r="J150" s="499"/>
      <c r="K150" s="499"/>
      <c r="L150" s="499">
        <f>1500+122.5</f>
        <v>1622.5</v>
      </c>
      <c r="M150" s="499">
        <v>1622.5</v>
      </c>
      <c r="N150" s="499">
        <v>529.20000000000005</v>
      </c>
      <c r="O150" s="499">
        <v>529.20000000000005</v>
      </c>
      <c r="P150" s="499">
        <v>4884.6589599999998</v>
      </c>
      <c r="Q150" s="499">
        <v>935.7</v>
      </c>
      <c r="R150" s="499">
        <v>4737.9639399999996</v>
      </c>
      <c r="S150" s="499">
        <f>8686.92-1.22</f>
        <v>8685.7000000000007</v>
      </c>
      <c r="T150" s="499">
        <v>5259.58</v>
      </c>
      <c r="U150" s="499">
        <v>639.5</v>
      </c>
      <c r="V150" s="499"/>
      <c r="W150" s="499">
        <v>3152.2</v>
      </c>
      <c r="X150" s="499"/>
      <c r="Y150" s="499"/>
      <c r="Z150" s="499">
        <v>962.59</v>
      </c>
      <c r="AA150" s="499">
        <v>260.75</v>
      </c>
      <c r="AB150" s="499"/>
      <c r="AC150" s="499"/>
      <c r="AD150" s="499">
        <f>1643.8071-149+6036.8-7141.5</f>
        <v>390.10710000000017</v>
      </c>
      <c r="AE150" s="499"/>
      <c r="AF150" s="587"/>
      <c r="AG150" s="588">
        <f t="shared" si="46"/>
        <v>1.0231815394945443E-12</v>
      </c>
    </row>
    <row r="151" spans="1:34" s="589" customFormat="1" x14ac:dyDescent="0.3">
      <c r="A151" s="593" t="s">
        <v>497</v>
      </c>
      <c r="B151" s="594">
        <f>J151+L151+N151+P151+R151+T151+V151+X151+Z151+AB151+AD151+H151</f>
        <v>3188.3999999999996</v>
      </c>
      <c r="C151" s="712">
        <f>SUM(H151+J151+L151+N151+P151+R151+T151+V151+X151+Z151)</f>
        <v>3164.16</v>
      </c>
      <c r="D151" s="715">
        <f>E151</f>
        <v>2633.92</v>
      </c>
      <c r="E151" s="712">
        <f>SUM(I151,K151,M151,O151,Q151,S151,U151,W151,Y151,AA151,AC151,AE151)</f>
        <v>2633.92</v>
      </c>
      <c r="F151" s="594">
        <f>IFERROR(E151/B151*100,0)</f>
        <v>82.609459289925994</v>
      </c>
      <c r="G151" s="594">
        <f>IFERROR(E151/C151*100,0)</f>
        <v>83.242313915857608</v>
      </c>
      <c r="H151" s="499"/>
      <c r="I151" s="499"/>
      <c r="J151" s="499"/>
      <c r="K151" s="499"/>
      <c r="L151" s="499"/>
      <c r="M151" s="499"/>
      <c r="N151" s="499">
        <v>529.20000000000005</v>
      </c>
      <c r="O151" s="499">
        <v>529.20000000000005</v>
      </c>
      <c r="P151" s="499">
        <v>500</v>
      </c>
      <c r="Q151" s="499">
        <v>500</v>
      </c>
      <c r="R151" s="499">
        <v>192</v>
      </c>
      <c r="S151" s="499">
        <v>192</v>
      </c>
      <c r="T151" s="499">
        <v>1000</v>
      </c>
      <c r="U151" s="499">
        <v>1000</v>
      </c>
      <c r="V151" s="499">
        <f>500-86.24</f>
        <v>413.76</v>
      </c>
      <c r="W151" s="499">
        <v>412.72</v>
      </c>
      <c r="X151" s="499"/>
      <c r="Y151" s="499"/>
      <c r="Z151" s="499">
        <f>529.2</f>
        <v>529.20000000000005</v>
      </c>
      <c r="AA151" s="499"/>
      <c r="AB151" s="499"/>
      <c r="AC151" s="499"/>
      <c r="AD151" s="499">
        <v>24.24</v>
      </c>
      <c r="AE151" s="499"/>
      <c r="AF151" s="587"/>
      <c r="AG151" s="588"/>
    </row>
    <row r="152" spans="1:34" s="589" customFormat="1" x14ac:dyDescent="0.3">
      <c r="A152" s="713" t="s">
        <v>170</v>
      </c>
      <c r="B152" s="594">
        <f>J152+L152+N152+P152+R152+T152+V152+X152+Z152+AB152+AD152+H152</f>
        <v>7981.84</v>
      </c>
      <c r="C152" s="712">
        <f>SUM(H152+J152+L152+N152+P152+R152)</f>
        <v>7981.84</v>
      </c>
      <c r="D152" s="715">
        <f>E152</f>
        <v>7981.84</v>
      </c>
      <c r="E152" s="712">
        <f>SUM(I152,K152,M152,O152,Q152,S152,U152,W152,Y152,AA152,AC152,AE152)</f>
        <v>7981.84</v>
      </c>
      <c r="F152" s="594">
        <f>IFERROR(E152/B152*100,0)</f>
        <v>100</v>
      </c>
      <c r="G152" s="594">
        <f>IFERROR(E152/C152*100,0)</f>
        <v>100</v>
      </c>
      <c r="H152" s="499"/>
      <c r="I152" s="499"/>
      <c r="J152" s="499"/>
      <c r="K152" s="499"/>
      <c r="L152" s="499"/>
      <c r="M152" s="499"/>
      <c r="N152" s="499"/>
      <c r="O152" s="499"/>
      <c r="P152" s="499">
        <v>5700</v>
      </c>
      <c r="Q152" s="499">
        <v>5700</v>
      </c>
      <c r="R152" s="499">
        <f>1970.48+311.36</f>
        <v>2281.84</v>
      </c>
      <c r="S152" s="499">
        <f>1970.48+311.36</f>
        <v>2281.84</v>
      </c>
      <c r="T152" s="499"/>
      <c r="U152" s="499"/>
      <c r="V152" s="499"/>
      <c r="W152" s="499"/>
      <c r="X152" s="499"/>
      <c r="Y152" s="499"/>
      <c r="Z152" s="499"/>
      <c r="AA152" s="499"/>
      <c r="AB152" s="499"/>
      <c r="AC152" s="499"/>
      <c r="AD152" s="499"/>
      <c r="AE152" s="499"/>
      <c r="AF152" s="587"/>
      <c r="AG152" s="588">
        <f t="shared" si="46"/>
        <v>0</v>
      </c>
    </row>
    <row r="153" spans="1:34" s="589" customFormat="1" ht="159.75" customHeight="1" x14ac:dyDescent="0.3">
      <c r="A153" s="713" t="s">
        <v>560</v>
      </c>
      <c r="B153" s="591"/>
      <c r="C153" s="597"/>
      <c r="D153" s="597"/>
      <c r="E153" s="597"/>
      <c r="F153" s="597"/>
      <c r="G153" s="597"/>
      <c r="H153" s="499"/>
      <c r="I153" s="499"/>
      <c r="J153" s="499"/>
      <c r="K153" s="499"/>
      <c r="L153" s="499"/>
      <c r="M153" s="499"/>
      <c r="N153" s="499"/>
      <c r="O153" s="499"/>
      <c r="P153" s="499"/>
      <c r="Q153" s="499"/>
      <c r="R153" s="760"/>
      <c r="S153" s="499"/>
      <c r="T153" s="499"/>
      <c r="U153" s="499"/>
      <c r="V153" s="499"/>
      <c r="W153" s="499"/>
      <c r="X153" s="499"/>
      <c r="Y153" s="499"/>
      <c r="Z153" s="499"/>
      <c r="AA153" s="499"/>
      <c r="AB153" s="499"/>
      <c r="AC153" s="499"/>
      <c r="AD153" s="499"/>
      <c r="AE153" s="499"/>
      <c r="AF153" s="587"/>
      <c r="AG153" s="588">
        <f t="shared" si="46"/>
        <v>0</v>
      </c>
    </row>
    <row r="154" spans="1:34" s="589" customFormat="1" x14ac:dyDescent="0.3">
      <c r="A154" s="590" t="s">
        <v>31</v>
      </c>
      <c r="B154" s="591">
        <f>B156+B157+B155+B158</f>
        <v>2171.9973199999999</v>
      </c>
      <c r="C154" s="591">
        <f>C156+C157+C155+C158</f>
        <v>2171.9973199999999</v>
      </c>
      <c r="D154" s="591">
        <f>D156+D157+D155+D158</f>
        <v>2172</v>
      </c>
      <c r="E154" s="591">
        <f>E156+E157+E155+E158</f>
        <v>2172</v>
      </c>
      <c r="F154" s="591">
        <f>IFERROR(E154/B154*100,0)</f>
        <v>100.00012338873421</v>
      </c>
      <c r="G154" s="591">
        <f>IFERROR(E154/C154*100,0)</f>
        <v>100.00012338873421</v>
      </c>
      <c r="H154" s="591">
        <f t="shared" ref="H154:AE154" si="49">H156+H157+H155+H158</f>
        <v>0</v>
      </c>
      <c r="I154" s="591">
        <f t="shared" si="49"/>
        <v>0</v>
      </c>
      <c r="J154" s="591">
        <f t="shared" si="49"/>
        <v>0</v>
      </c>
      <c r="K154" s="591">
        <f t="shared" si="49"/>
        <v>0</v>
      </c>
      <c r="L154" s="591">
        <f t="shared" si="49"/>
        <v>0</v>
      </c>
      <c r="M154" s="591">
        <f t="shared" si="49"/>
        <v>0</v>
      </c>
      <c r="N154" s="591">
        <f t="shared" si="49"/>
        <v>3.8973200000000001</v>
      </c>
      <c r="O154" s="591">
        <f t="shared" si="49"/>
        <v>3.9</v>
      </c>
      <c r="P154" s="591">
        <f t="shared" si="49"/>
        <v>653.79999999999995</v>
      </c>
      <c r="Q154" s="591">
        <f t="shared" si="49"/>
        <v>653.79999999999995</v>
      </c>
      <c r="R154" s="591">
        <f t="shared" si="49"/>
        <v>629.82000000000005</v>
      </c>
      <c r="S154" s="591">
        <f t="shared" si="49"/>
        <v>482.82</v>
      </c>
      <c r="T154" s="591">
        <f t="shared" si="49"/>
        <v>323.5</v>
      </c>
      <c r="U154" s="591">
        <f t="shared" si="49"/>
        <v>470.5</v>
      </c>
      <c r="V154" s="591">
        <f t="shared" si="49"/>
        <v>560.98</v>
      </c>
      <c r="W154" s="591">
        <f t="shared" si="49"/>
        <v>560.98</v>
      </c>
      <c r="X154" s="591">
        <f t="shared" si="49"/>
        <v>0</v>
      </c>
      <c r="Y154" s="591">
        <f t="shared" si="49"/>
        <v>0</v>
      </c>
      <c r="Z154" s="591">
        <f t="shared" si="49"/>
        <v>0</v>
      </c>
      <c r="AA154" s="591">
        <f t="shared" si="49"/>
        <v>0</v>
      </c>
      <c r="AB154" s="591">
        <f t="shared" si="49"/>
        <v>0</v>
      </c>
      <c r="AC154" s="591">
        <f t="shared" si="49"/>
        <v>0</v>
      </c>
      <c r="AD154" s="591">
        <f t="shared" si="49"/>
        <v>0</v>
      </c>
      <c r="AE154" s="591">
        <f t="shared" si="49"/>
        <v>0</v>
      </c>
      <c r="AF154" s="587"/>
      <c r="AG154" s="588">
        <f t="shared" si="46"/>
        <v>-1.1368683772161603E-13</v>
      </c>
    </row>
    <row r="155" spans="1:34" x14ac:dyDescent="0.3">
      <c r="A155" s="593" t="s">
        <v>169</v>
      </c>
      <c r="B155" s="594"/>
      <c r="C155" s="114"/>
      <c r="D155" s="115"/>
      <c r="E155" s="114"/>
      <c r="F155" s="113"/>
      <c r="G155" s="113"/>
      <c r="H155" s="108"/>
      <c r="I155" s="108"/>
      <c r="J155" s="108"/>
      <c r="K155" s="108"/>
      <c r="L155" s="108"/>
      <c r="M155" s="108"/>
      <c r="N155" s="108"/>
      <c r="O155" s="108"/>
      <c r="P155" s="108"/>
      <c r="Q155" s="108"/>
      <c r="R155" s="108"/>
      <c r="S155" s="108"/>
      <c r="T155" s="108"/>
      <c r="U155" s="108"/>
      <c r="V155" s="108"/>
      <c r="W155" s="108"/>
      <c r="X155" s="108"/>
      <c r="Y155" s="108"/>
      <c r="Z155" s="108"/>
      <c r="AA155" s="108"/>
      <c r="AB155" s="108"/>
      <c r="AC155" s="108"/>
      <c r="AD155" s="108"/>
      <c r="AE155" s="108"/>
      <c r="AF155" s="29"/>
      <c r="AG155" s="99">
        <f t="shared" si="46"/>
        <v>0</v>
      </c>
    </row>
    <row r="156" spans="1:34" x14ac:dyDescent="0.3">
      <c r="A156" s="593" t="s">
        <v>32</v>
      </c>
      <c r="B156" s="594"/>
      <c r="C156" s="114"/>
      <c r="D156" s="115"/>
      <c r="E156" s="114"/>
      <c r="F156" s="113"/>
      <c r="G156" s="113"/>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29"/>
      <c r="AG156" s="99">
        <f t="shared" si="46"/>
        <v>0</v>
      </c>
    </row>
    <row r="157" spans="1:34" x14ac:dyDescent="0.3">
      <c r="A157" s="112" t="s">
        <v>33</v>
      </c>
      <c r="B157" s="113">
        <f>J157+L157+N157+P157+R157+T157+V157+X157+Z157+AB157+AD157+H157</f>
        <v>2171.9973199999999</v>
      </c>
      <c r="C157" s="114">
        <f>H157+J157+L157+N157+P157+R157+T157+V157</f>
        <v>2171.9973199999999</v>
      </c>
      <c r="D157" s="115">
        <f>E157</f>
        <v>2172</v>
      </c>
      <c r="E157" s="114">
        <f>I157+K157+M157+O157+Q157+S157+U157+W157</f>
        <v>2172</v>
      </c>
      <c r="F157" s="113">
        <f>IFERROR(E157/B157*100,0)</f>
        <v>100.00012338873421</v>
      </c>
      <c r="G157" s="113">
        <f>IFERROR(E157/C157*100,0)</f>
        <v>100.00012338873421</v>
      </c>
      <c r="H157" s="108"/>
      <c r="I157" s="108"/>
      <c r="J157" s="108"/>
      <c r="K157" s="108"/>
      <c r="L157" s="108"/>
      <c r="M157" s="108"/>
      <c r="N157" s="108">
        <v>3.8973200000000001</v>
      </c>
      <c r="O157" s="108">
        <v>3.9</v>
      </c>
      <c r="P157" s="108">
        <v>653.79999999999995</v>
      </c>
      <c r="Q157" s="108">
        <v>653.79999999999995</v>
      </c>
      <c r="R157" s="108">
        <f>565.6+64.22</f>
        <v>629.82000000000005</v>
      </c>
      <c r="S157" s="108">
        <v>482.82</v>
      </c>
      <c r="T157" s="108">
        <v>323.5</v>
      </c>
      <c r="U157" s="108">
        <f>147+323.5</f>
        <v>470.5</v>
      </c>
      <c r="V157" s="108">
        <f>138.18+422.8</f>
        <v>560.98</v>
      </c>
      <c r="W157" s="108">
        <v>560.98</v>
      </c>
      <c r="X157" s="108"/>
      <c r="Y157" s="108"/>
      <c r="Z157" s="108"/>
      <c r="AA157" s="108"/>
      <c r="AB157" s="108"/>
      <c r="AC157" s="108"/>
      <c r="AD157" s="108"/>
      <c r="AE157" s="108"/>
      <c r="AF157" s="29"/>
      <c r="AG157" s="99">
        <f t="shared" si="46"/>
        <v>-1.1368683772161603E-13</v>
      </c>
    </row>
    <row r="158" spans="1:34" x14ac:dyDescent="0.3">
      <c r="A158" s="119" t="s">
        <v>170</v>
      </c>
      <c r="B158" s="113"/>
      <c r="C158" s="114"/>
      <c r="D158" s="115"/>
      <c r="E158" s="114"/>
      <c r="F158" s="113"/>
      <c r="G158" s="113"/>
      <c r="H158" s="108"/>
      <c r="I158" s="108"/>
      <c r="J158" s="108"/>
      <c r="K158" s="108"/>
      <c r="L158" s="108"/>
      <c r="M158" s="108"/>
      <c r="N158" s="108"/>
      <c r="O158" s="108"/>
      <c r="P158" s="108"/>
      <c r="Q158" s="108"/>
      <c r="R158" s="108"/>
      <c r="S158" s="108"/>
      <c r="T158" s="108"/>
      <c r="U158" s="108"/>
      <c r="V158" s="108"/>
      <c r="W158" s="108"/>
      <c r="X158" s="108"/>
      <c r="Y158" s="108"/>
      <c r="Z158" s="108"/>
      <c r="AA158" s="108"/>
      <c r="AB158" s="108"/>
      <c r="AC158" s="108"/>
      <c r="AD158" s="108"/>
      <c r="AE158" s="108"/>
      <c r="AF158" s="29"/>
      <c r="AG158" s="99">
        <f t="shared" si="46"/>
        <v>0</v>
      </c>
    </row>
    <row r="159" spans="1:34" x14ac:dyDescent="0.3">
      <c r="A159" s="1163" t="s">
        <v>287</v>
      </c>
      <c r="B159" s="1164"/>
      <c r="C159" s="1164"/>
      <c r="D159" s="1164"/>
      <c r="E159" s="1164"/>
      <c r="F159" s="1164"/>
      <c r="G159" s="1164"/>
      <c r="H159" s="1164"/>
      <c r="I159" s="1164"/>
      <c r="J159" s="1164"/>
      <c r="K159" s="1164"/>
      <c r="L159" s="1164"/>
      <c r="M159" s="1164"/>
      <c r="N159" s="1164"/>
      <c r="O159" s="1164"/>
      <c r="P159" s="1164"/>
      <c r="Q159" s="1164"/>
      <c r="R159" s="1164"/>
      <c r="S159" s="1164"/>
      <c r="T159" s="1164"/>
      <c r="U159" s="1164"/>
      <c r="V159" s="1164"/>
      <c r="W159" s="1164"/>
      <c r="X159" s="1164"/>
      <c r="Y159" s="1164"/>
      <c r="Z159" s="1164"/>
      <c r="AA159" s="1164"/>
      <c r="AB159" s="1164"/>
      <c r="AC159" s="1164"/>
      <c r="AD159" s="1164"/>
      <c r="AE159" s="1164"/>
      <c r="AF159" s="1165"/>
      <c r="AG159" s="99">
        <f t="shared" si="46"/>
        <v>0</v>
      </c>
    </row>
    <row r="160" spans="1:34" x14ac:dyDescent="0.3">
      <c r="A160" s="1163" t="s">
        <v>54</v>
      </c>
      <c r="B160" s="1164"/>
      <c r="C160" s="1164"/>
      <c r="D160" s="1164"/>
      <c r="E160" s="1164"/>
      <c r="F160" s="1164"/>
      <c r="G160" s="1164"/>
      <c r="H160" s="1164"/>
      <c r="I160" s="1164"/>
      <c r="J160" s="1164"/>
      <c r="K160" s="1164"/>
      <c r="L160" s="1164"/>
      <c r="M160" s="1164"/>
      <c r="N160" s="1164"/>
      <c r="O160" s="1164"/>
      <c r="P160" s="1164"/>
      <c r="Q160" s="1164"/>
      <c r="R160" s="1164"/>
      <c r="S160" s="1164"/>
      <c r="T160" s="1164"/>
      <c r="U160" s="1164"/>
      <c r="V160" s="1164"/>
      <c r="W160" s="1164"/>
      <c r="X160" s="1164"/>
      <c r="Y160" s="1164"/>
      <c r="Z160" s="1164"/>
      <c r="AA160" s="1164"/>
      <c r="AB160" s="1164"/>
      <c r="AC160" s="1164"/>
      <c r="AD160" s="1164"/>
      <c r="AE160" s="1164"/>
      <c r="AF160" s="1165"/>
      <c r="AG160" s="99">
        <f t="shared" si="46"/>
        <v>0</v>
      </c>
    </row>
    <row r="161" spans="1:33" ht="120.75" customHeight="1" x14ac:dyDescent="0.3">
      <c r="A161" s="121" t="s">
        <v>288</v>
      </c>
      <c r="B161" s="129"/>
      <c r="C161" s="130"/>
      <c r="D161" s="130"/>
      <c r="E161" s="130"/>
      <c r="F161" s="130"/>
      <c r="G161" s="130"/>
      <c r="H161" s="129"/>
      <c r="I161" s="129"/>
      <c r="J161" s="129"/>
      <c r="K161" s="129"/>
      <c r="L161" s="129"/>
      <c r="M161" s="129"/>
      <c r="N161" s="129"/>
      <c r="O161" s="129"/>
      <c r="P161" s="129"/>
      <c r="Q161" s="129"/>
      <c r="R161" s="129"/>
      <c r="S161" s="129"/>
      <c r="T161" s="129"/>
      <c r="U161" s="129"/>
      <c r="V161" s="129"/>
      <c r="W161" s="129"/>
      <c r="X161" s="129"/>
      <c r="Y161" s="129"/>
      <c r="Z161" s="129"/>
      <c r="AA161" s="129"/>
      <c r="AB161" s="129"/>
      <c r="AC161" s="129"/>
      <c r="AD161" s="129"/>
      <c r="AE161" s="129"/>
      <c r="AF161" s="98"/>
      <c r="AG161" s="99">
        <f t="shared" si="46"/>
        <v>0</v>
      </c>
    </row>
    <row r="162" spans="1:33" x14ac:dyDescent="0.3">
      <c r="A162" s="100" t="s">
        <v>31</v>
      </c>
      <c r="B162" s="101">
        <f>B163+B164+B165</f>
        <v>0</v>
      </c>
      <c r="C162" s="101">
        <f>C163+C164+C165</f>
        <v>0</v>
      </c>
      <c r="D162" s="101">
        <f>D163+D164+D165</f>
        <v>0</v>
      </c>
      <c r="E162" s="101">
        <f>E163+E164+E165</f>
        <v>0</v>
      </c>
      <c r="F162" s="104">
        <f>IFERROR(E162/B162*100,0)</f>
        <v>0</v>
      </c>
      <c r="G162" s="104">
        <f>IFERROR(E162/C162*100,0)</f>
        <v>0</v>
      </c>
      <c r="H162" s="101">
        <f t="shared" ref="H162:AE162" si="50">H163+H164+H165</f>
        <v>0</v>
      </c>
      <c r="I162" s="101">
        <f t="shared" si="50"/>
        <v>0</v>
      </c>
      <c r="J162" s="101">
        <f t="shared" si="50"/>
        <v>0</v>
      </c>
      <c r="K162" s="101">
        <f t="shared" si="50"/>
        <v>0</v>
      </c>
      <c r="L162" s="101">
        <f t="shared" si="50"/>
        <v>0</v>
      </c>
      <c r="M162" s="101">
        <f t="shared" si="50"/>
        <v>0</v>
      </c>
      <c r="N162" s="101">
        <f t="shared" si="50"/>
        <v>0</v>
      </c>
      <c r="O162" s="101">
        <f t="shared" si="50"/>
        <v>0</v>
      </c>
      <c r="P162" s="101">
        <f t="shared" si="50"/>
        <v>0</v>
      </c>
      <c r="Q162" s="101">
        <f t="shared" si="50"/>
        <v>0</v>
      </c>
      <c r="R162" s="101">
        <f t="shared" si="50"/>
        <v>0</v>
      </c>
      <c r="S162" s="101">
        <f t="shared" si="50"/>
        <v>0</v>
      </c>
      <c r="T162" s="101">
        <f t="shared" si="50"/>
        <v>0</v>
      </c>
      <c r="U162" s="101">
        <f t="shared" si="50"/>
        <v>0</v>
      </c>
      <c r="V162" s="101">
        <f t="shared" si="50"/>
        <v>0</v>
      </c>
      <c r="W162" s="101">
        <f t="shared" si="50"/>
        <v>0</v>
      </c>
      <c r="X162" s="101">
        <f t="shared" si="50"/>
        <v>0</v>
      </c>
      <c r="Y162" s="101">
        <f t="shared" si="50"/>
        <v>0</v>
      </c>
      <c r="Z162" s="101">
        <f t="shared" si="50"/>
        <v>0</v>
      </c>
      <c r="AA162" s="101">
        <f t="shared" si="50"/>
        <v>0</v>
      </c>
      <c r="AB162" s="101">
        <f t="shared" si="50"/>
        <v>0</v>
      </c>
      <c r="AC162" s="101">
        <f t="shared" si="50"/>
        <v>0</v>
      </c>
      <c r="AD162" s="101">
        <f t="shared" si="50"/>
        <v>0</v>
      </c>
      <c r="AE162" s="101">
        <f t="shared" si="50"/>
        <v>0</v>
      </c>
      <c r="AF162" s="98"/>
      <c r="AG162" s="99">
        <f t="shared" si="46"/>
        <v>0</v>
      </c>
    </row>
    <row r="163" spans="1:33" x14ac:dyDescent="0.3">
      <c r="A163" s="103" t="s">
        <v>169</v>
      </c>
      <c r="B163" s="104">
        <f>B169</f>
        <v>0</v>
      </c>
      <c r="C163" s="104">
        <f>C169</f>
        <v>0</v>
      </c>
      <c r="D163" s="104">
        <f>D169</f>
        <v>0</v>
      </c>
      <c r="E163" s="104">
        <f>E169</f>
        <v>0</v>
      </c>
      <c r="F163" s="104">
        <f>IFERROR(E163/B163*100,0)</f>
        <v>0</v>
      </c>
      <c r="G163" s="104">
        <f>IFERROR(E163/C163*100,0)</f>
        <v>0</v>
      </c>
      <c r="H163" s="104">
        <f t="shared" ref="H163:AE166" si="51">H169</f>
        <v>0</v>
      </c>
      <c r="I163" s="104">
        <f t="shared" si="51"/>
        <v>0</v>
      </c>
      <c r="J163" s="104">
        <f t="shared" si="51"/>
        <v>0</v>
      </c>
      <c r="K163" s="104">
        <f t="shared" si="51"/>
        <v>0</v>
      </c>
      <c r="L163" s="104">
        <f t="shared" si="51"/>
        <v>0</v>
      </c>
      <c r="M163" s="104">
        <f t="shared" si="51"/>
        <v>0</v>
      </c>
      <c r="N163" s="104">
        <f t="shared" si="51"/>
        <v>0</v>
      </c>
      <c r="O163" s="104">
        <f t="shared" si="51"/>
        <v>0</v>
      </c>
      <c r="P163" s="104">
        <f t="shared" si="51"/>
        <v>0</v>
      </c>
      <c r="Q163" s="104">
        <f t="shared" si="51"/>
        <v>0</v>
      </c>
      <c r="R163" s="104">
        <f t="shared" si="51"/>
        <v>0</v>
      </c>
      <c r="S163" s="104">
        <f t="shared" si="51"/>
        <v>0</v>
      </c>
      <c r="T163" s="104">
        <f t="shared" si="51"/>
        <v>0</v>
      </c>
      <c r="U163" s="104">
        <f t="shared" si="51"/>
        <v>0</v>
      </c>
      <c r="V163" s="104">
        <f t="shared" si="51"/>
        <v>0</v>
      </c>
      <c r="W163" s="104">
        <f t="shared" si="51"/>
        <v>0</v>
      </c>
      <c r="X163" s="104">
        <f t="shared" si="51"/>
        <v>0</v>
      </c>
      <c r="Y163" s="104">
        <f t="shared" si="51"/>
        <v>0</v>
      </c>
      <c r="Z163" s="104">
        <f t="shared" si="51"/>
        <v>0</v>
      </c>
      <c r="AA163" s="104">
        <f t="shared" si="51"/>
        <v>0</v>
      </c>
      <c r="AB163" s="104">
        <f t="shared" si="51"/>
        <v>0</v>
      </c>
      <c r="AC163" s="104">
        <f t="shared" si="51"/>
        <v>0</v>
      </c>
      <c r="AD163" s="104">
        <f t="shared" si="51"/>
        <v>0</v>
      </c>
      <c r="AE163" s="104">
        <f t="shared" si="51"/>
        <v>0</v>
      </c>
      <c r="AF163" s="98"/>
      <c r="AG163" s="99">
        <f t="shared" si="46"/>
        <v>0</v>
      </c>
    </row>
    <row r="164" spans="1:33" x14ac:dyDescent="0.3">
      <c r="A164" s="103" t="s">
        <v>32</v>
      </c>
      <c r="B164" s="104">
        <f t="shared" ref="B164:E166" si="52">B170</f>
        <v>0</v>
      </c>
      <c r="C164" s="104">
        <f t="shared" si="52"/>
        <v>0</v>
      </c>
      <c r="D164" s="104">
        <f t="shared" si="52"/>
        <v>0</v>
      </c>
      <c r="E164" s="104">
        <f t="shared" si="52"/>
        <v>0</v>
      </c>
      <c r="F164" s="104"/>
      <c r="G164" s="104"/>
      <c r="H164" s="104">
        <f t="shared" si="51"/>
        <v>0</v>
      </c>
      <c r="I164" s="104">
        <f t="shared" si="51"/>
        <v>0</v>
      </c>
      <c r="J164" s="104">
        <f t="shared" si="51"/>
        <v>0</v>
      </c>
      <c r="K164" s="104">
        <f t="shared" si="51"/>
        <v>0</v>
      </c>
      <c r="L164" s="104">
        <f t="shared" si="51"/>
        <v>0</v>
      </c>
      <c r="M164" s="104">
        <f t="shared" si="51"/>
        <v>0</v>
      </c>
      <c r="N164" s="104">
        <f t="shared" si="51"/>
        <v>0</v>
      </c>
      <c r="O164" s="104">
        <f t="shared" si="51"/>
        <v>0</v>
      </c>
      <c r="P164" s="104">
        <f t="shared" si="51"/>
        <v>0</v>
      </c>
      <c r="Q164" s="104">
        <f t="shared" si="51"/>
        <v>0</v>
      </c>
      <c r="R164" s="104">
        <f t="shared" si="51"/>
        <v>0</v>
      </c>
      <c r="S164" s="104">
        <f t="shared" si="51"/>
        <v>0</v>
      </c>
      <c r="T164" s="104">
        <f t="shared" si="51"/>
        <v>0</v>
      </c>
      <c r="U164" s="104">
        <f t="shared" si="51"/>
        <v>0</v>
      </c>
      <c r="V164" s="104">
        <f t="shared" si="51"/>
        <v>0</v>
      </c>
      <c r="W164" s="104">
        <f t="shared" si="51"/>
        <v>0</v>
      </c>
      <c r="X164" s="104">
        <f t="shared" si="51"/>
        <v>0</v>
      </c>
      <c r="Y164" s="104">
        <f t="shared" si="51"/>
        <v>0</v>
      </c>
      <c r="Z164" s="104">
        <f t="shared" si="51"/>
        <v>0</v>
      </c>
      <c r="AA164" s="104">
        <f t="shared" si="51"/>
        <v>0</v>
      </c>
      <c r="AB164" s="104">
        <f t="shared" si="51"/>
        <v>0</v>
      </c>
      <c r="AC164" s="104">
        <f t="shared" si="51"/>
        <v>0</v>
      </c>
      <c r="AD164" s="104">
        <f t="shared" si="51"/>
        <v>0</v>
      </c>
      <c r="AE164" s="104">
        <f t="shared" si="51"/>
        <v>0</v>
      </c>
      <c r="AF164" s="98"/>
      <c r="AG164" s="99">
        <f t="shared" si="46"/>
        <v>0</v>
      </c>
    </row>
    <row r="165" spans="1:33" x14ac:dyDescent="0.3">
      <c r="A165" s="103" t="s">
        <v>33</v>
      </c>
      <c r="B165" s="104">
        <f t="shared" si="52"/>
        <v>0</v>
      </c>
      <c r="C165" s="104">
        <f t="shared" si="52"/>
        <v>0</v>
      </c>
      <c r="D165" s="104">
        <f t="shared" si="52"/>
        <v>0</v>
      </c>
      <c r="E165" s="104">
        <f t="shared" si="52"/>
        <v>0</v>
      </c>
      <c r="F165" s="104">
        <f>IFERROR(E165/B165*100,0)</f>
        <v>0</v>
      </c>
      <c r="G165" s="104">
        <f>IFERROR(E165/C165*100,0)</f>
        <v>0</v>
      </c>
      <c r="H165" s="104">
        <f t="shared" si="51"/>
        <v>0</v>
      </c>
      <c r="I165" s="104">
        <f t="shared" si="51"/>
        <v>0</v>
      </c>
      <c r="J165" s="104">
        <f t="shared" si="51"/>
        <v>0</v>
      </c>
      <c r="K165" s="104">
        <f t="shared" si="51"/>
        <v>0</v>
      </c>
      <c r="L165" s="104">
        <f t="shared" si="51"/>
        <v>0</v>
      </c>
      <c r="M165" s="104">
        <f t="shared" si="51"/>
        <v>0</v>
      </c>
      <c r="N165" s="104">
        <f t="shared" si="51"/>
        <v>0</v>
      </c>
      <c r="O165" s="104">
        <f t="shared" si="51"/>
        <v>0</v>
      </c>
      <c r="P165" s="104">
        <f t="shared" si="51"/>
        <v>0</v>
      </c>
      <c r="Q165" s="104">
        <f t="shared" si="51"/>
        <v>0</v>
      </c>
      <c r="R165" s="104">
        <f t="shared" si="51"/>
        <v>0</v>
      </c>
      <c r="S165" s="104">
        <f t="shared" si="51"/>
        <v>0</v>
      </c>
      <c r="T165" s="104">
        <f t="shared" si="51"/>
        <v>0</v>
      </c>
      <c r="U165" s="104">
        <f t="shared" si="51"/>
        <v>0</v>
      </c>
      <c r="V165" s="104">
        <f t="shared" si="51"/>
        <v>0</v>
      </c>
      <c r="W165" s="104">
        <f t="shared" si="51"/>
        <v>0</v>
      </c>
      <c r="X165" s="104">
        <f t="shared" si="51"/>
        <v>0</v>
      </c>
      <c r="Y165" s="104">
        <f t="shared" si="51"/>
        <v>0</v>
      </c>
      <c r="Z165" s="104">
        <f t="shared" si="51"/>
        <v>0</v>
      </c>
      <c r="AA165" s="104">
        <f t="shared" si="51"/>
        <v>0</v>
      </c>
      <c r="AB165" s="104">
        <f t="shared" si="51"/>
        <v>0</v>
      </c>
      <c r="AC165" s="104">
        <f t="shared" si="51"/>
        <v>0</v>
      </c>
      <c r="AD165" s="104">
        <f t="shared" si="51"/>
        <v>0</v>
      </c>
      <c r="AE165" s="104">
        <f t="shared" si="51"/>
        <v>0</v>
      </c>
      <c r="AF165" s="98"/>
      <c r="AG165" s="99">
        <f t="shared" si="46"/>
        <v>0</v>
      </c>
    </row>
    <row r="166" spans="1:33" x14ac:dyDescent="0.3">
      <c r="A166" s="103" t="s">
        <v>170</v>
      </c>
      <c r="B166" s="104">
        <f t="shared" si="52"/>
        <v>0</v>
      </c>
      <c r="C166" s="104">
        <f t="shared" si="52"/>
        <v>0</v>
      </c>
      <c r="D166" s="104">
        <f t="shared" si="52"/>
        <v>0</v>
      </c>
      <c r="E166" s="104">
        <f t="shared" si="52"/>
        <v>0</v>
      </c>
      <c r="F166" s="104">
        <f>IFERROR(E166/B166*100,0)</f>
        <v>0</v>
      </c>
      <c r="G166" s="104">
        <f>IFERROR(E166/C166*100,0)</f>
        <v>0</v>
      </c>
      <c r="H166" s="104">
        <f t="shared" si="51"/>
        <v>0</v>
      </c>
      <c r="I166" s="104">
        <f t="shared" si="51"/>
        <v>0</v>
      </c>
      <c r="J166" s="104">
        <f t="shared" si="51"/>
        <v>0</v>
      </c>
      <c r="K166" s="104">
        <f t="shared" si="51"/>
        <v>0</v>
      </c>
      <c r="L166" s="104">
        <f t="shared" si="51"/>
        <v>0</v>
      </c>
      <c r="M166" s="104">
        <f t="shared" si="51"/>
        <v>0</v>
      </c>
      <c r="N166" s="104">
        <f t="shared" si="51"/>
        <v>0</v>
      </c>
      <c r="O166" s="104">
        <f t="shared" si="51"/>
        <v>0</v>
      </c>
      <c r="P166" s="104">
        <f t="shared" si="51"/>
        <v>0</v>
      </c>
      <c r="Q166" s="104">
        <f t="shared" si="51"/>
        <v>0</v>
      </c>
      <c r="R166" s="104">
        <f t="shared" si="51"/>
        <v>0</v>
      </c>
      <c r="S166" s="104">
        <f t="shared" si="51"/>
        <v>0</v>
      </c>
      <c r="T166" s="104">
        <f t="shared" si="51"/>
        <v>0</v>
      </c>
      <c r="U166" s="104">
        <f t="shared" si="51"/>
        <v>0</v>
      </c>
      <c r="V166" s="104">
        <f t="shared" si="51"/>
        <v>0</v>
      </c>
      <c r="W166" s="104">
        <f t="shared" si="51"/>
        <v>0</v>
      </c>
      <c r="X166" s="104">
        <f t="shared" si="51"/>
        <v>0</v>
      </c>
      <c r="Y166" s="104">
        <f t="shared" si="51"/>
        <v>0</v>
      </c>
      <c r="Z166" s="104">
        <f t="shared" si="51"/>
        <v>0</v>
      </c>
      <c r="AA166" s="104">
        <f t="shared" si="51"/>
        <v>0</v>
      </c>
      <c r="AB166" s="104">
        <f t="shared" si="51"/>
        <v>0</v>
      </c>
      <c r="AC166" s="104">
        <f t="shared" si="51"/>
        <v>0</v>
      </c>
      <c r="AD166" s="104">
        <f t="shared" si="51"/>
        <v>0</v>
      </c>
      <c r="AE166" s="104">
        <f t="shared" si="51"/>
        <v>0</v>
      </c>
      <c r="AF166" s="98"/>
      <c r="AG166" s="99">
        <f t="shared" si="46"/>
        <v>0</v>
      </c>
    </row>
    <row r="167" spans="1:33" ht="37.5" x14ac:dyDescent="0.3">
      <c r="A167" s="105" t="s">
        <v>289</v>
      </c>
      <c r="B167" s="127"/>
      <c r="C167" s="128"/>
      <c r="D167" s="128"/>
      <c r="E167" s="128"/>
      <c r="F167" s="128"/>
      <c r="G167" s="128"/>
      <c r="H167" s="108"/>
      <c r="I167" s="108"/>
      <c r="J167" s="108"/>
      <c r="K167" s="108"/>
      <c r="L167" s="108"/>
      <c r="M167" s="108"/>
      <c r="N167" s="108"/>
      <c r="O167" s="108"/>
      <c r="P167" s="108"/>
      <c r="Q167" s="108"/>
      <c r="R167" s="108"/>
      <c r="S167" s="108"/>
      <c r="T167" s="108"/>
      <c r="U167" s="108"/>
      <c r="V167" s="108"/>
      <c r="W167" s="108"/>
      <c r="X167" s="108"/>
      <c r="Y167" s="108"/>
      <c r="Z167" s="108"/>
      <c r="AA167" s="108"/>
      <c r="AB167" s="108"/>
      <c r="AC167" s="108"/>
      <c r="AD167" s="108"/>
      <c r="AE167" s="108"/>
      <c r="AF167" s="29"/>
      <c r="AG167" s="99">
        <f t="shared" si="46"/>
        <v>0</v>
      </c>
    </row>
    <row r="168" spans="1:33" x14ac:dyDescent="0.3">
      <c r="A168" s="109" t="s">
        <v>31</v>
      </c>
      <c r="B168" s="110">
        <f>B170+B171+B169+B172</f>
        <v>0</v>
      </c>
      <c r="C168" s="110">
        <f>C170+C171+C169+C172</f>
        <v>0</v>
      </c>
      <c r="D168" s="110">
        <f>D170+D171+D169+D172</f>
        <v>0</v>
      </c>
      <c r="E168" s="110">
        <f>E170+E171+E169+E172</f>
        <v>0</v>
      </c>
      <c r="F168" s="110">
        <f>IFERROR(E168/B168*100,0)</f>
        <v>0</v>
      </c>
      <c r="G168" s="110">
        <f>IFERROR(E168/C168*100,0)</f>
        <v>0</v>
      </c>
      <c r="H168" s="110">
        <f t="shared" ref="H168:AE168" si="53">H170+H171+H169+H172</f>
        <v>0</v>
      </c>
      <c r="I168" s="110">
        <f t="shared" si="53"/>
        <v>0</v>
      </c>
      <c r="J168" s="110">
        <f t="shared" si="53"/>
        <v>0</v>
      </c>
      <c r="K168" s="110">
        <f t="shared" si="53"/>
        <v>0</v>
      </c>
      <c r="L168" s="110">
        <f t="shared" si="53"/>
        <v>0</v>
      </c>
      <c r="M168" s="110">
        <f t="shared" si="53"/>
        <v>0</v>
      </c>
      <c r="N168" s="110">
        <f t="shared" si="53"/>
        <v>0</v>
      </c>
      <c r="O168" s="110">
        <f t="shared" si="53"/>
        <v>0</v>
      </c>
      <c r="P168" s="110">
        <f t="shared" si="53"/>
        <v>0</v>
      </c>
      <c r="Q168" s="110">
        <f t="shared" si="53"/>
        <v>0</v>
      </c>
      <c r="R168" s="110">
        <f t="shared" si="53"/>
        <v>0</v>
      </c>
      <c r="S168" s="110">
        <f t="shared" si="53"/>
        <v>0</v>
      </c>
      <c r="T168" s="110">
        <f t="shared" si="53"/>
        <v>0</v>
      </c>
      <c r="U168" s="110">
        <f t="shared" si="53"/>
        <v>0</v>
      </c>
      <c r="V168" s="110">
        <f t="shared" si="53"/>
        <v>0</v>
      </c>
      <c r="W168" s="110">
        <f t="shared" si="53"/>
        <v>0</v>
      </c>
      <c r="X168" s="110">
        <f t="shared" si="53"/>
        <v>0</v>
      </c>
      <c r="Y168" s="110">
        <f t="shared" si="53"/>
        <v>0</v>
      </c>
      <c r="Z168" s="110">
        <f t="shared" si="53"/>
        <v>0</v>
      </c>
      <c r="AA168" s="110">
        <f t="shared" si="53"/>
        <v>0</v>
      </c>
      <c r="AB168" s="110">
        <f t="shared" si="53"/>
        <v>0</v>
      </c>
      <c r="AC168" s="110">
        <f t="shared" si="53"/>
        <v>0</v>
      </c>
      <c r="AD168" s="110">
        <f t="shared" si="53"/>
        <v>0</v>
      </c>
      <c r="AE168" s="110">
        <f t="shared" si="53"/>
        <v>0</v>
      </c>
      <c r="AF168" s="29"/>
      <c r="AG168" s="99">
        <f t="shared" si="46"/>
        <v>0</v>
      </c>
    </row>
    <row r="169" spans="1:33" x14ac:dyDescent="0.3">
      <c r="A169" s="112" t="s">
        <v>169</v>
      </c>
      <c r="B169" s="113"/>
      <c r="C169" s="114"/>
      <c r="D169" s="115"/>
      <c r="E169" s="114"/>
      <c r="F169" s="113"/>
      <c r="G169" s="113"/>
      <c r="H169" s="108"/>
      <c r="I169" s="108"/>
      <c r="J169" s="108"/>
      <c r="K169" s="108"/>
      <c r="L169" s="108"/>
      <c r="M169" s="108"/>
      <c r="N169" s="108"/>
      <c r="O169" s="108"/>
      <c r="P169" s="108"/>
      <c r="Q169" s="108"/>
      <c r="R169" s="108"/>
      <c r="S169" s="108"/>
      <c r="T169" s="108"/>
      <c r="U169" s="108"/>
      <c r="V169" s="108"/>
      <c r="W169" s="108"/>
      <c r="X169" s="108"/>
      <c r="Y169" s="108"/>
      <c r="Z169" s="108"/>
      <c r="AA169" s="108"/>
      <c r="AB169" s="108"/>
      <c r="AC169" s="108"/>
      <c r="AD169" s="108"/>
      <c r="AE169" s="108"/>
      <c r="AF169" s="29"/>
      <c r="AG169" s="99">
        <f t="shared" si="46"/>
        <v>0</v>
      </c>
    </row>
    <row r="170" spans="1:33" x14ac:dyDescent="0.3">
      <c r="A170" s="112" t="s">
        <v>32</v>
      </c>
      <c r="B170" s="113"/>
      <c r="C170" s="114"/>
      <c r="D170" s="115"/>
      <c r="E170" s="114"/>
      <c r="F170" s="113"/>
      <c r="G170" s="113"/>
      <c r="H170" s="108"/>
      <c r="I170" s="108"/>
      <c r="J170" s="108"/>
      <c r="K170" s="108"/>
      <c r="L170" s="108"/>
      <c r="M170" s="108"/>
      <c r="N170" s="108"/>
      <c r="O170" s="108"/>
      <c r="P170" s="108"/>
      <c r="Q170" s="108"/>
      <c r="R170" s="108"/>
      <c r="S170" s="108"/>
      <c r="T170" s="108"/>
      <c r="U170" s="108"/>
      <c r="V170" s="108"/>
      <c r="W170" s="108"/>
      <c r="X170" s="108"/>
      <c r="Y170" s="108"/>
      <c r="Z170" s="108"/>
      <c r="AA170" s="108"/>
      <c r="AB170" s="108"/>
      <c r="AC170" s="108"/>
      <c r="AD170" s="108"/>
      <c r="AE170" s="108"/>
      <c r="AF170" s="29"/>
      <c r="AG170" s="99">
        <f t="shared" si="46"/>
        <v>0</v>
      </c>
    </row>
    <row r="171" spans="1:33" x14ac:dyDescent="0.3">
      <c r="A171" s="112" t="s">
        <v>33</v>
      </c>
      <c r="B171" s="113">
        <f>J171+L171+N171+P171+R171+T171+V171+X171+Z171+AB171+AD171+H171</f>
        <v>0</v>
      </c>
      <c r="C171" s="114">
        <f>SUM(H171)</f>
        <v>0</v>
      </c>
      <c r="D171" s="115">
        <f>E171</f>
        <v>0</v>
      </c>
      <c r="E171" s="114">
        <f>SUM(I171,K171,M171,O171,Q171,S171,U171,W171,Y171,AA171,AC171,AE171)</f>
        <v>0</v>
      </c>
      <c r="F171" s="113">
        <f>IFERROR(E171/B171*100,0)</f>
        <v>0</v>
      </c>
      <c r="G171" s="113">
        <f>IFERROR(E171/C171*100,0)</f>
        <v>0</v>
      </c>
      <c r="H171" s="108"/>
      <c r="I171" s="108"/>
      <c r="J171" s="108"/>
      <c r="K171" s="108"/>
      <c r="L171" s="108"/>
      <c r="M171" s="108"/>
      <c r="N171" s="108"/>
      <c r="O171" s="108"/>
      <c r="P171" s="108"/>
      <c r="Q171" s="108"/>
      <c r="R171" s="108"/>
      <c r="S171" s="108"/>
      <c r="T171" s="108"/>
      <c r="U171" s="108"/>
      <c r="V171" s="108"/>
      <c r="W171" s="108"/>
      <c r="X171" s="108"/>
      <c r="Y171" s="108"/>
      <c r="Z171" s="108"/>
      <c r="AA171" s="108"/>
      <c r="AB171" s="108"/>
      <c r="AC171" s="108"/>
      <c r="AD171" s="108"/>
      <c r="AE171" s="108"/>
      <c r="AF171" s="29"/>
      <c r="AG171" s="99">
        <f t="shared" si="46"/>
        <v>0</v>
      </c>
    </row>
    <row r="172" spans="1:33" x14ac:dyDescent="0.3">
      <c r="A172" s="119" t="s">
        <v>170</v>
      </c>
      <c r="B172" s="113"/>
      <c r="C172" s="114"/>
      <c r="D172" s="115"/>
      <c r="E172" s="114"/>
      <c r="F172" s="113"/>
      <c r="G172" s="113"/>
      <c r="H172" s="108"/>
      <c r="I172" s="108"/>
      <c r="J172" s="108"/>
      <c r="K172" s="108"/>
      <c r="L172" s="108"/>
      <c r="M172" s="108"/>
      <c r="N172" s="108"/>
      <c r="O172" s="108"/>
      <c r="P172" s="108"/>
      <c r="Q172" s="108"/>
      <c r="R172" s="108"/>
      <c r="S172" s="108"/>
      <c r="T172" s="108"/>
      <c r="U172" s="108"/>
      <c r="V172" s="108"/>
      <c r="W172" s="108"/>
      <c r="X172" s="108"/>
      <c r="Y172" s="108"/>
      <c r="Z172" s="108"/>
      <c r="AA172" s="108"/>
      <c r="AB172" s="108"/>
      <c r="AC172" s="108"/>
      <c r="AD172" s="108"/>
      <c r="AE172" s="108"/>
      <c r="AF172" s="29"/>
      <c r="AG172" s="99">
        <f t="shared" si="46"/>
        <v>0</v>
      </c>
    </row>
    <row r="173" spans="1:33" x14ac:dyDescent="0.3">
      <c r="A173" s="1163" t="s">
        <v>290</v>
      </c>
      <c r="B173" s="1164"/>
      <c r="C173" s="1164"/>
      <c r="D173" s="1164"/>
      <c r="E173" s="1164"/>
      <c r="F173" s="1164"/>
      <c r="G173" s="1164"/>
      <c r="H173" s="1164"/>
      <c r="I173" s="1164"/>
      <c r="J173" s="1164"/>
      <c r="K173" s="1164"/>
      <c r="L173" s="1164"/>
      <c r="M173" s="1164"/>
      <c r="N173" s="1164"/>
      <c r="O173" s="1164"/>
      <c r="P173" s="1164"/>
      <c r="Q173" s="1164"/>
      <c r="R173" s="1164"/>
      <c r="S173" s="1164"/>
      <c r="T173" s="1164"/>
      <c r="U173" s="1164"/>
      <c r="V173" s="1164"/>
      <c r="W173" s="1164"/>
      <c r="X173" s="1164"/>
      <c r="Y173" s="1164"/>
      <c r="Z173" s="1164"/>
      <c r="AA173" s="1164"/>
      <c r="AB173" s="1164"/>
      <c r="AC173" s="1164"/>
      <c r="AD173" s="1164"/>
      <c r="AE173" s="1164"/>
      <c r="AF173" s="1165"/>
      <c r="AG173" s="99">
        <f t="shared" si="46"/>
        <v>0</v>
      </c>
    </row>
    <row r="174" spans="1:33" s="94" customFormat="1" x14ac:dyDescent="0.3">
      <c r="A174" s="1163" t="s">
        <v>167</v>
      </c>
      <c r="B174" s="1164"/>
      <c r="C174" s="1164"/>
      <c r="D174" s="1164"/>
      <c r="E174" s="1164"/>
      <c r="F174" s="1164"/>
      <c r="G174" s="1164"/>
      <c r="H174" s="1164"/>
      <c r="I174" s="1164"/>
      <c r="J174" s="1164"/>
      <c r="K174" s="1164"/>
      <c r="L174" s="1164"/>
      <c r="M174" s="1164"/>
      <c r="N174" s="1164"/>
      <c r="O174" s="1164"/>
      <c r="P174" s="1164"/>
      <c r="Q174" s="1164"/>
      <c r="R174" s="1164"/>
      <c r="S174" s="1164"/>
      <c r="T174" s="1164"/>
      <c r="U174" s="1164"/>
      <c r="V174" s="1164"/>
      <c r="W174" s="1164"/>
      <c r="X174" s="1164"/>
      <c r="Y174" s="1164"/>
      <c r="Z174" s="1164"/>
      <c r="AA174" s="1164"/>
      <c r="AB174" s="1164"/>
      <c r="AC174" s="1164"/>
      <c r="AD174" s="1164"/>
      <c r="AE174" s="1164"/>
      <c r="AF174" s="1165"/>
    </row>
    <row r="175" spans="1:33" ht="56.25" customHeight="1" x14ac:dyDescent="0.3">
      <c r="A175" s="95" t="s">
        <v>291</v>
      </c>
      <c r="B175" s="96"/>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c r="AD175" s="97"/>
      <c r="AE175" s="97"/>
      <c r="AF175" s="98"/>
      <c r="AG175" s="99">
        <f>B175-H175-J175-L175-N175-P175-R175-T175-V175-X175-Z175-AB175-AD175</f>
        <v>0</v>
      </c>
    </row>
    <row r="176" spans="1:33" x14ac:dyDescent="0.3">
      <c r="A176" s="100" t="s">
        <v>31</v>
      </c>
      <c r="B176" s="101">
        <f>B177+B178+B179+B180</f>
        <v>11</v>
      </c>
      <c r="C176" s="101">
        <f>C177+C178+C179+C180</f>
        <v>11</v>
      </c>
      <c r="D176" s="101">
        <f>D177+D178+D179+D180</f>
        <v>11</v>
      </c>
      <c r="E176" s="101">
        <f>E177+E178+E179+E180</f>
        <v>11</v>
      </c>
      <c r="F176" s="102">
        <f>IFERROR(E176/B176*100,0)</f>
        <v>100</v>
      </c>
      <c r="G176" s="102">
        <f>IFERROR(E176/C176*100,0)</f>
        <v>100</v>
      </c>
      <c r="H176" s="101">
        <f>H177+H178+H179+H180</f>
        <v>2</v>
      </c>
      <c r="I176" s="101">
        <f t="shared" ref="I176:AE176" si="54">I177+I178+I179+I180</f>
        <v>2</v>
      </c>
      <c r="J176" s="101">
        <f t="shared" si="54"/>
        <v>1</v>
      </c>
      <c r="K176" s="101">
        <f t="shared" si="54"/>
        <v>1</v>
      </c>
      <c r="L176" s="101">
        <f t="shared" si="54"/>
        <v>8</v>
      </c>
      <c r="M176" s="101">
        <f t="shared" si="54"/>
        <v>8</v>
      </c>
      <c r="N176" s="101">
        <f t="shared" si="54"/>
        <v>0</v>
      </c>
      <c r="O176" s="101">
        <f t="shared" si="54"/>
        <v>0</v>
      </c>
      <c r="P176" s="101">
        <f t="shared" si="54"/>
        <v>0</v>
      </c>
      <c r="Q176" s="101">
        <f t="shared" si="54"/>
        <v>0</v>
      </c>
      <c r="R176" s="101">
        <f t="shared" si="54"/>
        <v>0</v>
      </c>
      <c r="S176" s="101">
        <f t="shared" si="54"/>
        <v>0</v>
      </c>
      <c r="T176" s="101">
        <f t="shared" si="54"/>
        <v>0</v>
      </c>
      <c r="U176" s="101">
        <f t="shared" si="54"/>
        <v>0</v>
      </c>
      <c r="V176" s="101">
        <f t="shared" si="54"/>
        <v>0</v>
      </c>
      <c r="W176" s="101">
        <f t="shared" si="54"/>
        <v>0</v>
      </c>
      <c r="X176" s="101">
        <f t="shared" si="54"/>
        <v>0</v>
      </c>
      <c r="Y176" s="101">
        <f t="shared" si="54"/>
        <v>0</v>
      </c>
      <c r="Z176" s="101">
        <f t="shared" si="54"/>
        <v>0</v>
      </c>
      <c r="AA176" s="101">
        <f t="shared" si="54"/>
        <v>0</v>
      </c>
      <c r="AB176" s="101">
        <f t="shared" si="54"/>
        <v>0</v>
      </c>
      <c r="AC176" s="101">
        <f t="shared" si="54"/>
        <v>0</v>
      </c>
      <c r="AD176" s="101">
        <f t="shared" si="54"/>
        <v>0</v>
      </c>
      <c r="AE176" s="101">
        <f t="shared" si="54"/>
        <v>0</v>
      </c>
      <c r="AF176" s="98"/>
      <c r="AG176" s="99">
        <f t="shared" ref="AG176:AG186" si="55">B176-H176-J176-L176-N176-P176-R176-T176-V176-X176-Z176-AB176-AD176</f>
        <v>0</v>
      </c>
    </row>
    <row r="177" spans="1:33" x14ac:dyDescent="0.3">
      <c r="A177" s="103" t="s">
        <v>169</v>
      </c>
      <c r="B177" s="104">
        <f>B183</f>
        <v>0</v>
      </c>
      <c r="C177" s="104">
        <f>C183</f>
        <v>0</v>
      </c>
      <c r="D177" s="104">
        <f>D183</f>
        <v>0</v>
      </c>
      <c r="E177" s="104">
        <f>E183</f>
        <v>0</v>
      </c>
      <c r="F177" s="104">
        <f>IFERROR(E177/B177*100,0)</f>
        <v>0</v>
      </c>
      <c r="G177" s="104">
        <f>IFERROR(E177/C177*100,0)</f>
        <v>0</v>
      </c>
      <c r="H177" s="104">
        <f t="shared" ref="H177:AE180" si="56">H183</f>
        <v>0</v>
      </c>
      <c r="I177" s="104">
        <f t="shared" si="56"/>
        <v>0</v>
      </c>
      <c r="J177" s="104">
        <f t="shared" si="56"/>
        <v>0</v>
      </c>
      <c r="K177" s="104">
        <f t="shared" si="56"/>
        <v>0</v>
      </c>
      <c r="L177" s="104">
        <f t="shared" si="56"/>
        <v>0</v>
      </c>
      <c r="M177" s="104">
        <f t="shared" si="56"/>
        <v>0</v>
      </c>
      <c r="N177" s="104">
        <f t="shared" si="56"/>
        <v>0</v>
      </c>
      <c r="O177" s="104">
        <f t="shared" si="56"/>
        <v>0</v>
      </c>
      <c r="P177" s="104">
        <f t="shared" si="56"/>
        <v>0</v>
      </c>
      <c r="Q177" s="104">
        <f t="shared" si="56"/>
        <v>0</v>
      </c>
      <c r="R177" s="104">
        <f t="shared" si="56"/>
        <v>0</v>
      </c>
      <c r="S177" s="104">
        <f t="shared" si="56"/>
        <v>0</v>
      </c>
      <c r="T177" s="104">
        <f t="shared" si="56"/>
        <v>0</v>
      </c>
      <c r="U177" s="104">
        <f t="shared" si="56"/>
        <v>0</v>
      </c>
      <c r="V177" s="104">
        <f t="shared" si="56"/>
        <v>0</v>
      </c>
      <c r="W177" s="104">
        <f t="shared" si="56"/>
        <v>0</v>
      </c>
      <c r="X177" s="104">
        <f t="shared" si="56"/>
        <v>0</v>
      </c>
      <c r="Y177" s="104">
        <f t="shared" si="56"/>
        <v>0</v>
      </c>
      <c r="Z177" s="104">
        <f t="shared" si="56"/>
        <v>0</v>
      </c>
      <c r="AA177" s="104">
        <f t="shared" si="56"/>
        <v>0</v>
      </c>
      <c r="AB177" s="104">
        <f t="shared" si="56"/>
        <v>0</v>
      </c>
      <c r="AC177" s="104">
        <f t="shared" si="56"/>
        <v>0</v>
      </c>
      <c r="AD177" s="104">
        <f t="shared" si="56"/>
        <v>0</v>
      </c>
      <c r="AE177" s="104">
        <f t="shared" si="56"/>
        <v>0</v>
      </c>
      <c r="AF177" s="98"/>
      <c r="AG177" s="99">
        <f t="shared" si="55"/>
        <v>0</v>
      </c>
    </row>
    <row r="178" spans="1:33" x14ac:dyDescent="0.3">
      <c r="A178" s="103" t="s">
        <v>32</v>
      </c>
      <c r="B178" s="104">
        <f t="shared" ref="B178:E180" si="57">B184</f>
        <v>0</v>
      </c>
      <c r="C178" s="104">
        <f t="shared" si="57"/>
        <v>0</v>
      </c>
      <c r="D178" s="104">
        <f t="shared" si="57"/>
        <v>0</v>
      </c>
      <c r="E178" s="104">
        <f t="shared" si="57"/>
        <v>0</v>
      </c>
      <c r="F178" s="104">
        <f>IFERROR(E178/B178*100,0)</f>
        <v>0</v>
      </c>
      <c r="G178" s="104">
        <f>IFERROR(E178/C178*100,0)</f>
        <v>0</v>
      </c>
      <c r="H178" s="104">
        <f t="shared" si="56"/>
        <v>0</v>
      </c>
      <c r="I178" s="104">
        <f t="shared" si="56"/>
        <v>0</v>
      </c>
      <c r="J178" s="104">
        <f t="shared" si="56"/>
        <v>0</v>
      </c>
      <c r="K178" s="104">
        <f t="shared" si="56"/>
        <v>0</v>
      </c>
      <c r="L178" s="104">
        <f t="shared" si="56"/>
        <v>0</v>
      </c>
      <c r="M178" s="104">
        <f t="shared" si="56"/>
        <v>0</v>
      </c>
      <c r="N178" s="104">
        <f t="shared" si="56"/>
        <v>0</v>
      </c>
      <c r="O178" s="104">
        <f t="shared" si="56"/>
        <v>0</v>
      </c>
      <c r="P178" s="104">
        <f t="shared" si="56"/>
        <v>0</v>
      </c>
      <c r="Q178" s="104">
        <f t="shared" si="56"/>
        <v>0</v>
      </c>
      <c r="R178" s="104">
        <f t="shared" si="56"/>
        <v>0</v>
      </c>
      <c r="S178" s="104">
        <f t="shared" si="56"/>
        <v>0</v>
      </c>
      <c r="T178" s="104">
        <f t="shared" si="56"/>
        <v>0</v>
      </c>
      <c r="U178" s="104">
        <f t="shared" si="56"/>
        <v>0</v>
      </c>
      <c r="V178" s="104">
        <f t="shared" si="56"/>
        <v>0</v>
      </c>
      <c r="W178" s="104">
        <f t="shared" si="56"/>
        <v>0</v>
      </c>
      <c r="X178" s="104">
        <f t="shared" si="56"/>
        <v>0</v>
      </c>
      <c r="Y178" s="104">
        <f t="shared" si="56"/>
        <v>0</v>
      </c>
      <c r="Z178" s="104">
        <f t="shared" si="56"/>
        <v>0</v>
      </c>
      <c r="AA178" s="104">
        <f t="shared" si="56"/>
        <v>0</v>
      </c>
      <c r="AB178" s="104">
        <f t="shared" si="56"/>
        <v>0</v>
      </c>
      <c r="AC178" s="104">
        <f t="shared" si="56"/>
        <v>0</v>
      </c>
      <c r="AD178" s="104">
        <f t="shared" si="56"/>
        <v>0</v>
      </c>
      <c r="AE178" s="104">
        <f t="shared" si="56"/>
        <v>0</v>
      </c>
      <c r="AF178" s="98"/>
      <c r="AG178" s="99">
        <f t="shared" si="55"/>
        <v>0</v>
      </c>
    </row>
    <row r="179" spans="1:33" x14ac:dyDescent="0.3">
      <c r="A179" s="103" t="s">
        <v>33</v>
      </c>
      <c r="B179" s="594">
        <f t="shared" si="57"/>
        <v>11</v>
      </c>
      <c r="C179" s="104">
        <f t="shared" si="57"/>
        <v>11</v>
      </c>
      <c r="D179" s="104">
        <f t="shared" si="57"/>
        <v>11</v>
      </c>
      <c r="E179" s="104">
        <f t="shared" si="57"/>
        <v>11</v>
      </c>
      <c r="F179" s="104">
        <f>IFERROR(E179/B179*100,0)</f>
        <v>100</v>
      </c>
      <c r="G179" s="104">
        <f>IFERROR(E179/C179*100,0)</f>
        <v>100</v>
      </c>
      <c r="H179" s="104">
        <f t="shared" si="56"/>
        <v>2</v>
      </c>
      <c r="I179" s="104">
        <f t="shared" si="56"/>
        <v>2</v>
      </c>
      <c r="J179" s="104">
        <f t="shared" si="56"/>
        <v>1</v>
      </c>
      <c r="K179" s="104">
        <f t="shared" si="56"/>
        <v>1</v>
      </c>
      <c r="L179" s="104">
        <f t="shared" si="56"/>
        <v>8</v>
      </c>
      <c r="M179" s="104">
        <f t="shared" si="56"/>
        <v>8</v>
      </c>
      <c r="N179" s="104">
        <f t="shared" si="56"/>
        <v>0</v>
      </c>
      <c r="O179" s="104">
        <f t="shared" si="56"/>
        <v>0</v>
      </c>
      <c r="P179" s="104">
        <f t="shared" si="56"/>
        <v>0</v>
      </c>
      <c r="Q179" s="104">
        <f t="shared" si="56"/>
        <v>0</v>
      </c>
      <c r="R179" s="104">
        <f t="shared" si="56"/>
        <v>0</v>
      </c>
      <c r="S179" s="104">
        <f t="shared" si="56"/>
        <v>0</v>
      </c>
      <c r="T179" s="104">
        <f t="shared" si="56"/>
        <v>0</v>
      </c>
      <c r="U179" s="104">
        <f t="shared" si="56"/>
        <v>0</v>
      </c>
      <c r="V179" s="104">
        <f t="shared" si="56"/>
        <v>0</v>
      </c>
      <c r="W179" s="104">
        <f t="shared" si="56"/>
        <v>0</v>
      </c>
      <c r="X179" s="104">
        <f t="shared" si="56"/>
        <v>0</v>
      </c>
      <c r="Y179" s="104">
        <f t="shared" si="56"/>
        <v>0</v>
      </c>
      <c r="Z179" s="104">
        <f t="shared" si="56"/>
        <v>0</v>
      </c>
      <c r="AA179" s="104">
        <f t="shared" si="56"/>
        <v>0</v>
      </c>
      <c r="AB179" s="104">
        <f t="shared" si="56"/>
        <v>0</v>
      </c>
      <c r="AC179" s="104">
        <f t="shared" si="56"/>
        <v>0</v>
      </c>
      <c r="AD179" s="104">
        <f t="shared" si="56"/>
        <v>0</v>
      </c>
      <c r="AE179" s="104">
        <f t="shared" si="56"/>
        <v>0</v>
      </c>
      <c r="AF179" s="98"/>
      <c r="AG179" s="99">
        <f t="shared" si="55"/>
        <v>0</v>
      </c>
    </row>
    <row r="180" spans="1:33" x14ac:dyDescent="0.3">
      <c r="A180" s="103" t="s">
        <v>170</v>
      </c>
      <c r="B180" s="104">
        <f t="shared" si="57"/>
        <v>0</v>
      </c>
      <c r="C180" s="104">
        <f t="shared" si="57"/>
        <v>0</v>
      </c>
      <c r="D180" s="104">
        <f t="shared" si="57"/>
        <v>0</v>
      </c>
      <c r="E180" s="104">
        <f t="shared" si="57"/>
        <v>0</v>
      </c>
      <c r="F180" s="104">
        <f>IFERROR(E180/B180*100,0)</f>
        <v>0</v>
      </c>
      <c r="G180" s="104">
        <f>IFERROR(E180/C180*100,0)</f>
        <v>0</v>
      </c>
      <c r="H180" s="104">
        <f t="shared" si="56"/>
        <v>0</v>
      </c>
      <c r="I180" s="104">
        <f t="shared" si="56"/>
        <v>0</v>
      </c>
      <c r="J180" s="104">
        <f t="shared" si="56"/>
        <v>0</v>
      </c>
      <c r="K180" s="104">
        <f t="shared" si="56"/>
        <v>0</v>
      </c>
      <c r="L180" s="104">
        <f t="shared" si="56"/>
        <v>0</v>
      </c>
      <c r="M180" s="104">
        <f t="shared" si="56"/>
        <v>0</v>
      </c>
      <c r="N180" s="104">
        <f t="shared" si="56"/>
        <v>0</v>
      </c>
      <c r="O180" s="104">
        <f t="shared" si="56"/>
        <v>0</v>
      </c>
      <c r="P180" s="104">
        <f t="shared" si="56"/>
        <v>0</v>
      </c>
      <c r="Q180" s="104">
        <f t="shared" si="56"/>
        <v>0</v>
      </c>
      <c r="R180" s="104">
        <f t="shared" si="56"/>
        <v>0</v>
      </c>
      <c r="S180" s="104">
        <f t="shared" si="56"/>
        <v>0</v>
      </c>
      <c r="T180" s="104">
        <f t="shared" si="56"/>
        <v>0</v>
      </c>
      <c r="U180" s="104">
        <f t="shared" si="56"/>
        <v>0</v>
      </c>
      <c r="V180" s="104">
        <f t="shared" si="56"/>
        <v>0</v>
      </c>
      <c r="W180" s="104">
        <f t="shared" si="56"/>
        <v>0</v>
      </c>
      <c r="X180" s="104">
        <f t="shared" si="56"/>
        <v>0</v>
      </c>
      <c r="Y180" s="104">
        <f t="shared" si="56"/>
        <v>0</v>
      </c>
      <c r="Z180" s="104">
        <f t="shared" si="56"/>
        <v>0</v>
      </c>
      <c r="AA180" s="104">
        <f t="shared" si="56"/>
        <v>0</v>
      </c>
      <c r="AB180" s="104">
        <f t="shared" si="56"/>
        <v>0</v>
      </c>
      <c r="AC180" s="104">
        <f t="shared" si="56"/>
        <v>0</v>
      </c>
      <c r="AD180" s="104">
        <f t="shared" si="56"/>
        <v>0</v>
      </c>
      <c r="AE180" s="104">
        <f t="shared" si="56"/>
        <v>0</v>
      </c>
      <c r="AF180" s="98"/>
      <c r="AG180" s="99">
        <f t="shared" si="55"/>
        <v>0</v>
      </c>
    </row>
    <row r="181" spans="1:33" ht="60.75" customHeight="1" x14ac:dyDescent="0.3">
      <c r="A181" s="713" t="s">
        <v>292</v>
      </c>
      <c r="B181" s="106"/>
      <c r="C181" s="107"/>
      <c r="D181" s="107"/>
      <c r="E181" s="107"/>
      <c r="F181" s="107"/>
      <c r="G181" s="107"/>
      <c r="H181" s="108"/>
      <c r="I181" s="108"/>
      <c r="J181" s="108"/>
      <c r="K181" s="108"/>
      <c r="L181" s="108"/>
      <c r="M181" s="108"/>
      <c r="N181" s="108"/>
      <c r="O181" s="108"/>
      <c r="P181" s="108"/>
      <c r="Q181" s="108"/>
      <c r="R181" s="108"/>
      <c r="S181" s="108"/>
      <c r="T181" s="108"/>
      <c r="U181" s="108"/>
      <c r="V181" s="108"/>
      <c r="W181" s="108"/>
      <c r="X181" s="108"/>
      <c r="Y181" s="108"/>
      <c r="Z181" s="108"/>
      <c r="AA181" s="108"/>
      <c r="AB181" s="108"/>
      <c r="AC181" s="108"/>
      <c r="AD181" s="108"/>
      <c r="AE181" s="108"/>
      <c r="AF181" s="29"/>
      <c r="AG181" s="99">
        <f t="shared" si="55"/>
        <v>0</v>
      </c>
    </row>
    <row r="182" spans="1:33" x14ac:dyDescent="0.3">
      <c r="A182" s="109" t="s">
        <v>31</v>
      </c>
      <c r="B182" s="591">
        <f>B184+B185+B183+B186</f>
        <v>11</v>
      </c>
      <c r="C182" s="591">
        <f>C184+C185+C183+C186</f>
        <v>11</v>
      </c>
      <c r="D182" s="111">
        <f>D184+D185+D183+D186</f>
        <v>11</v>
      </c>
      <c r="E182" s="110">
        <f>E184+E185+E183+E186</f>
        <v>11</v>
      </c>
      <c r="F182" s="110">
        <f>IFERROR(E182/B182*100,0)</f>
        <v>100</v>
      </c>
      <c r="G182" s="110">
        <f>IFERROR(E182/C182*100,0)</f>
        <v>100</v>
      </c>
      <c r="H182" s="110">
        <f t="shared" ref="H182:AE182" si="58">H184+H185+H183+H186</f>
        <v>2</v>
      </c>
      <c r="I182" s="110">
        <f t="shared" si="58"/>
        <v>2</v>
      </c>
      <c r="J182" s="110">
        <f t="shared" si="58"/>
        <v>1</v>
      </c>
      <c r="K182" s="110">
        <f t="shared" si="58"/>
        <v>1</v>
      </c>
      <c r="L182" s="110">
        <f t="shared" si="58"/>
        <v>8</v>
      </c>
      <c r="M182" s="110">
        <f t="shared" si="58"/>
        <v>8</v>
      </c>
      <c r="N182" s="110">
        <f t="shared" si="58"/>
        <v>0</v>
      </c>
      <c r="O182" s="110">
        <f t="shared" si="58"/>
        <v>0</v>
      </c>
      <c r="P182" s="110">
        <f t="shared" si="58"/>
        <v>0</v>
      </c>
      <c r="Q182" s="110">
        <f t="shared" si="58"/>
        <v>0</v>
      </c>
      <c r="R182" s="110">
        <f t="shared" si="58"/>
        <v>0</v>
      </c>
      <c r="S182" s="110">
        <f t="shared" si="58"/>
        <v>0</v>
      </c>
      <c r="T182" s="110">
        <f t="shared" si="58"/>
        <v>0</v>
      </c>
      <c r="U182" s="110">
        <f t="shared" si="58"/>
        <v>0</v>
      </c>
      <c r="V182" s="110">
        <f t="shared" si="58"/>
        <v>0</v>
      </c>
      <c r="W182" s="110">
        <f t="shared" si="58"/>
        <v>0</v>
      </c>
      <c r="X182" s="110">
        <f t="shared" si="58"/>
        <v>0</v>
      </c>
      <c r="Y182" s="110">
        <f t="shared" si="58"/>
        <v>0</v>
      </c>
      <c r="Z182" s="110">
        <f t="shared" si="58"/>
        <v>0</v>
      </c>
      <c r="AA182" s="110">
        <f t="shared" si="58"/>
        <v>0</v>
      </c>
      <c r="AB182" s="110">
        <f t="shared" si="58"/>
        <v>0</v>
      </c>
      <c r="AC182" s="110">
        <f t="shared" si="58"/>
        <v>0</v>
      </c>
      <c r="AD182" s="110">
        <f t="shared" si="58"/>
        <v>0</v>
      </c>
      <c r="AE182" s="110">
        <f t="shared" si="58"/>
        <v>0</v>
      </c>
      <c r="AF182" s="29"/>
      <c r="AG182" s="99">
        <f t="shared" si="55"/>
        <v>0</v>
      </c>
    </row>
    <row r="183" spans="1:33" x14ac:dyDescent="0.3">
      <c r="A183" s="112" t="s">
        <v>169</v>
      </c>
      <c r="B183" s="113">
        <f>J183+L183+N183+P183+R183+T183+V183+X183+Z183+AB183+AD183+H183</f>
        <v>0</v>
      </c>
      <c r="C183" s="114">
        <f>SUM(H183)</f>
        <v>0</v>
      </c>
      <c r="D183" s="115">
        <f>E183</f>
        <v>0</v>
      </c>
      <c r="E183" s="114">
        <f>SUM(I183,K183,M183,O183,Q183,S183,U183,W183,Y183,AA183,AC183,AE183)</f>
        <v>0</v>
      </c>
      <c r="F183" s="113">
        <f>IFERROR(E183/B183*100,0)</f>
        <v>0</v>
      </c>
      <c r="G183" s="113">
        <f>IFERROR(E183/C183*100,0)</f>
        <v>0</v>
      </c>
      <c r="H183" s="108"/>
      <c r="I183" s="108"/>
      <c r="J183" s="108"/>
      <c r="K183" s="108"/>
      <c r="L183" s="108"/>
      <c r="M183" s="108"/>
      <c r="N183" s="108"/>
      <c r="O183" s="108"/>
      <c r="P183" s="108"/>
      <c r="Q183" s="108"/>
      <c r="R183" s="108"/>
      <c r="S183" s="108"/>
      <c r="T183" s="108"/>
      <c r="U183" s="108"/>
      <c r="V183" s="108"/>
      <c r="W183" s="108"/>
      <c r="X183" s="108"/>
      <c r="Y183" s="108"/>
      <c r="Z183" s="108"/>
      <c r="AA183" s="108"/>
      <c r="AB183" s="108"/>
      <c r="AC183" s="108"/>
      <c r="AD183" s="108"/>
      <c r="AE183" s="108"/>
      <c r="AF183" s="29"/>
      <c r="AG183" s="99">
        <f t="shared" si="55"/>
        <v>0</v>
      </c>
    </row>
    <row r="184" spans="1:33" x14ac:dyDescent="0.3">
      <c r="A184" s="112" t="s">
        <v>32</v>
      </c>
      <c r="B184" s="113">
        <f>J184+L184+N184+P184+R184+T184+V184+X184+Z184+AB184+AD184+H184</f>
        <v>0</v>
      </c>
      <c r="C184" s="114">
        <f>SUM(H184)</f>
        <v>0</v>
      </c>
      <c r="D184" s="115">
        <f>E184</f>
        <v>0</v>
      </c>
      <c r="E184" s="114">
        <f>SUM(I184,K184,M184,O184,Q184,S184,U184,W184,Y184,AA184,AC184,AE184)</f>
        <v>0</v>
      </c>
      <c r="F184" s="113">
        <f>IFERROR(E184/B184*100,0)</f>
        <v>0</v>
      </c>
      <c r="G184" s="113">
        <f>IFERROR(E184/C184*100,0)</f>
        <v>0</v>
      </c>
      <c r="H184" s="108"/>
      <c r="I184" s="108"/>
      <c r="J184" s="108"/>
      <c r="K184" s="108"/>
      <c r="L184" s="108"/>
      <c r="M184" s="108"/>
      <c r="N184" s="108"/>
      <c r="O184" s="108"/>
      <c r="P184" s="108"/>
      <c r="Q184" s="108"/>
      <c r="R184" s="108"/>
      <c r="S184" s="108"/>
      <c r="T184" s="108"/>
      <c r="U184" s="108"/>
      <c r="V184" s="108"/>
      <c r="W184" s="108"/>
      <c r="X184" s="108"/>
      <c r="Y184" s="108"/>
      <c r="Z184" s="108"/>
      <c r="AA184" s="108"/>
      <c r="AB184" s="108"/>
      <c r="AC184" s="108"/>
      <c r="AD184" s="108"/>
      <c r="AE184" s="108"/>
      <c r="AF184" s="29"/>
      <c r="AG184" s="99">
        <f t="shared" si="55"/>
        <v>0</v>
      </c>
    </row>
    <row r="185" spans="1:33" x14ac:dyDescent="0.3">
      <c r="A185" s="112" t="s">
        <v>33</v>
      </c>
      <c r="B185" s="594">
        <f>J185+L185+N185+P185+R185+T185+V185+X185+Z185+AB185+AD185+H185</f>
        <v>11</v>
      </c>
      <c r="C185" s="114">
        <f>H185+J185+L185</f>
        <v>11</v>
      </c>
      <c r="D185" s="115">
        <f>E185</f>
        <v>11</v>
      </c>
      <c r="E185" s="114">
        <f>H185+J185+L185</f>
        <v>11</v>
      </c>
      <c r="F185" s="113">
        <f>IFERROR(E185/B185*100,0)</f>
        <v>100</v>
      </c>
      <c r="G185" s="113">
        <f>IFERROR(E185/C185*100,0)</f>
        <v>100</v>
      </c>
      <c r="H185" s="108">
        <v>2</v>
      </c>
      <c r="I185" s="108">
        <v>2</v>
      </c>
      <c r="J185" s="108">
        <v>1</v>
      </c>
      <c r="K185" s="108">
        <v>1</v>
      </c>
      <c r="L185" s="108">
        <v>8</v>
      </c>
      <c r="M185" s="108">
        <v>8</v>
      </c>
      <c r="N185" s="108"/>
      <c r="O185" s="108"/>
      <c r="P185" s="108"/>
      <c r="Q185" s="108"/>
      <c r="R185" s="108"/>
      <c r="S185" s="108"/>
      <c r="T185" s="108"/>
      <c r="U185" s="108"/>
      <c r="V185" s="108"/>
      <c r="W185" s="108"/>
      <c r="X185" s="108"/>
      <c r="Y185" s="108"/>
      <c r="Z185" s="108"/>
      <c r="AA185" s="108"/>
      <c r="AB185" s="108"/>
      <c r="AC185" s="108"/>
      <c r="AD185" s="108"/>
      <c r="AE185" s="108"/>
      <c r="AF185" s="29"/>
      <c r="AG185" s="99">
        <f t="shared" si="55"/>
        <v>0</v>
      </c>
    </row>
    <row r="186" spans="1:33" x14ac:dyDescent="0.3">
      <c r="A186" s="112" t="s">
        <v>170</v>
      </c>
      <c r="B186" s="113"/>
      <c r="C186" s="114"/>
      <c r="D186" s="115"/>
      <c r="E186" s="114"/>
      <c r="F186" s="113"/>
      <c r="G186" s="113"/>
      <c r="H186" s="108"/>
      <c r="I186" s="108"/>
      <c r="J186" s="108"/>
      <c r="K186" s="108"/>
      <c r="L186" s="108"/>
      <c r="M186" s="108"/>
      <c r="N186" s="108"/>
      <c r="O186" s="108"/>
      <c r="P186" s="108"/>
      <c r="Q186" s="108"/>
      <c r="R186" s="108"/>
      <c r="S186" s="108"/>
      <c r="T186" s="108"/>
      <c r="U186" s="108"/>
      <c r="V186" s="108"/>
      <c r="W186" s="108"/>
      <c r="X186" s="108"/>
      <c r="Y186" s="108"/>
      <c r="Z186" s="108"/>
      <c r="AA186" s="108"/>
      <c r="AB186" s="108"/>
      <c r="AC186" s="108"/>
      <c r="AD186" s="108"/>
      <c r="AE186" s="108"/>
      <c r="AF186" s="29"/>
      <c r="AG186" s="99">
        <f t="shared" si="55"/>
        <v>0</v>
      </c>
    </row>
    <row r="187" spans="1:33" ht="84" customHeight="1" x14ac:dyDescent="0.3">
      <c r="A187" s="95" t="s">
        <v>293</v>
      </c>
      <c r="B187" s="96"/>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8"/>
      <c r="AG187" s="99">
        <f>B187-H187-J187-L187-N187-P187-R187-T187-V187-X187-Z187-AB187-AD187</f>
        <v>0</v>
      </c>
    </row>
    <row r="188" spans="1:33" x14ac:dyDescent="0.3">
      <c r="A188" s="100" t="s">
        <v>31</v>
      </c>
      <c r="B188" s="101">
        <f>B189+B190+B191+B192</f>
        <v>1178.6013399999999</v>
      </c>
      <c r="C188" s="101">
        <f>C189+C190+C191+C192</f>
        <v>1178.6013399999999</v>
      </c>
      <c r="D188" s="101">
        <f>D189+D190+D191+D192</f>
        <v>1177.5833</v>
      </c>
      <c r="E188" s="101">
        <f>E189+E190+E191+E192</f>
        <v>1177.5833</v>
      </c>
      <c r="F188" s="102">
        <f>IFERROR(E188/B188*100,0)</f>
        <v>99.913623040679738</v>
      </c>
      <c r="G188" s="102">
        <f>IFERROR(E188/C188*100,0)</f>
        <v>99.913623040679738</v>
      </c>
      <c r="H188" s="101">
        <f>H189+H190+H191+H192</f>
        <v>0</v>
      </c>
      <c r="I188" s="101">
        <f t="shared" ref="I188:AE188" si="59">I189+I190+I191+I192</f>
        <v>0</v>
      </c>
      <c r="J188" s="101">
        <f t="shared" si="59"/>
        <v>123.75</v>
      </c>
      <c r="K188" s="101">
        <f t="shared" si="59"/>
        <v>123.8</v>
      </c>
      <c r="L188" s="101">
        <f t="shared" si="59"/>
        <v>170.89000000000001</v>
      </c>
      <c r="M188" s="101">
        <f t="shared" si="59"/>
        <v>170.05799999999999</v>
      </c>
      <c r="N188" s="101">
        <f t="shared" si="59"/>
        <v>92.240000000000009</v>
      </c>
      <c r="O188" s="101">
        <f t="shared" si="59"/>
        <v>24.48</v>
      </c>
      <c r="P188" s="101">
        <f t="shared" si="59"/>
        <v>176.8364</v>
      </c>
      <c r="Q188" s="101">
        <f t="shared" si="59"/>
        <v>176.84</v>
      </c>
      <c r="R188" s="101">
        <f t="shared" si="59"/>
        <v>205.44823000000002</v>
      </c>
      <c r="S188" s="101">
        <f t="shared" si="59"/>
        <v>221.96</v>
      </c>
      <c r="T188" s="101">
        <f t="shared" si="59"/>
        <v>0</v>
      </c>
      <c r="U188" s="101">
        <f t="shared" si="59"/>
        <v>0.31</v>
      </c>
      <c r="V188" s="101">
        <f t="shared" si="59"/>
        <v>32.380000000000003</v>
      </c>
      <c r="W188" s="101">
        <f t="shared" si="59"/>
        <v>32.380000000000003</v>
      </c>
      <c r="X188" s="101">
        <f t="shared" si="59"/>
        <v>69.567229999999995</v>
      </c>
      <c r="Y188" s="101">
        <f t="shared" si="59"/>
        <v>103.99530000000001</v>
      </c>
      <c r="Z188" s="101">
        <f t="shared" si="59"/>
        <v>98.613230000000001</v>
      </c>
      <c r="AA188" s="101">
        <f t="shared" si="59"/>
        <v>27.580000000000002</v>
      </c>
      <c r="AB188" s="101">
        <f t="shared" si="59"/>
        <v>119.98225000000001</v>
      </c>
      <c r="AC188" s="101">
        <f t="shared" si="59"/>
        <v>64.45</v>
      </c>
      <c r="AD188" s="101">
        <f t="shared" si="59"/>
        <v>88.894000000000005</v>
      </c>
      <c r="AE188" s="101">
        <f t="shared" si="59"/>
        <v>231.73000000000002</v>
      </c>
      <c r="AF188" s="98"/>
      <c r="AG188" s="99">
        <f t="shared" ref="AG188:AG198" si="60">B188-H188-J188-L188-N188-P188-R188-T188-V188-X188-Z188-AB188-AD188</f>
        <v>0</v>
      </c>
    </row>
    <row r="189" spans="1:33" x14ac:dyDescent="0.3">
      <c r="A189" s="103" t="s">
        <v>169</v>
      </c>
      <c r="B189" s="104">
        <f>B195</f>
        <v>455.10402999999997</v>
      </c>
      <c r="C189" s="104">
        <f>C195</f>
        <v>455.10402999999997</v>
      </c>
      <c r="D189" s="104">
        <f>D195</f>
        <v>454.66329999999999</v>
      </c>
      <c r="E189" s="104">
        <f>E195</f>
        <v>454.66329999999999</v>
      </c>
      <c r="F189" s="104">
        <f>IFERROR(E189/B189*100,0)</f>
        <v>99.903158405343063</v>
      </c>
      <c r="G189" s="104">
        <f>IFERROR(E189/C189*100,0)</f>
        <v>99.903158405343063</v>
      </c>
      <c r="H189" s="104">
        <f t="shared" ref="H189:AE192" si="61">H195</f>
        <v>0</v>
      </c>
      <c r="I189" s="104">
        <f t="shared" si="61"/>
        <v>0</v>
      </c>
      <c r="J189" s="104">
        <f t="shared" si="61"/>
        <v>47.78</v>
      </c>
      <c r="K189" s="104">
        <f t="shared" si="61"/>
        <v>47.9</v>
      </c>
      <c r="L189" s="104">
        <f t="shared" si="61"/>
        <v>65.98</v>
      </c>
      <c r="M189" s="104">
        <f t="shared" si="61"/>
        <v>65.86</v>
      </c>
      <c r="N189" s="104">
        <f t="shared" si="61"/>
        <v>35.630000000000003</v>
      </c>
      <c r="O189" s="104">
        <f t="shared" si="61"/>
        <v>9.15</v>
      </c>
      <c r="P189" s="104">
        <f t="shared" si="61"/>
        <v>68.342010000000002</v>
      </c>
      <c r="Q189" s="104">
        <f t="shared" si="61"/>
        <v>68.34</v>
      </c>
      <c r="R189" s="104">
        <f t="shared" si="61"/>
        <v>79.260000000000005</v>
      </c>
      <c r="S189" s="104">
        <f t="shared" si="61"/>
        <v>85.43</v>
      </c>
      <c r="T189" s="104">
        <f t="shared" si="61"/>
        <v>0</v>
      </c>
      <c r="U189" s="104">
        <f t="shared" si="61"/>
        <v>0.31</v>
      </c>
      <c r="V189" s="104">
        <f t="shared" si="61"/>
        <v>32.28</v>
      </c>
      <c r="W189" s="104">
        <f t="shared" si="61"/>
        <v>32.28</v>
      </c>
      <c r="X189" s="104">
        <f t="shared" si="61"/>
        <v>7.1499999999999986</v>
      </c>
      <c r="Y189" s="104">
        <f t="shared" si="61"/>
        <v>20.383299999999998</v>
      </c>
      <c r="Z189" s="104">
        <f t="shared" si="61"/>
        <v>38.03</v>
      </c>
      <c r="AA189" s="104">
        <f t="shared" si="61"/>
        <v>10.65</v>
      </c>
      <c r="AB189" s="104">
        <f t="shared" si="61"/>
        <v>46.342020000000005</v>
      </c>
      <c r="AC189" s="104">
        <f t="shared" si="61"/>
        <v>24.91</v>
      </c>
      <c r="AD189" s="104">
        <f t="shared" si="61"/>
        <v>34.31</v>
      </c>
      <c r="AE189" s="104">
        <f t="shared" si="61"/>
        <v>89.45</v>
      </c>
      <c r="AF189" s="98"/>
      <c r="AG189" s="99">
        <f t="shared" si="60"/>
        <v>0</v>
      </c>
    </row>
    <row r="190" spans="1:33" x14ac:dyDescent="0.3">
      <c r="A190" s="103" t="s">
        <v>32</v>
      </c>
      <c r="B190" s="104">
        <f t="shared" ref="B190:E192" si="62">B196</f>
        <v>711.69530999999995</v>
      </c>
      <c r="C190" s="104">
        <f>C196</f>
        <v>711.69530999999995</v>
      </c>
      <c r="D190" s="104">
        <f t="shared" si="62"/>
        <v>711.13199999999995</v>
      </c>
      <c r="E190" s="104">
        <f t="shared" si="62"/>
        <v>711.13199999999995</v>
      </c>
      <c r="F190" s="104">
        <f>IFERROR(E190/B190*100,0)</f>
        <v>99.920849555689784</v>
      </c>
      <c r="G190" s="104">
        <f>IFERROR(E190/C190*100,0)</f>
        <v>99.920849555689784</v>
      </c>
      <c r="H190" s="104">
        <f t="shared" si="61"/>
        <v>0</v>
      </c>
      <c r="I190" s="104">
        <f t="shared" si="61"/>
        <v>0</v>
      </c>
      <c r="J190" s="104">
        <f t="shared" si="61"/>
        <v>74.73</v>
      </c>
      <c r="K190" s="104">
        <f t="shared" si="61"/>
        <v>74.7</v>
      </c>
      <c r="L190" s="104">
        <f t="shared" si="61"/>
        <v>103.2</v>
      </c>
      <c r="M190" s="104">
        <f t="shared" si="61"/>
        <v>103.21</v>
      </c>
      <c r="N190" s="104">
        <f t="shared" si="61"/>
        <v>55.68</v>
      </c>
      <c r="O190" s="104">
        <f t="shared" si="61"/>
        <v>14.34</v>
      </c>
      <c r="P190" s="104">
        <f t="shared" si="61"/>
        <v>106.77439</v>
      </c>
      <c r="Q190" s="104">
        <f t="shared" si="61"/>
        <v>106.77</v>
      </c>
      <c r="R190" s="104">
        <f t="shared" si="61"/>
        <v>124.08023</v>
      </c>
      <c r="S190" s="104">
        <f t="shared" si="61"/>
        <v>134.25</v>
      </c>
      <c r="T190" s="104">
        <f t="shared" si="61"/>
        <v>0</v>
      </c>
      <c r="U190" s="104">
        <f t="shared" si="61"/>
        <v>0</v>
      </c>
      <c r="V190" s="104">
        <f t="shared" si="61"/>
        <v>0.1</v>
      </c>
      <c r="W190" s="104">
        <f t="shared" si="61"/>
        <v>0.1</v>
      </c>
      <c r="X190" s="104">
        <f t="shared" si="61"/>
        <v>61.57723</v>
      </c>
      <c r="Y190" s="104">
        <f t="shared" si="61"/>
        <v>82.242000000000004</v>
      </c>
      <c r="Z190" s="104">
        <f t="shared" si="61"/>
        <v>59.413229999999992</v>
      </c>
      <c r="AA190" s="104">
        <f t="shared" si="61"/>
        <v>16.66</v>
      </c>
      <c r="AB190" s="104">
        <f t="shared" si="61"/>
        <v>72.360230000000001</v>
      </c>
      <c r="AC190" s="104">
        <f t="shared" si="61"/>
        <v>38.96</v>
      </c>
      <c r="AD190" s="104">
        <f t="shared" si="61"/>
        <v>53.78</v>
      </c>
      <c r="AE190" s="104">
        <f t="shared" si="61"/>
        <v>139.9</v>
      </c>
      <c r="AF190" s="98"/>
      <c r="AG190" s="99">
        <f t="shared" si="60"/>
        <v>-8.5265128291212022E-14</v>
      </c>
    </row>
    <row r="191" spans="1:33" x14ac:dyDescent="0.3">
      <c r="A191" s="103" t="s">
        <v>33</v>
      </c>
      <c r="B191" s="594">
        <f t="shared" si="62"/>
        <v>11.802</v>
      </c>
      <c r="C191" s="104">
        <f>C197</f>
        <v>11.802</v>
      </c>
      <c r="D191" s="104">
        <f t="shared" si="62"/>
        <v>11.788</v>
      </c>
      <c r="E191" s="104">
        <f t="shared" si="62"/>
        <v>11.788</v>
      </c>
      <c r="F191" s="104">
        <f>IFERROR(E191/B191*100,0)</f>
        <v>99.881376037959669</v>
      </c>
      <c r="G191" s="104">
        <f>IFERROR(E191/C191*100,0)</f>
        <v>99.881376037959669</v>
      </c>
      <c r="H191" s="104">
        <f t="shared" si="61"/>
        <v>0</v>
      </c>
      <c r="I191" s="104">
        <f t="shared" si="61"/>
        <v>0</v>
      </c>
      <c r="J191" s="104">
        <f t="shared" si="61"/>
        <v>1.24</v>
      </c>
      <c r="K191" s="104">
        <f t="shared" si="61"/>
        <v>1.2</v>
      </c>
      <c r="L191" s="104">
        <f t="shared" si="61"/>
        <v>1.71</v>
      </c>
      <c r="M191" s="104">
        <f t="shared" si="61"/>
        <v>0.98799999999999999</v>
      </c>
      <c r="N191" s="104">
        <f t="shared" si="61"/>
        <v>0.93</v>
      </c>
      <c r="O191" s="104">
        <f t="shared" si="61"/>
        <v>0.99</v>
      </c>
      <c r="P191" s="104">
        <f t="shared" si="61"/>
        <v>1.72</v>
      </c>
      <c r="Q191" s="104">
        <f t="shared" si="61"/>
        <v>1.73</v>
      </c>
      <c r="R191" s="104">
        <f t="shared" si="61"/>
        <v>2.1079999999999997</v>
      </c>
      <c r="S191" s="104">
        <f t="shared" si="61"/>
        <v>2.2799999999999998</v>
      </c>
      <c r="T191" s="104">
        <f t="shared" si="61"/>
        <v>0</v>
      </c>
      <c r="U191" s="104">
        <f t="shared" si="61"/>
        <v>0</v>
      </c>
      <c r="V191" s="104">
        <f t="shared" si="61"/>
        <v>0</v>
      </c>
      <c r="W191" s="104">
        <f t="shared" si="61"/>
        <v>0</v>
      </c>
      <c r="X191" s="104">
        <f t="shared" si="61"/>
        <v>0.84</v>
      </c>
      <c r="Y191" s="104">
        <f t="shared" si="61"/>
        <v>1.37</v>
      </c>
      <c r="Z191" s="104">
        <f t="shared" si="61"/>
        <v>1.17</v>
      </c>
      <c r="AA191" s="104">
        <f t="shared" si="61"/>
        <v>0.27</v>
      </c>
      <c r="AB191" s="104">
        <f t="shared" si="61"/>
        <v>1.28</v>
      </c>
      <c r="AC191" s="104">
        <f t="shared" si="61"/>
        <v>0.57999999999999996</v>
      </c>
      <c r="AD191" s="104">
        <f t="shared" si="61"/>
        <v>0.80400000000000005</v>
      </c>
      <c r="AE191" s="104">
        <f t="shared" si="61"/>
        <v>2.38</v>
      </c>
      <c r="AF191" s="98"/>
      <c r="AG191" s="99">
        <f t="shared" si="60"/>
        <v>1.3322676295501878E-15</v>
      </c>
    </row>
    <row r="192" spans="1:33" x14ac:dyDescent="0.3">
      <c r="A192" s="103" t="s">
        <v>170</v>
      </c>
      <c r="B192" s="104">
        <f>B198</f>
        <v>0</v>
      </c>
      <c r="C192" s="104">
        <f t="shared" si="62"/>
        <v>0</v>
      </c>
      <c r="D192" s="104">
        <f t="shared" si="62"/>
        <v>0</v>
      </c>
      <c r="E192" s="104">
        <f t="shared" si="62"/>
        <v>0</v>
      </c>
      <c r="F192" s="104">
        <f>IFERROR(E192/B192*100,0)</f>
        <v>0</v>
      </c>
      <c r="G192" s="104">
        <f>IFERROR(E192/C192*100,0)</f>
        <v>0</v>
      </c>
      <c r="H192" s="104">
        <f t="shared" si="61"/>
        <v>0</v>
      </c>
      <c r="I192" s="104">
        <f t="shared" si="61"/>
        <v>0</v>
      </c>
      <c r="J192" s="104">
        <f t="shared" si="61"/>
        <v>0</v>
      </c>
      <c r="K192" s="104">
        <f t="shared" si="61"/>
        <v>0</v>
      </c>
      <c r="L192" s="104">
        <f t="shared" si="61"/>
        <v>0</v>
      </c>
      <c r="M192" s="104">
        <f t="shared" si="61"/>
        <v>0</v>
      </c>
      <c r="N192" s="104">
        <f t="shared" si="61"/>
        <v>0</v>
      </c>
      <c r="O192" s="104">
        <f t="shared" si="61"/>
        <v>0</v>
      </c>
      <c r="P192" s="104">
        <f t="shared" si="61"/>
        <v>0</v>
      </c>
      <c r="Q192" s="104">
        <f t="shared" si="61"/>
        <v>0</v>
      </c>
      <c r="R192" s="104">
        <f t="shared" si="61"/>
        <v>0</v>
      </c>
      <c r="S192" s="104">
        <f t="shared" si="61"/>
        <v>0</v>
      </c>
      <c r="T192" s="104">
        <f t="shared" si="61"/>
        <v>0</v>
      </c>
      <c r="U192" s="104">
        <f t="shared" si="61"/>
        <v>0</v>
      </c>
      <c r="V192" s="104">
        <f t="shared" si="61"/>
        <v>0</v>
      </c>
      <c r="W192" s="104">
        <f t="shared" si="61"/>
        <v>0</v>
      </c>
      <c r="X192" s="104">
        <f t="shared" si="61"/>
        <v>0</v>
      </c>
      <c r="Y192" s="104">
        <f t="shared" si="61"/>
        <v>0</v>
      </c>
      <c r="Z192" s="104">
        <f t="shared" si="61"/>
        <v>0</v>
      </c>
      <c r="AA192" s="104">
        <f t="shared" si="61"/>
        <v>0</v>
      </c>
      <c r="AB192" s="104">
        <f t="shared" si="61"/>
        <v>0</v>
      </c>
      <c r="AC192" s="104">
        <f t="shared" si="61"/>
        <v>0</v>
      </c>
      <c r="AD192" s="104">
        <f t="shared" si="61"/>
        <v>0</v>
      </c>
      <c r="AE192" s="104">
        <f t="shared" si="61"/>
        <v>0</v>
      </c>
      <c r="AF192" s="98"/>
      <c r="AG192" s="99">
        <f t="shared" si="60"/>
        <v>0</v>
      </c>
    </row>
    <row r="193" spans="1:33" ht="102.75" customHeight="1" x14ac:dyDescent="0.3">
      <c r="A193" s="713" t="s">
        <v>572</v>
      </c>
      <c r="B193" s="106"/>
      <c r="C193" s="107"/>
      <c r="D193" s="107"/>
      <c r="E193" s="107"/>
      <c r="F193" s="107"/>
      <c r="G193" s="107"/>
      <c r="H193" s="108"/>
      <c r="I193" s="108"/>
      <c r="J193" s="108"/>
      <c r="K193" s="108"/>
      <c r="L193" s="108"/>
      <c r="M193" s="108"/>
      <c r="N193" s="108"/>
      <c r="O193" s="108"/>
      <c r="P193" s="108"/>
      <c r="Q193" s="108"/>
      <c r="R193" s="108"/>
      <c r="S193" s="108"/>
      <c r="T193" s="108"/>
      <c r="U193" s="108"/>
      <c r="V193" s="108"/>
      <c r="W193" s="108"/>
      <c r="X193" s="108"/>
      <c r="Y193" s="108"/>
      <c r="Z193" s="108"/>
      <c r="AA193" s="108"/>
      <c r="AB193" s="108"/>
      <c r="AC193" s="108"/>
      <c r="AD193" s="108"/>
      <c r="AE193" s="108"/>
      <c r="AF193" s="716" t="s">
        <v>573</v>
      </c>
      <c r="AG193" s="99">
        <f t="shared" si="60"/>
        <v>0</v>
      </c>
    </row>
    <row r="194" spans="1:33" x14ac:dyDescent="0.3">
      <c r="A194" s="109" t="s">
        <v>31</v>
      </c>
      <c r="B194" s="591">
        <f>B196+B197+B195+B198</f>
        <v>1178.6013399999999</v>
      </c>
      <c r="C194" s="110">
        <f>C196+C197+C195+C198</f>
        <v>1178.6013399999999</v>
      </c>
      <c r="D194" s="111">
        <f>D196+D197+D195+D198</f>
        <v>1177.5833</v>
      </c>
      <c r="E194" s="110">
        <f>E196+E197+E195+E198</f>
        <v>1177.5833</v>
      </c>
      <c r="F194" s="110">
        <f>IFERROR(E194/B194*100,0)</f>
        <v>99.913623040679738</v>
      </c>
      <c r="G194" s="110">
        <f>IFERROR(E194/C194*100,0)</f>
        <v>99.913623040679738</v>
      </c>
      <c r="H194" s="110">
        <f t="shared" ref="H194:AE194" si="63">H196+H197+H195+H198</f>
        <v>0</v>
      </c>
      <c r="I194" s="110">
        <f t="shared" si="63"/>
        <v>0</v>
      </c>
      <c r="J194" s="110">
        <f t="shared" si="63"/>
        <v>123.75</v>
      </c>
      <c r="K194" s="110">
        <f t="shared" si="63"/>
        <v>123.80000000000001</v>
      </c>
      <c r="L194" s="110">
        <f t="shared" si="63"/>
        <v>170.89</v>
      </c>
      <c r="M194" s="110">
        <f t="shared" si="63"/>
        <v>170.05799999999999</v>
      </c>
      <c r="N194" s="110">
        <f t="shared" si="63"/>
        <v>92.240000000000009</v>
      </c>
      <c r="O194" s="110">
        <f t="shared" si="63"/>
        <v>24.48</v>
      </c>
      <c r="P194" s="110">
        <f t="shared" si="63"/>
        <v>176.8364</v>
      </c>
      <c r="Q194" s="110">
        <f t="shared" si="63"/>
        <v>176.84</v>
      </c>
      <c r="R194" s="110">
        <f t="shared" si="63"/>
        <v>205.44823000000002</v>
      </c>
      <c r="S194" s="110">
        <f t="shared" si="63"/>
        <v>221.96</v>
      </c>
      <c r="T194" s="110">
        <f t="shared" si="63"/>
        <v>0</v>
      </c>
      <c r="U194" s="110">
        <f t="shared" si="63"/>
        <v>0.31</v>
      </c>
      <c r="V194" s="110">
        <f t="shared" si="63"/>
        <v>32.380000000000003</v>
      </c>
      <c r="W194" s="110">
        <f t="shared" si="63"/>
        <v>32.380000000000003</v>
      </c>
      <c r="X194" s="110">
        <f t="shared" si="63"/>
        <v>69.567229999999995</v>
      </c>
      <c r="Y194" s="110">
        <f t="shared" si="63"/>
        <v>103.99530000000001</v>
      </c>
      <c r="Z194" s="110">
        <f t="shared" si="63"/>
        <v>98.613229999999987</v>
      </c>
      <c r="AA194" s="110">
        <f t="shared" si="63"/>
        <v>27.58</v>
      </c>
      <c r="AB194" s="110">
        <f t="shared" si="63"/>
        <v>119.98225000000001</v>
      </c>
      <c r="AC194" s="110">
        <f t="shared" si="63"/>
        <v>64.45</v>
      </c>
      <c r="AD194" s="110">
        <f t="shared" si="63"/>
        <v>88.894000000000005</v>
      </c>
      <c r="AE194" s="110">
        <f t="shared" si="63"/>
        <v>231.73000000000002</v>
      </c>
      <c r="AF194" s="29"/>
      <c r="AG194" s="99">
        <f t="shared" si="60"/>
        <v>0</v>
      </c>
    </row>
    <row r="195" spans="1:33" x14ac:dyDescent="0.3">
      <c r="A195" s="112" t="s">
        <v>169</v>
      </c>
      <c r="B195" s="719">
        <f>J195+L195+N195+P195+R195+T195+V195+X195+Z195+AB195+AD195+H195</f>
        <v>455.10402999999997</v>
      </c>
      <c r="C195" s="720">
        <f>H195+J195+L195+N195+P195+R195+T195+V195+X195+Z195+AB195+AD195</f>
        <v>455.10402999999997</v>
      </c>
      <c r="D195" s="721">
        <f>E195</f>
        <v>454.66329999999999</v>
      </c>
      <c r="E195" s="720">
        <f>SUM(I195,K195,M195,O195,Q195,S195,U195,W195,Y195,AA195,AC195,AE195)</f>
        <v>454.66329999999999</v>
      </c>
      <c r="F195" s="719">
        <f>IFERROR(E195/B195*100,0)</f>
        <v>99.903158405343063</v>
      </c>
      <c r="G195" s="719">
        <f>IFERROR(E195/C195*100,0)</f>
        <v>99.903158405343063</v>
      </c>
      <c r="H195" s="499">
        <v>0</v>
      </c>
      <c r="I195" s="499"/>
      <c r="J195" s="499">
        <v>47.78</v>
      </c>
      <c r="K195" s="499">
        <v>47.9</v>
      </c>
      <c r="L195" s="499">
        <v>65.98</v>
      </c>
      <c r="M195" s="499">
        <v>65.86</v>
      </c>
      <c r="N195" s="499">
        <v>35.630000000000003</v>
      </c>
      <c r="O195" s="499">
        <v>9.15</v>
      </c>
      <c r="P195" s="499">
        <v>68.342010000000002</v>
      </c>
      <c r="Q195" s="499">
        <v>68.34</v>
      </c>
      <c r="R195" s="499">
        <f>38+18.75+22.51</f>
        <v>79.260000000000005</v>
      </c>
      <c r="S195" s="499">
        <v>85.43</v>
      </c>
      <c r="T195" s="499"/>
      <c r="U195" s="108">
        <v>0.31</v>
      </c>
      <c r="V195" s="108">
        <f>28.52-18.75+22.51</f>
        <v>32.28</v>
      </c>
      <c r="W195" s="108">
        <v>32.28</v>
      </c>
      <c r="X195" s="108">
        <f>38-22.51-8.34</f>
        <v>7.1499999999999986</v>
      </c>
      <c r="Y195" s="108">
        <f>13.2333+7.15</f>
        <v>20.383299999999998</v>
      </c>
      <c r="Z195" s="108">
        <v>38.03</v>
      </c>
      <c r="AA195" s="108">
        <v>10.65</v>
      </c>
      <c r="AB195" s="108">
        <f>38.00202+8.34</f>
        <v>46.342020000000005</v>
      </c>
      <c r="AC195" s="108">
        <v>24.91</v>
      </c>
      <c r="AD195" s="108">
        <v>34.31</v>
      </c>
      <c r="AE195" s="108">
        <v>89.45</v>
      </c>
      <c r="AF195" s="29"/>
      <c r="AG195" s="99">
        <f t="shared" si="60"/>
        <v>0</v>
      </c>
    </row>
    <row r="196" spans="1:33" x14ac:dyDescent="0.3">
      <c r="A196" s="112" t="s">
        <v>32</v>
      </c>
      <c r="B196" s="719">
        <f>J196+L196+N196+P196+R196+T196+V196+X196+Z196+AB196+AD196+H196</f>
        <v>711.69530999999995</v>
      </c>
      <c r="C196" s="720">
        <f t="shared" ref="C196:C197" si="64">H196+J196+L196+N196+P196+R196+T196+V196+X196+Z196+AB196+AD196</f>
        <v>711.69530999999995</v>
      </c>
      <c r="D196" s="721">
        <f t="shared" ref="D196:D197" si="65">E196</f>
        <v>711.13199999999995</v>
      </c>
      <c r="E196" s="720">
        <f>SUM(I196,K196,M196,O196,Q196,S196,U196,W196,Y196,AA196,AC196,AE196)</f>
        <v>711.13199999999995</v>
      </c>
      <c r="F196" s="719">
        <f>IFERROR(E196/B196*100,0)</f>
        <v>99.920849555689784</v>
      </c>
      <c r="G196" s="719">
        <f>IFERROR(E196/C196*100,0)</f>
        <v>99.920849555689784</v>
      </c>
      <c r="H196" s="499">
        <v>0</v>
      </c>
      <c r="I196" s="499"/>
      <c r="J196" s="499">
        <v>74.73</v>
      </c>
      <c r="K196" s="499">
        <v>74.7</v>
      </c>
      <c r="L196" s="499">
        <v>103.2</v>
      </c>
      <c r="M196" s="499">
        <v>103.21</v>
      </c>
      <c r="N196" s="499">
        <v>55.68</v>
      </c>
      <c r="O196" s="499">
        <v>14.34</v>
      </c>
      <c r="P196" s="499">
        <v>106.77439</v>
      </c>
      <c r="Q196" s="499">
        <v>106.77</v>
      </c>
      <c r="R196" s="499">
        <f>64.65+59.43023</f>
        <v>124.08023</v>
      </c>
      <c r="S196" s="499">
        <v>134.25</v>
      </c>
      <c r="T196" s="499"/>
      <c r="U196" s="108"/>
      <c r="V196" s="108">
        <v>0.1</v>
      </c>
      <c r="W196" s="108">
        <v>0.1</v>
      </c>
      <c r="X196" s="108">
        <f>2.147+59.43023</f>
        <v>61.57723</v>
      </c>
      <c r="Y196" s="108">
        <v>82.242000000000004</v>
      </c>
      <c r="Z196" s="108">
        <f>59.43023+15.06-2.147-12.93</f>
        <v>59.413229999999992</v>
      </c>
      <c r="AA196" s="108">
        <v>16.66</v>
      </c>
      <c r="AB196" s="108">
        <f>12.93+59.43023</f>
        <v>72.360230000000001</v>
      </c>
      <c r="AC196" s="108">
        <v>38.96</v>
      </c>
      <c r="AD196" s="499">
        <v>53.78</v>
      </c>
      <c r="AE196" s="108">
        <v>139.9</v>
      </c>
      <c r="AF196" s="29"/>
      <c r="AG196" s="99">
        <f t="shared" si="60"/>
        <v>-8.5265128291212022E-14</v>
      </c>
    </row>
    <row r="197" spans="1:33" x14ac:dyDescent="0.3">
      <c r="A197" s="112" t="s">
        <v>33</v>
      </c>
      <c r="B197" s="719">
        <f>J197+L197+N197+P197+R197+T197+V197+X197+Z197+AB197+AD197+H197</f>
        <v>11.802</v>
      </c>
      <c r="C197" s="720">
        <f t="shared" si="64"/>
        <v>11.802</v>
      </c>
      <c r="D197" s="721">
        <f t="shared" si="65"/>
        <v>11.788</v>
      </c>
      <c r="E197" s="720">
        <f>SUM(I197,K197,M197,O197,Q197,S197,U197,W197,Y197,AA197,AC197,AE197)</f>
        <v>11.788</v>
      </c>
      <c r="F197" s="719">
        <f>IFERROR(E197/B197*100,0)</f>
        <v>99.881376037959669</v>
      </c>
      <c r="G197" s="719">
        <f>IFERROR(E197/C197*100,0)</f>
        <v>99.881376037959669</v>
      </c>
      <c r="H197" s="499"/>
      <c r="I197" s="499"/>
      <c r="J197" s="499">
        <v>1.24</v>
      </c>
      <c r="K197" s="499">
        <v>1.2</v>
      </c>
      <c r="L197" s="499">
        <v>1.71</v>
      </c>
      <c r="M197" s="499">
        <v>0.98799999999999999</v>
      </c>
      <c r="N197" s="499">
        <v>0.93</v>
      </c>
      <c r="O197" s="499">
        <v>0.99</v>
      </c>
      <c r="P197" s="499">
        <v>1.72</v>
      </c>
      <c r="Q197" s="499">
        <v>1.73</v>
      </c>
      <c r="R197" s="499">
        <f>1.11+0.988+0.01</f>
        <v>2.1079999999999997</v>
      </c>
      <c r="S197" s="499">
        <v>2.2799999999999998</v>
      </c>
      <c r="T197" s="499"/>
      <c r="U197" s="108"/>
      <c r="V197" s="108"/>
      <c r="W197" s="108"/>
      <c r="X197" s="108">
        <f>1-0.01-0.15</f>
        <v>0.84</v>
      </c>
      <c r="Y197" s="108">
        <f>0.38+0.99</f>
        <v>1.37</v>
      </c>
      <c r="Z197" s="108">
        <v>1.17</v>
      </c>
      <c r="AA197" s="108">
        <v>0.27</v>
      </c>
      <c r="AB197" s="108">
        <v>1.28</v>
      </c>
      <c r="AC197" s="108">
        <v>0.57999999999999996</v>
      </c>
      <c r="AD197" s="108">
        <f>0.914-0.11</f>
        <v>0.80400000000000005</v>
      </c>
      <c r="AE197" s="108">
        <v>2.38</v>
      </c>
      <c r="AF197" s="29"/>
      <c r="AG197" s="99">
        <f t="shared" si="60"/>
        <v>1.3322676295501878E-15</v>
      </c>
    </row>
    <row r="198" spans="1:33" x14ac:dyDescent="0.3">
      <c r="A198" s="112" t="s">
        <v>170</v>
      </c>
      <c r="B198" s="113"/>
      <c r="C198" s="114"/>
      <c r="D198" s="115"/>
      <c r="E198" s="114"/>
      <c r="F198" s="113"/>
      <c r="G198" s="113"/>
      <c r="H198" s="108"/>
      <c r="I198" s="108"/>
      <c r="J198" s="108"/>
      <c r="K198" s="108"/>
      <c r="L198" s="108"/>
      <c r="M198" s="108"/>
      <c r="N198" s="108"/>
      <c r="O198" s="108"/>
      <c r="P198" s="108"/>
      <c r="Q198" s="108"/>
      <c r="R198" s="108"/>
      <c r="S198" s="108"/>
      <c r="T198" s="108"/>
      <c r="U198" s="108"/>
      <c r="V198" s="108"/>
      <c r="W198" s="108"/>
      <c r="X198" s="108"/>
      <c r="Y198" s="108"/>
      <c r="Z198" s="108"/>
      <c r="AA198" s="108"/>
      <c r="AB198" s="108"/>
      <c r="AC198" s="108"/>
      <c r="AD198" s="108"/>
      <c r="AE198" s="108"/>
      <c r="AF198" s="29"/>
      <c r="AG198" s="99">
        <f t="shared" si="60"/>
        <v>0</v>
      </c>
    </row>
    <row r="199" spans="1:33" x14ac:dyDescent="0.3">
      <c r="A199" s="1163" t="s">
        <v>54</v>
      </c>
      <c r="B199" s="1164"/>
      <c r="C199" s="1164"/>
      <c r="D199" s="1164"/>
      <c r="E199" s="1164"/>
      <c r="F199" s="1164"/>
      <c r="G199" s="1164"/>
      <c r="H199" s="1164"/>
      <c r="I199" s="1164"/>
      <c r="J199" s="1164"/>
      <c r="K199" s="1164"/>
      <c r="L199" s="1164"/>
      <c r="M199" s="1164"/>
      <c r="N199" s="1164"/>
      <c r="O199" s="1164"/>
      <c r="P199" s="1164"/>
      <c r="Q199" s="1164"/>
      <c r="R199" s="1164"/>
      <c r="S199" s="1164"/>
      <c r="T199" s="1164"/>
      <c r="U199" s="1164"/>
      <c r="V199" s="1164"/>
      <c r="W199" s="1164"/>
      <c r="X199" s="1164"/>
      <c r="Y199" s="1164"/>
      <c r="Z199" s="1164"/>
      <c r="AA199" s="1164"/>
      <c r="AB199" s="1164"/>
      <c r="AC199" s="1164"/>
      <c r="AD199" s="1164"/>
      <c r="AE199" s="1164"/>
      <c r="AF199" s="1165"/>
      <c r="AG199" s="99">
        <f t="shared" si="46"/>
        <v>0</v>
      </c>
    </row>
    <row r="200" spans="1:33" ht="75" x14ac:dyDescent="0.3">
      <c r="A200" s="135" t="s">
        <v>294</v>
      </c>
      <c r="B200" s="136"/>
      <c r="C200" s="137"/>
      <c r="D200" s="137"/>
      <c r="E200" s="137"/>
      <c r="F200" s="137"/>
      <c r="G200" s="137"/>
      <c r="H200" s="136"/>
      <c r="I200" s="136"/>
      <c r="J200" s="136"/>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98"/>
      <c r="AG200" s="99">
        <f t="shared" si="46"/>
        <v>0</v>
      </c>
    </row>
    <row r="201" spans="1:33" x14ac:dyDescent="0.3">
      <c r="A201" s="100" t="s">
        <v>31</v>
      </c>
      <c r="B201" s="101">
        <f>B202+B203+B204+B205</f>
        <v>1323.7</v>
      </c>
      <c r="C201" s="101">
        <f>C202+C203+C204+C205</f>
        <v>1323.7</v>
      </c>
      <c r="D201" s="101">
        <f>D202+D203+D204+D205</f>
        <v>1323.6999999999998</v>
      </c>
      <c r="E201" s="101">
        <f>E202+E203+E204+E205</f>
        <v>1323.6999999999998</v>
      </c>
      <c r="F201" s="104">
        <f>IFERROR(E201/B201*100,0)</f>
        <v>99.999999999999972</v>
      </c>
      <c r="G201" s="104">
        <f>IFERROR(E201/C201*100,0)</f>
        <v>99.999999999999972</v>
      </c>
      <c r="H201" s="101">
        <f>H202+H203+H204+H205</f>
        <v>100</v>
      </c>
      <c r="I201" s="101">
        <f t="shared" ref="I201:AE201" si="66">I202+I203+I204+I205</f>
        <v>100</v>
      </c>
      <c r="J201" s="101">
        <f t="shared" si="66"/>
        <v>383.5</v>
      </c>
      <c r="K201" s="101">
        <f t="shared" si="66"/>
        <v>0</v>
      </c>
      <c r="L201" s="101">
        <f t="shared" si="66"/>
        <v>487.2</v>
      </c>
      <c r="M201" s="101">
        <f t="shared" si="66"/>
        <v>0</v>
      </c>
      <c r="N201" s="101">
        <f t="shared" si="66"/>
        <v>108.2</v>
      </c>
      <c r="O201" s="101">
        <f t="shared" si="66"/>
        <v>978.9</v>
      </c>
      <c r="P201" s="101">
        <f t="shared" si="66"/>
        <v>100.2</v>
      </c>
      <c r="Q201" s="101">
        <f t="shared" si="66"/>
        <v>100.2</v>
      </c>
      <c r="R201" s="101">
        <f t="shared" si="66"/>
        <v>111.6</v>
      </c>
      <c r="S201" s="101">
        <f t="shared" si="66"/>
        <v>111.6</v>
      </c>
      <c r="T201" s="101">
        <f t="shared" si="66"/>
        <v>19.399999999999999</v>
      </c>
      <c r="U201" s="101">
        <f t="shared" si="66"/>
        <v>0</v>
      </c>
      <c r="V201" s="101">
        <f t="shared" si="66"/>
        <v>13.6</v>
      </c>
      <c r="W201" s="101">
        <f t="shared" si="66"/>
        <v>13.6</v>
      </c>
      <c r="X201" s="101">
        <f t="shared" si="66"/>
        <v>0</v>
      </c>
      <c r="Y201" s="101">
        <f t="shared" si="66"/>
        <v>19.399999999999999</v>
      </c>
      <c r="Z201" s="101">
        <f t="shared" si="66"/>
        <v>0</v>
      </c>
      <c r="AA201" s="101">
        <f t="shared" si="66"/>
        <v>0</v>
      </c>
      <c r="AB201" s="101">
        <f t="shared" si="66"/>
        <v>0</v>
      </c>
      <c r="AC201" s="101">
        <f t="shared" si="66"/>
        <v>0</v>
      </c>
      <c r="AD201" s="101">
        <f t="shared" si="66"/>
        <v>0</v>
      </c>
      <c r="AE201" s="101">
        <f t="shared" si="66"/>
        <v>0</v>
      </c>
      <c r="AF201" s="98"/>
      <c r="AG201" s="99">
        <f t="shared" si="46"/>
        <v>8.7041485130612273E-14</v>
      </c>
    </row>
    <row r="202" spans="1:33" x14ac:dyDescent="0.3">
      <c r="A202" s="103" t="s">
        <v>169</v>
      </c>
      <c r="B202" s="104">
        <f>B208+B214</f>
        <v>0</v>
      </c>
      <c r="C202" s="104">
        <f>C208+C214</f>
        <v>0</v>
      </c>
      <c r="D202" s="104">
        <f>D208+D214</f>
        <v>0</v>
      </c>
      <c r="E202" s="104">
        <f>E208+E214</f>
        <v>0</v>
      </c>
      <c r="F202" s="104"/>
      <c r="G202" s="104"/>
      <c r="H202" s="104">
        <f t="shared" ref="H202:AE205" si="67">H208+H214</f>
        <v>0</v>
      </c>
      <c r="I202" s="104">
        <f t="shared" si="67"/>
        <v>0</v>
      </c>
      <c r="J202" s="104">
        <f t="shared" si="67"/>
        <v>0</v>
      </c>
      <c r="K202" s="104">
        <f t="shared" si="67"/>
        <v>0</v>
      </c>
      <c r="L202" s="104">
        <f t="shared" si="67"/>
        <v>0</v>
      </c>
      <c r="M202" s="104">
        <f t="shared" si="67"/>
        <v>0</v>
      </c>
      <c r="N202" s="104">
        <f t="shared" si="67"/>
        <v>0</v>
      </c>
      <c r="O202" s="104">
        <f t="shared" si="67"/>
        <v>0</v>
      </c>
      <c r="P202" s="104">
        <f t="shared" si="67"/>
        <v>0</v>
      </c>
      <c r="Q202" s="104">
        <f t="shared" si="67"/>
        <v>0</v>
      </c>
      <c r="R202" s="104">
        <f t="shared" si="67"/>
        <v>0</v>
      </c>
      <c r="S202" s="104">
        <f t="shared" si="67"/>
        <v>0</v>
      </c>
      <c r="T202" s="104">
        <f t="shared" si="67"/>
        <v>0</v>
      </c>
      <c r="U202" s="104">
        <f t="shared" si="67"/>
        <v>0</v>
      </c>
      <c r="V202" s="104">
        <f t="shared" si="67"/>
        <v>0</v>
      </c>
      <c r="W202" s="104">
        <f t="shared" si="67"/>
        <v>0</v>
      </c>
      <c r="X202" s="104">
        <f t="shared" si="67"/>
        <v>0</v>
      </c>
      <c r="Y202" s="104">
        <f t="shared" si="67"/>
        <v>0</v>
      </c>
      <c r="Z202" s="104">
        <f t="shared" si="67"/>
        <v>0</v>
      </c>
      <c r="AA202" s="104">
        <f t="shared" si="67"/>
        <v>0</v>
      </c>
      <c r="AB202" s="104">
        <f t="shared" si="67"/>
        <v>0</v>
      </c>
      <c r="AC202" s="104">
        <f t="shared" si="67"/>
        <v>0</v>
      </c>
      <c r="AD202" s="104">
        <f t="shared" si="67"/>
        <v>0</v>
      </c>
      <c r="AE202" s="104">
        <f t="shared" si="67"/>
        <v>0</v>
      </c>
      <c r="AF202" s="98"/>
      <c r="AG202" s="99">
        <f t="shared" si="46"/>
        <v>0</v>
      </c>
    </row>
    <row r="203" spans="1:33" x14ac:dyDescent="0.3">
      <c r="A203" s="103" t="s">
        <v>32</v>
      </c>
      <c r="B203" s="104">
        <f t="shared" ref="B203:E205" si="68">B209+B215</f>
        <v>0</v>
      </c>
      <c r="C203" s="104">
        <f t="shared" si="68"/>
        <v>0</v>
      </c>
      <c r="D203" s="104">
        <f t="shared" si="68"/>
        <v>0</v>
      </c>
      <c r="E203" s="104">
        <f t="shared" si="68"/>
        <v>0</v>
      </c>
      <c r="F203" s="104"/>
      <c r="G203" s="104"/>
      <c r="H203" s="104">
        <f t="shared" si="67"/>
        <v>0</v>
      </c>
      <c r="I203" s="104">
        <f t="shared" si="67"/>
        <v>0</v>
      </c>
      <c r="J203" s="104">
        <f t="shared" si="67"/>
        <v>0</v>
      </c>
      <c r="K203" s="104">
        <f t="shared" si="67"/>
        <v>0</v>
      </c>
      <c r="L203" s="104">
        <f t="shared" si="67"/>
        <v>0</v>
      </c>
      <c r="M203" s="104">
        <f t="shared" si="67"/>
        <v>0</v>
      </c>
      <c r="N203" s="104">
        <f t="shared" si="67"/>
        <v>0</v>
      </c>
      <c r="O203" s="104">
        <f t="shared" si="67"/>
        <v>0</v>
      </c>
      <c r="P203" s="104">
        <f t="shared" si="67"/>
        <v>0</v>
      </c>
      <c r="Q203" s="104">
        <f t="shared" si="67"/>
        <v>0</v>
      </c>
      <c r="R203" s="104">
        <f t="shared" si="67"/>
        <v>0</v>
      </c>
      <c r="S203" s="104">
        <f t="shared" si="67"/>
        <v>0</v>
      </c>
      <c r="T203" s="104">
        <f t="shared" si="67"/>
        <v>0</v>
      </c>
      <c r="U203" s="104">
        <f t="shared" si="67"/>
        <v>0</v>
      </c>
      <c r="V203" s="104">
        <f t="shared" si="67"/>
        <v>0</v>
      </c>
      <c r="W203" s="104">
        <f t="shared" si="67"/>
        <v>0</v>
      </c>
      <c r="X203" s="104">
        <f t="shared" si="67"/>
        <v>0</v>
      </c>
      <c r="Y203" s="104">
        <f t="shared" si="67"/>
        <v>0</v>
      </c>
      <c r="Z203" s="104">
        <f t="shared" si="67"/>
        <v>0</v>
      </c>
      <c r="AA203" s="104">
        <f t="shared" si="67"/>
        <v>0</v>
      </c>
      <c r="AB203" s="104">
        <f t="shared" si="67"/>
        <v>0</v>
      </c>
      <c r="AC203" s="104">
        <f t="shared" si="67"/>
        <v>0</v>
      </c>
      <c r="AD203" s="104">
        <f t="shared" si="67"/>
        <v>0</v>
      </c>
      <c r="AE203" s="104">
        <f t="shared" si="67"/>
        <v>0</v>
      </c>
      <c r="AF203" s="98"/>
      <c r="AG203" s="99">
        <f t="shared" si="46"/>
        <v>0</v>
      </c>
    </row>
    <row r="204" spans="1:33" x14ac:dyDescent="0.3">
      <c r="A204" s="103" t="s">
        <v>33</v>
      </c>
      <c r="B204" s="104">
        <f t="shared" si="68"/>
        <v>1323.7</v>
      </c>
      <c r="C204" s="104">
        <f>C210+C216</f>
        <v>1323.7</v>
      </c>
      <c r="D204" s="104">
        <f t="shared" si="68"/>
        <v>1323.6999999999998</v>
      </c>
      <c r="E204" s="104">
        <f t="shared" si="68"/>
        <v>1323.6999999999998</v>
      </c>
      <c r="F204" s="104">
        <f>IFERROR(E204/B204*100,0)</f>
        <v>99.999999999999972</v>
      </c>
      <c r="G204" s="104">
        <f>IFERROR(E204/C204*100,0)</f>
        <v>99.999999999999972</v>
      </c>
      <c r="H204" s="104">
        <f t="shared" si="67"/>
        <v>100</v>
      </c>
      <c r="I204" s="104">
        <f t="shared" si="67"/>
        <v>100</v>
      </c>
      <c r="J204" s="104">
        <f t="shared" si="67"/>
        <v>383.5</v>
      </c>
      <c r="K204" s="104">
        <f t="shared" si="67"/>
        <v>0</v>
      </c>
      <c r="L204" s="104">
        <f t="shared" si="67"/>
        <v>487.2</v>
      </c>
      <c r="M204" s="104">
        <f t="shared" si="67"/>
        <v>0</v>
      </c>
      <c r="N204" s="104">
        <f t="shared" si="67"/>
        <v>108.2</v>
      </c>
      <c r="O204" s="104">
        <f t="shared" si="67"/>
        <v>978.9</v>
      </c>
      <c r="P204" s="104">
        <f t="shared" si="67"/>
        <v>100.2</v>
      </c>
      <c r="Q204" s="104">
        <f t="shared" si="67"/>
        <v>100.2</v>
      </c>
      <c r="R204" s="104">
        <f t="shared" si="67"/>
        <v>111.6</v>
      </c>
      <c r="S204" s="104">
        <f t="shared" si="67"/>
        <v>111.6</v>
      </c>
      <c r="T204" s="104">
        <f t="shared" si="67"/>
        <v>19.399999999999999</v>
      </c>
      <c r="U204" s="104">
        <f t="shared" si="67"/>
        <v>0</v>
      </c>
      <c r="V204" s="104">
        <f t="shared" si="67"/>
        <v>13.6</v>
      </c>
      <c r="W204" s="104">
        <f t="shared" si="67"/>
        <v>13.6</v>
      </c>
      <c r="X204" s="104">
        <f t="shared" si="67"/>
        <v>0</v>
      </c>
      <c r="Y204" s="104">
        <f t="shared" si="67"/>
        <v>19.399999999999999</v>
      </c>
      <c r="Z204" s="104">
        <f t="shared" si="67"/>
        <v>0</v>
      </c>
      <c r="AA204" s="104">
        <f t="shared" si="67"/>
        <v>0</v>
      </c>
      <c r="AB204" s="104">
        <f t="shared" si="67"/>
        <v>0</v>
      </c>
      <c r="AC204" s="104">
        <f t="shared" si="67"/>
        <v>0</v>
      </c>
      <c r="AD204" s="104">
        <f t="shared" si="67"/>
        <v>0</v>
      </c>
      <c r="AE204" s="104">
        <f t="shared" si="67"/>
        <v>0</v>
      </c>
      <c r="AF204" s="98"/>
      <c r="AG204" s="99">
        <f t="shared" si="46"/>
        <v>8.7041485130612273E-14</v>
      </c>
    </row>
    <row r="205" spans="1:33" x14ac:dyDescent="0.3">
      <c r="A205" s="103" t="s">
        <v>170</v>
      </c>
      <c r="B205" s="104">
        <f t="shared" si="68"/>
        <v>0</v>
      </c>
      <c r="C205" s="104">
        <f t="shared" si="68"/>
        <v>0</v>
      </c>
      <c r="D205" s="104">
        <f t="shared" si="68"/>
        <v>0</v>
      </c>
      <c r="E205" s="104">
        <f t="shared" si="68"/>
        <v>0</v>
      </c>
      <c r="F205" s="104"/>
      <c r="G205" s="104"/>
      <c r="H205" s="104">
        <f t="shared" si="67"/>
        <v>0</v>
      </c>
      <c r="I205" s="104">
        <f t="shared" si="67"/>
        <v>0</v>
      </c>
      <c r="J205" s="104">
        <f t="shared" si="67"/>
        <v>0</v>
      </c>
      <c r="K205" s="104">
        <f t="shared" si="67"/>
        <v>0</v>
      </c>
      <c r="L205" s="104">
        <f t="shared" si="67"/>
        <v>0</v>
      </c>
      <c r="M205" s="104">
        <f t="shared" si="67"/>
        <v>0</v>
      </c>
      <c r="N205" s="104">
        <f t="shared" si="67"/>
        <v>0</v>
      </c>
      <c r="O205" s="104">
        <f t="shared" si="67"/>
        <v>0</v>
      </c>
      <c r="P205" s="104">
        <f t="shared" si="67"/>
        <v>0</v>
      </c>
      <c r="Q205" s="104">
        <f t="shared" si="67"/>
        <v>0</v>
      </c>
      <c r="R205" s="104">
        <f t="shared" si="67"/>
        <v>0</v>
      </c>
      <c r="S205" s="104">
        <f t="shared" si="67"/>
        <v>0</v>
      </c>
      <c r="T205" s="104">
        <f t="shared" si="67"/>
        <v>0</v>
      </c>
      <c r="U205" s="104">
        <f t="shared" si="67"/>
        <v>0</v>
      </c>
      <c r="V205" s="104">
        <f t="shared" si="67"/>
        <v>0</v>
      </c>
      <c r="W205" s="104">
        <f t="shared" si="67"/>
        <v>0</v>
      </c>
      <c r="X205" s="104">
        <f t="shared" si="67"/>
        <v>0</v>
      </c>
      <c r="Y205" s="104">
        <f t="shared" si="67"/>
        <v>0</v>
      </c>
      <c r="Z205" s="104">
        <f t="shared" si="67"/>
        <v>0</v>
      </c>
      <c r="AA205" s="104">
        <f t="shared" si="67"/>
        <v>0</v>
      </c>
      <c r="AB205" s="104">
        <f t="shared" si="67"/>
        <v>0</v>
      </c>
      <c r="AC205" s="104">
        <f t="shared" si="67"/>
        <v>0</v>
      </c>
      <c r="AD205" s="104">
        <f t="shared" si="67"/>
        <v>0</v>
      </c>
      <c r="AE205" s="104">
        <f t="shared" si="67"/>
        <v>0</v>
      </c>
      <c r="AF205" s="98"/>
      <c r="AG205" s="99">
        <f t="shared" si="46"/>
        <v>0</v>
      </c>
    </row>
    <row r="206" spans="1:33" ht="80.25" customHeight="1" x14ac:dyDescent="0.3">
      <c r="A206" s="713" t="s">
        <v>522</v>
      </c>
      <c r="B206" s="594"/>
      <c r="C206" s="107"/>
      <c r="D206" s="107"/>
      <c r="E206" s="107"/>
      <c r="F206" s="107"/>
      <c r="G206" s="107"/>
      <c r="H206" s="108"/>
      <c r="I206" s="108"/>
      <c r="J206" s="108"/>
      <c r="K206" s="108"/>
      <c r="L206" s="108"/>
      <c r="M206" s="108"/>
      <c r="N206" s="108"/>
      <c r="O206" s="108"/>
      <c r="P206" s="108"/>
      <c r="Q206" s="108"/>
      <c r="R206" s="108"/>
      <c r="S206" s="108"/>
      <c r="T206" s="108"/>
      <c r="U206" s="108"/>
      <c r="V206" s="108"/>
      <c r="W206" s="108"/>
      <c r="X206" s="108"/>
      <c r="Y206" s="108"/>
      <c r="Z206" s="108"/>
      <c r="AA206" s="108"/>
      <c r="AB206" s="108"/>
      <c r="AC206" s="108"/>
      <c r="AD206" s="108"/>
      <c r="AE206" s="108"/>
      <c r="AF206" s="29"/>
      <c r="AG206" s="99">
        <f t="shared" si="46"/>
        <v>0</v>
      </c>
    </row>
    <row r="207" spans="1:33" x14ac:dyDescent="0.3">
      <c r="A207" s="590" t="s">
        <v>31</v>
      </c>
      <c r="B207" s="591">
        <f>B209+B210+B208+B211</f>
        <v>1223.7</v>
      </c>
      <c r="C207" s="110">
        <f>C209+C210+C208+C211</f>
        <v>1223.7</v>
      </c>
      <c r="D207" s="111">
        <f>D209+D210+D208+D211</f>
        <v>1223.6999999999998</v>
      </c>
      <c r="E207" s="110">
        <f>E209+E210+E208+E211</f>
        <v>1223.6999999999998</v>
      </c>
      <c r="F207" s="110">
        <f>IFERROR(E207/B207*100,0)</f>
        <v>99.999999999999972</v>
      </c>
      <c r="G207" s="110">
        <f>IFERROR(E207/C207*100,0)</f>
        <v>99.999999999999972</v>
      </c>
      <c r="H207" s="110">
        <f t="shared" ref="H207:AE207" si="69">H209+H210+H208+H211</f>
        <v>0</v>
      </c>
      <c r="I207" s="110">
        <f t="shared" si="69"/>
        <v>0</v>
      </c>
      <c r="J207" s="110">
        <f t="shared" si="69"/>
        <v>383.5</v>
      </c>
      <c r="K207" s="110">
        <f t="shared" si="69"/>
        <v>0</v>
      </c>
      <c r="L207" s="110">
        <f t="shared" si="69"/>
        <v>487.2</v>
      </c>
      <c r="M207" s="110">
        <f t="shared" si="69"/>
        <v>0</v>
      </c>
      <c r="N207" s="110">
        <f t="shared" si="69"/>
        <v>108.2</v>
      </c>
      <c r="O207" s="110">
        <f t="shared" si="69"/>
        <v>978.9</v>
      </c>
      <c r="P207" s="110">
        <f t="shared" si="69"/>
        <v>100.2</v>
      </c>
      <c r="Q207" s="110">
        <f t="shared" si="69"/>
        <v>100.2</v>
      </c>
      <c r="R207" s="110">
        <f t="shared" si="69"/>
        <v>111.6</v>
      </c>
      <c r="S207" s="110">
        <f t="shared" si="69"/>
        <v>111.6</v>
      </c>
      <c r="T207" s="110">
        <f t="shared" si="69"/>
        <v>19.399999999999999</v>
      </c>
      <c r="U207" s="110">
        <f t="shared" si="69"/>
        <v>0</v>
      </c>
      <c r="V207" s="110">
        <f t="shared" si="69"/>
        <v>13.6</v>
      </c>
      <c r="W207" s="110">
        <f t="shared" si="69"/>
        <v>13.6</v>
      </c>
      <c r="X207" s="110">
        <f t="shared" si="69"/>
        <v>0</v>
      </c>
      <c r="Y207" s="110">
        <f t="shared" si="69"/>
        <v>19.399999999999999</v>
      </c>
      <c r="Z207" s="110">
        <f t="shared" si="69"/>
        <v>0</v>
      </c>
      <c r="AA207" s="110">
        <f t="shared" si="69"/>
        <v>0</v>
      </c>
      <c r="AB207" s="110">
        <f t="shared" si="69"/>
        <v>0</v>
      </c>
      <c r="AC207" s="110">
        <f t="shared" si="69"/>
        <v>0</v>
      </c>
      <c r="AD207" s="110">
        <f t="shared" si="69"/>
        <v>0</v>
      </c>
      <c r="AE207" s="110">
        <f t="shared" si="69"/>
        <v>0</v>
      </c>
      <c r="AF207" s="29"/>
      <c r="AG207" s="99">
        <f t="shared" si="46"/>
        <v>8.7041485130612273E-14</v>
      </c>
    </row>
    <row r="208" spans="1:33" x14ac:dyDescent="0.3">
      <c r="A208" s="593" t="s">
        <v>169</v>
      </c>
      <c r="B208" s="594">
        <f>J208+L208+N208+P208+R208+T208+V208+X208+Z208+AB208+AD208+H208</f>
        <v>0</v>
      </c>
      <c r="C208" s="114">
        <f>SUM(H208)</f>
        <v>0</v>
      </c>
      <c r="D208" s="115">
        <f>E208</f>
        <v>0</v>
      </c>
      <c r="E208" s="114">
        <f>SUM(I208,K208,M208,O208,Q208,S208,U208,W208,Y208,AA208,AC208,AE208)</f>
        <v>0</v>
      </c>
      <c r="F208" s="113">
        <f>IFERROR(E208/B208*100,0)</f>
        <v>0</v>
      </c>
      <c r="G208" s="113">
        <f>IFERROR(E208/C208*100,0)</f>
        <v>0</v>
      </c>
      <c r="H208" s="108"/>
      <c r="I208" s="108"/>
      <c r="J208" s="108"/>
      <c r="K208" s="108"/>
      <c r="L208" s="108"/>
      <c r="M208" s="108"/>
      <c r="N208" s="108"/>
      <c r="O208" s="108"/>
      <c r="P208" s="108"/>
      <c r="Q208" s="108"/>
      <c r="R208" s="108"/>
      <c r="S208" s="108"/>
      <c r="T208" s="108"/>
      <c r="U208" s="108"/>
      <c r="V208" s="108"/>
      <c r="W208" s="108"/>
      <c r="X208" s="108"/>
      <c r="Y208" s="108"/>
      <c r="Z208" s="108"/>
      <c r="AA208" s="108"/>
      <c r="AB208" s="108"/>
      <c r="AC208" s="108"/>
      <c r="AD208" s="108"/>
      <c r="AE208" s="108"/>
      <c r="AF208" s="29"/>
      <c r="AG208" s="99">
        <f t="shared" si="46"/>
        <v>0</v>
      </c>
    </row>
    <row r="209" spans="1:33" x14ac:dyDescent="0.3">
      <c r="A209" s="593" t="s">
        <v>32</v>
      </c>
      <c r="B209" s="594">
        <f>J209+L209+N209+P209+R209+T209+V209+X209+Z209+AB209+AD209+H209</f>
        <v>0</v>
      </c>
      <c r="C209" s="114">
        <f>SUM(H209)</f>
        <v>0</v>
      </c>
      <c r="D209" s="115">
        <f>E209</f>
        <v>0</v>
      </c>
      <c r="E209" s="114">
        <f>SUM(I209,K209,M209,O209,Q209,S209,U209,W209,Y209,AA209,AC209,AE209)</f>
        <v>0</v>
      </c>
      <c r="F209" s="113">
        <f>IFERROR(E209/B209*100,0)</f>
        <v>0</v>
      </c>
      <c r="G209" s="113">
        <f>IFERROR(E209/C209*100,0)</f>
        <v>0</v>
      </c>
      <c r="H209" s="108"/>
      <c r="I209" s="108"/>
      <c r="J209" s="108"/>
      <c r="K209" s="108"/>
      <c r="L209" s="108"/>
      <c r="M209" s="108"/>
      <c r="N209" s="108"/>
      <c r="O209" s="108"/>
      <c r="P209" s="108"/>
      <c r="Q209" s="108"/>
      <c r="R209" s="108"/>
      <c r="S209" s="108"/>
      <c r="T209" s="108"/>
      <c r="U209" s="108"/>
      <c r="V209" s="108"/>
      <c r="W209" s="108"/>
      <c r="X209" s="108"/>
      <c r="Y209" s="108"/>
      <c r="Z209" s="108"/>
      <c r="AA209" s="108"/>
      <c r="AB209" s="108"/>
      <c r="AC209" s="108"/>
      <c r="AD209" s="108"/>
      <c r="AE209" s="108"/>
      <c r="AF209" s="29"/>
      <c r="AG209" s="99">
        <f t="shared" si="46"/>
        <v>0</v>
      </c>
    </row>
    <row r="210" spans="1:33" x14ac:dyDescent="0.3">
      <c r="A210" s="593" t="s">
        <v>33</v>
      </c>
      <c r="B210" s="594">
        <f>J210+L210+N210+P210+R210+T210+V210+X210+Z210+AB210+AD210+H210</f>
        <v>1223.7</v>
      </c>
      <c r="C210" s="114">
        <f>H210+J210+L210+N210+P210+R210+T210+V210</f>
        <v>1223.7</v>
      </c>
      <c r="D210" s="115">
        <f>E210</f>
        <v>1223.6999999999998</v>
      </c>
      <c r="E210" s="114">
        <f>SUM(I210,K210,M210,O210,Q210,S210,U210,W210,Y210,AA210,AC210,AE210)</f>
        <v>1223.6999999999998</v>
      </c>
      <c r="F210" s="113">
        <f>IFERROR(E210/B210*100,0)</f>
        <v>99.999999999999972</v>
      </c>
      <c r="G210" s="113">
        <f>IFERROR(E210/C210*100,0)</f>
        <v>99.999999999999972</v>
      </c>
      <c r="H210" s="108"/>
      <c r="I210" s="108"/>
      <c r="J210" s="108">
        <v>383.5</v>
      </c>
      <c r="K210" s="108"/>
      <c r="L210" s="108">
        <v>487.2</v>
      </c>
      <c r="M210" s="108"/>
      <c r="N210" s="108">
        <v>108.2</v>
      </c>
      <c r="O210" s="108">
        <v>978.9</v>
      </c>
      <c r="P210" s="108">
        <v>100.2</v>
      </c>
      <c r="Q210" s="108">
        <v>100.2</v>
      </c>
      <c r="R210" s="108">
        <v>111.6</v>
      </c>
      <c r="S210" s="108">
        <v>111.6</v>
      </c>
      <c r="T210" s="108">
        <v>19.399999999999999</v>
      </c>
      <c r="U210" s="108"/>
      <c r="V210" s="108">
        <v>13.6</v>
      </c>
      <c r="W210" s="108">
        <v>13.6</v>
      </c>
      <c r="X210" s="108"/>
      <c r="Y210" s="108">
        <v>19.399999999999999</v>
      </c>
      <c r="Z210" s="108"/>
      <c r="AA210" s="108"/>
      <c r="AB210" s="108"/>
      <c r="AC210" s="108"/>
      <c r="AD210" s="108"/>
      <c r="AE210" s="108"/>
      <c r="AF210" s="29"/>
      <c r="AG210" s="99">
        <f t="shared" si="46"/>
        <v>8.7041485130612273E-14</v>
      </c>
    </row>
    <row r="211" spans="1:33" x14ac:dyDescent="0.3">
      <c r="A211" s="593" t="s">
        <v>170</v>
      </c>
      <c r="B211" s="594"/>
      <c r="C211" s="114"/>
      <c r="D211" s="115"/>
      <c r="E211" s="114"/>
      <c r="F211" s="113"/>
      <c r="G211" s="113"/>
      <c r="H211" s="108"/>
      <c r="I211" s="108"/>
      <c r="J211" s="108"/>
      <c r="K211" s="108"/>
      <c r="L211" s="108"/>
      <c r="M211" s="108"/>
      <c r="N211" s="108"/>
      <c r="O211" s="108"/>
      <c r="P211" s="108"/>
      <c r="Q211" s="108"/>
      <c r="R211" s="108"/>
      <c r="S211" s="108"/>
      <c r="T211" s="108"/>
      <c r="U211" s="108"/>
      <c r="V211" s="108"/>
      <c r="W211" s="108"/>
      <c r="X211" s="108"/>
      <c r="Y211" s="108"/>
      <c r="Z211" s="108"/>
      <c r="AA211" s="108"/>
      <c r="AB211" s="108"/>
      <c r="AC211" s="108"/>
      <c r="AD211" s="108"/>
      <c r="AE211" s="108"/>
      <c r="AF211" s="29"/>
      <c r="AG211" s="99">
        <f t="shared" si="46"/>
        <v>0</v>
      </c>
    </row>
    <row r="212" spans="1:33" ht="80.25" customHeight="1" x14ac:dyDescent="0.3">
      <c r="A212" s="713" t="s">
        <v>521</v>
      </c>
      <c r="B212" s="594"/>
      <c r="C212" s="107"/>
      <c r="D212" s="107"/>
      <c r="E212" s="107"/>
      <c r="F212" s="107"/>
      <c r="G212" s="107"/>
      <c r="H212" s="108"/>
      <c r="I212" s="108"/>
      <c r="J212" s="108"/>
      <c r="K212" s="108"/>
      <c r="L212" s="108"/>
      <c r="M212" s="108"/>
      <c r="N212" s="108"/>
      <c r="O212" s="108"/>
      <c r="P212" s="108"/>
      <c r="Q212" s="108"/>
      <c r="R212" s="108"/>
      <c r="S212" s="108"/>
      <c r="T212" s="108"/>
      <c r="U212" s="108"/>
      <c r="V212" s="108"/>
      <c r="W212" s="108"/>
      <c r="X212" s="108"/>
      <c r="Y212" s="108"/>
      <c r="Z212" s="108"/>
      <c r="AA212" s="108"/>
      <c r="AB212" s="108"/>
      <c r="AC212" s="108"/>
      <c r="AD212" s="108"/>
      <c r="AE212" s="108"/>
      <c r="AF212" s="29"/>
      <c r="AG212" s="99">
        <f t="shared" si="46"/>
        <v>0</v>
      </c>
    </row>
    <row r="213" spans="1:33" x14ac:dyDescent="0.3">
      <c r="A213" s="590" t="s">
        <v>31</v>
      </c>
      <c r="B213" s="591">
        <f>B215+B216+B214+B217</f>
        <v>100</v>
      </c>
      <c r="C213" s="110">
        <f>C215+C216+C214+C217</f>
        <v>100</v>
      </c>
      <c r="D213" s="111">
        <f>D215+D216+D214+D217</f>
        <v>100</v>
      </c>
      <c r="E213" s="110">
        <f>E215+E216+E214+E217</f>
        <v>100</v>
      </c>
      <c r="F213" s="110">
        <f>IFERROR(E213/B213*100,0)</f>
        <v>100</v>
      </c>
      <c r="G213" s="110">
        <f>IFERROR(E213/C213*100,0)</f>
        <v>100</v>
      </c>
      <c r="H213" s="110">
        <f t="shared" ref="H213:AE213" si="70">H215+H216+H214+H217</f>
        <v>100</v>
      </c>
      <c r="I213" s="110">
        <f t="shared" si="70"/>
        <v>100</v>
      </c>
      <c r="J213" s="110">
        <f t="shared" si="70"/>
        <v>0</v>
      </c>
      <c r="K213" s="110">
        <f t="shared" si="70"/>
        <v>0</v>
      </c>
      <c r="L213" s="110">
        <f t="shared" si="70"/>
        <v>0</v>
      </c>
      <c r="M213" s="110">
        <f t="shared" si="70"/>
        <v>0</v>
      </c>
      <c r="N213" s="110">
        <f t="shared" si="70"/>
        <v>0</v>
      </c>
      <c r="O213" s="110">
        <f t="shared" si="70"/>
        <v>0</v>
      </c>
      <c r="P213" s="110">
        <f t="shared" si="70"/>
        <v>0</v>
      </c>
      <c r="Q213" s="110">
        <f t="shared" si="70"/>
        <v>0</v>
      </c>
      <c r="R213" s="110">
        <f t="shared" si="70"/>
        <v>0</v>
      </c>
      <c r="S213" s="110">
        <f t="shared" si="70"/>
        <v>0</v>
      </c>
      <c r="T213" s="110">
        <f t="shared" si="70"/>
        <v>0</v>
      </c>
      <c r="U213" s="110">
        <f t="shared" si="70"/>
        <v>0</v>
      </c>
      <c r="V213" s="110">
        <f t="shared" si="70"/>
        <v>0</v>
      </c>
      <c r="W213" s="110">
        <f t="shared" si="70"/>
        <v>0</v>
      </c>
      <c r="X213" s="110">
        <f t="shared" si="70"/>
        <v>0</v>
      </c>
      <c r="Y213" s="110">
        <f t="shared" si="70"/>
        <v>0</v>
      </c>
      <c r="Z213" s="110">
        <f t="shared" si="70"/>
        <v>0</v>
      </c>
      <c r="AA213" s="110">
        <f t="shared" si="70"/>
        <v>0</v>
      </c>
      <c r="AB213" s="110">
        <f t="shared" si="70"/>
        <v>0</v>
      </c>
      <c r="AC213" s="110">
        <f t="shared" si="70"/>
        <v>0</v>
      </c>
      <c r="AD213" s="110">
        <f t="shared" si="70"/>
        <v>0</v>
      </c>
      <c r="AE213" s="110">
        <f t="shared" si="70"/>
        <v>0</v>
      </c>
      <c r="AF213" s="29"/>
      <c r="AG213" s="99">
        <f t="shared" si="46"/>
        <v>0</v>
      </c>
    </row>
    <row r="214" spans="1:33" x14ac:dyDescent="0.3">
      <c r="A214" s="593" t="s">
        <v>169</v>
      </c>
      <c r="B214" s="594">
        <f>J214+L214+N214+P214+R214+T214+V214+X214+Z214+AB214+AD214+H214</f>
        <v>0</v>
      </c>
      <c r="C214" s="114">
        <f>SUM(H214)</f>
        <v>0</v>
      </c>
      <c r="D214" s="115">
        <f>E214</f>
        <v>0</v>
      </c>
      <c r="E214" s="114">
        <f>SUM(I214,K214,M214,O214,Q214,S214,U214,W214,Y214,AA214,AC214,AE214)</f>
        <v>0</v>
      </c>
      <c r="F214" s="113">
        <f>IFERROR(E214/B214*100,0)</f>
        <v>0</v>
      </c>
      <c r="G214" s="113">
        <f>IFERROR(E214/C214*100,0)</f>
        <v>0</v>
      </c>
      <c r="H214" s="108"/>
      <c r="I214" s="108"/>
      <c r="J214" s="108"/>
      <c r="K214" s="108"/>
      <c r="L214" s="108"/>
      <c r="M214" s="108"/>
      <c r="N214" s="108"/>
      <c r="O214" s="108"/>
      <c r="P214" s="108"/>
      <c r="Q214" s="108"/>
      <c r="R214" s="108"/>
      <c r="S214" s="108"/>
      <c r="T214" s="108"/>
      <c r="U214" s="108"/>
      <c r="V214" s="108"/>
      <c r="W214" s="108"/>
      <c r="X214" s="108"/>
      <c r="Y214" s="108"/>
      <c r="Z214" s="108"/>
      <c r="AA214" s="108"/>
      <c r="AB214" s="108"/>
      <c r="AC214" s="108"/>
      <c r="AD214" s="108"/>
      <c r="AE214" s="108"/>
      <c r="AF214" s="29"/>
      <c r="AG214" s="99">
        <f t="shared" si="46"/>
        <v>0</v>
      </c>
    </row>
    <row r="215" spans="1:33" x14ac:dyDescent="0.3">
      <c r="A215" s="593" t="s">
        <v>32</v>
      </c>
      <c r="B215" s="594">
        <f>J215+L215+N215+P215+R215+T215+V215+X215+Z215+AB215+AD215+H215</f>
        <v>0</v>
      </c>
      <c r="C215" s="114">
        <f>SUM(H215)</f>
        <v>0</v>
      </c>
      <c r="D215" s="115">
        <f>E215</f>
        <v>0</v>
      </c>
      <c r="E215" s="114">
        <f>SUM(I215,K215,M215,O215,Q215,S215,U215,W215,Y215,AA215,AC215,AE215)</f>
        <v>0</v>
      </c>
      <c r="F215" s="113">
        <f>IFERROR(E215/B215*100,0)</f>
        <v>0</v>
      </c>
      <c r="G215" s="113">
        <f>IFERROR(E215/C215*100,0)</f>
        <v>0</v>
      </c>
      <c r="H215" s="108"/>
      <c r="I215" s="108"/>
      <c r="J215" s="108"/>
      <c r="K215" s="108"/>
      <c r="L215" s="108"/>
      <c r="M215" s="108"/>
      <c r="N215" s="108"/>
      <c r="O215" s="108"/>
      <c r="P215" s="108"/>
      <c r="Q215" s="108"/>
      <c r="R215" s="108"/>
      <c r="S215" s="108"/>
      <c r="T215" s="108"/>
      <c r="U215" s="108"/>
      <c r="V215" s="108"/>
      <c r="W215" s="108"/>
      <c r="X215" s="108"/>
      <c r="Y215" s="108"/>
      <c r="Z215" s="108"/>
      <c r="AA215" s="108"/>
      <c r="AB215" s="108"/>
      <c r="AC215" s="108"/>
      <c r="AD215" s="108"/>
      <c r="AE215" s="108"/>
      <c r="AF215" s="29"/>
      <c r="AG215" s="99">
        <f t="shared" si="46"/>
        <v>0</v>
      </c>
    </row>
    <row r="216" spans="1:33" x14ac:dyDescent="0.3">
      <c r="A216" s="593" t="s">
        <v>33</v>
      </c>
      <c r="B216" s="594">
        <f>J216+L216+N216+P216+R216+T216+V216+X216+Z216+AB216+AD216+H216</f>
        <v>100</v>
      </c>
      <c r="C216" s="114">
        <f>SUM(H216)</f>
        <v>100</v>
      </c>
      <c r="D216" s="115">
        <f>E216</f>
        <v>100</v>
      </c>
      <c r="E216" s="114">
        <f>SUM(I216,K216,M216,O216,Q216,S216,U216,W216,Y216,AA216,AC216,AE216)</f>
        <v>100</v>
      </c>
      <c r="F216" s="113">
        <f>IFERROR(E216/B216*100,0)</f>
        <v>100</v>
      </c>
      <c r="G216" s="113">
        <f>IFERROR(E216/C216*100,0)</f>
        <v>100</v>
      </c>
      <c r="H216" s="108">
        <v>100</v>
      </c>
      <c r="I216" s="108">
        <v>100</v>
      </c>
      <c r="J216" s="108"/>
      <c r="K216" s="108"/>
      <c r="L216" s="108"/>
      <c r="M216" s="108"/>
      <c r="N216" s="108"/>
      <c r="O216" s="108"/>
      <c r="P216" s="108"/>
      <c r="Q216" s="108"/>
      <c r="R216" s="108"/>
      <c r="S216" s="108"/>
      <c r="T216" s="108"/>
      <c r="U216" s="108"/>
      <c r="V216" s="108"/>
      <c r="W216" s="108"/>
      <c r="X216" s="108"/>
      <c r="Y216" s="108"/>
      <c r="Z216" s="108"/>
      <c r="AA216" s="108"/>
      <c r="AB216" s="108"/>
      <c r="AC216" s="108"/>
      <c r="AD216" s="108"/>
      <c r="AE216" s="108"/>
      <c r="AF216" s="29"/>
      <c r="AG216" s="99">
        <f t="shared" si="46"/>
        <v>0</v>
      </c>
    </row>
    <row r="217" spans="1:33" x14ac:dyDescent="0.3">
      <c r="A217" s="112" t="s">
        <v>170</v>
      </c>
      <c r="B217" s="113"/>
      <c r="C217" s="114"/>
      <c r="D217" s="115"/>
      <c r="E217" s="114"/>
      <c r="F217" s="113"/>
      <c r="G217" s="113"/>
      <c r="H217" s="108"/>
      <c r="I217" s="108"/>
      <c r="J217" s="108"/>
      <c r="K217" s="108"/>
      <c r="L217" s="108"/>
      <c r="M217" s="108"/>
      <c r="N217" s="108"/>
      <c r="O217" s="108"/>
      <c r="P217" s="108"/>
      <c r="Q217" s="108"/>
      <c r="R217" s="108"/>
      <c r="S217" s="108"/>
      <c r="T217" s="108"/>
      <c r="U217" s="108"/>
      <c r="V217" s="108"/>
      <c r="W217" s="108"/>
      <c r="X217" s="108"/>
      <c r="Y217" s="108"/>
      <c r="Z217" s="108"/>
      <c r="AA217" s="108"/>
      <c r="AB217" s="108"/>
      <c r="AC217" s="108"/>
      <c r="AD217" s="108"/>
      <c r="AE217" s="108"/>
      <c r="AF217" s="29"/>
      <c r="AG217" s="99">
        <f t="shared" si="46"/>
        <v>0</v>
      </c>
    </row>
    <row r="218" spans="1:33" ht="75" x14ac:dyDescent="0.3">
      <c r="A218" s="135" t="s">
        <v>295</v>
      </c>
      <c r="B218" s="136"/>
      <c r="C218" s="137"/>
      <c r="D218" s="137"/>
      <c r="E218" s="137"/>
      <c r="F218" s="137"/>
      <c r="G218" s="137"/>
      <c r="H218" s="136"/>
      <c r="I218" s="136"/>
      <c r="J218" s="136"/>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98"/>
      <c r="AG218" s="99">
        <f t="shared" si="46"/>
        <v>0</v>
      </c>
    </row>
    <row r="219" spans="1:33" x14ac:dyDescent="0.3">
      <c r="A219" s="100" t="s">
        <v>31</v>
      </c>
      <c r="B219" s="101">
        <f>B220+B221+B222+B223</f>
        <v>5991.1</v>
      </c>
      <c r="C219" s="101">
        <f>C220+C221+C222+C223</f>
        <v>5991.1</v>
      </c>
      <c r="D219" s="101">
        <f>D220+D221+D222+D223</f>
        <v>5946.0529999999999</v>
      </c>
      <c r="E219" s="101">
        <f>E220+E221+E222+E223</f>
        <v>5946.0529999999999</v>
      </c>
      <c r="F219" s="104">
        <f>IFERROR(E219/B219*100,0)</f>
        <v>99.248101350336327</v>
      </c>
      <c r="G219" s="104">
        <f>IFERROR(E219/C219*100,0)</f>
        <v>99.248101350336327</v>
      </c>
      <c r="H219" s="101">
        <f>H220+H221+H222+H223</f>
        <v>2992.1</v>
      </c>
      <c r="I219" s="101">
        <f t="shared" ref="I219:AE219" si="71">I220+I221+I222+I223</f>
        <v>2992.1</v>
      </c>
      <c r="J219" s="101">
        <f t="shared" si="71"/>
        <v>743.9</v>
      </c>
      <c r="K219" s="101">
        <f t="shared" si="71"/>
        <v>0</v>
      </c>
      <c r="L219" s="101">
        <f t="shared" si="71"/>
        <v>212.7</v>
      </c>
      <c r="M219" s="101">
        <f t="shared" si="71"/>
        <v>0</v>
      </c>
      <c r="N219" s="101">
        <f t="shared" si="71"/>
        <v>397.8</v>
      </c>
      <c r="O219" s="101">
        <f t="shared" si="71"/>
        <v>1354.3999999999999</v>
      </c>
      <c r="P219" s="101">
        <f t="shared" si="71"/>
        <v>600</v>
      </c>
      <c r="Q219" s="101">
        <f t="shared" si="71"/>
        <v>600</v>
      </c>
      <c r="R219" s="101">
        <f t="shared" si="71"/>
        <v>657.7</v>
      </c>
      <c r="S219" s="101">
        <f t="shared" si="71"/>
        <v>657.7</v>
      </c>
      <c r="T219" s="101">
        <f t="shared" si="71"/>
        <v>85</v>
      </c>
      <c r="U219" s="101">
        <f t="shared" si="71"/>
        <v>0</v>
      </c>
      <c r="V219" s="101">
        <f t="shared" si="71"/>
        <v>63</v>
      </c>
      <c r="W219" s="101">
        <f t="shared" si="71"/>
        <v>148</v>
      </c>
      <c r="X219" s="101">
        <f t="shared" si="71"/>
        <v>15</v>
      </c>
      <c r="Y219" s="101">
        <f t="shared" si="71"/>
        <v>15</v>
      </c>
      <c r="Z219" s="101">
        <f t="shared" si="71"/>
        <v>133.9</v>
      </c>
      <c r="AA219" s="101">
        <f t="shared" si="71"/>
        <v>97.429999999999993</v>
      </c>
      <c r="AB219" s="101">
        <f t="shared" si="71"/>
        <v>57.129999999999995</v>
      </c>
      <c r="AC219" s="101">
        <f t="shared" si="71"/>
        <v>27.143000000000001</v>
      </c>
      <c r="AD219" s="101">
        <f t="shared" si="71"/>
        <v>32.870000000000005</v>
      </c>
      <c r="AE219" s="101">
        <f t="shared" si="71"/>
        <v>54.28</v>
      </c>
      <c r="AF219" s="98"/>
      <c r="AG219" s="99">
        <f t="shared" si="46"/>
        <v>3.1263880373444408E-13</v>
      </c>
    </row>
    <row r="220" spans="1:33" x14ac:dyDescent="0.3">
      <c r="A220" s="103" t="s">
        <v>169</v>
      </c>
      <c r="B220" s="104">
        <f>B226+B232+B238+B244</f>
        <v>0</v>
      </c>
      <c r="C220" s="104">
        <f>C226+C232+C238+C244</f>
        <v>0</v>
      </c>
      <c r="D220" s="104">
        <f>D226+D232+D238+D244</f>
        <v>0</v>
      </c>
      <c r="E220" s="104">
        <f>E226+E232+E238+E244</f>
        <v>0</v>
      </c>
      <c r="F220" s="104"/>
      <c r="G220" s="104"/>
      <c r="H220" s="104">
        <f t="shared" ref="H220:AE223" si="72">H226+H232+H238+H244</f>
        <v>0</v>
      </c>
      <c r="I220" s="104">
        <f t="shared" si="72"/>
        <v>0</v>
      </c>
      <c r="J220" s="104">
        <f t="shared" si="72"/>
        <v>0</v>
      </c>
      <c r="K220" s="104">
        <f t="shared" si="72"/>
        <v>0</v>
      </c>
      <c r="L220" s="104">
        <f t="shared" si="72"/>
        <v>0</v>
      </c>
      <c r="M220" s="104">
        <f t="shared" si="72"/>
        <v>0</v>
      </c>
      <c r="N220" s="104">
        <f t="shared" si="72"/>
        <v>0</v>
      </c>
      <c r="O220" s="104">
        <f t="shared" si="72"/>
        <v>0</v>
      </c>
      <c r="P220" s="104">
        <f t="shared" si="72"/>
        <v>0</v>
      </c>
      <c r="Q220" s="104">
        <f t="shared" si="72"/>
        <v>0</v>
      </c>
      <c r="R220" s="104">
        <f t="shared" si="72"/>
        <v>0</v>
      </c>
      <c r="S220" s="104">
        <f t="shared" si="72"/>
        <v>0</v>
      </c>
      <c r="T220" s="104">
        <f t="shared" si="72"/>
        <v>0</v>
      </c>
      <c r="U220" s="104">
        <f t="shared" si="72"/>
        <v>0</v>
      </c>
      <c r="V220" s="104">
        <f t="shared" si="72"/>
        <v>0</v>
      </c>
      <c r="W220" s="104">
        <f t="shared" si="72"/>
        <v>0</v>
      </c>
      <c r="X220" s="104">
        <f t="shared" si="72"/>
        <v>0</v>
      </c>
      <c r="Y220" s="104">
        <f t="shared" si="72"/>
        <v>0</v>
      </c>
      <c r="Z220" s="104">
        <f t="shared" si="72"/>
        <v>0</v>
      </c>
      <c r="AA220" s="104">
        <f t="shared" si="72"/>
        <v>0</v>
      </c>
      <c r="AB220" s="104">
        <f t="shared" si="72"/>
        <v>0</v>
      </c>
      <c r="AC220" s="104">
        <f t="shared" si="72"/>
        <v>0</v>
      </c>
      <c r="AD220" s="104">
        <f t="shared" si="72"/>
        <v>0</v>
      </c>
      <c r="AE220" s="104">
        <f t="shared" si="72"/>
        <v>0</v>
      </c>
      <c r="AF220" s="98"/>
      <c r="AG220" s="99">
        <f t="shared" si="46"/>
        <v>0</v>
      </c>
    </row>
    <row r="221" spans="1:33" x14ac:dyDescent="0.3">
      <c r="A221" s="103" t="s">
        <v>32</v>
      </c>
      <c r="B221" s="104">
        <f t="shared" ref="B221:E223" si="73">B227+B233+B239+B245</f>
        <v>0</v>
      </c>
      <c r="C221" s="104">
        <f t="shared" si="73"/>
        <v>0</v>
      </c>
      <c r="D221" s="104">
        <f t="shared" si="73"/>
        <v>0</v>
      </c>
      <c r="E221" s="104">
        <f t="shared" si="73"/>
        <v>0</v>
      </c>
      <c r="F221" s="104"/>
      <c r="G221" s="104"/>
      <c r="H221" s="104">
        <f t="shared" si="72"/>
        <v>0</v>
      </c>
      <c r="I221" s="104">
        <f t="shared" si="72"/>
        <v>0</v>
      </c>
      <c r="J221" s="104">
        <f t="shared" si="72"/>
        <v>0</v>
      </c>
      <c r="K221" s="104">
        <f t="shared" si="72"/>
        <v>0</v>
      </c>
      <c r="L221" s="104">
        <f t="shared" si="72"/>
        <v>0</v>
      </c>
      <c r="M221" s="104">
        <f t="shared" si="72"/>
        <v>0</v>
      </c>
      <c r="N221" s="104">
        <f t="shared" si="72"/>
        <v>0</v>
      </c>
      <c r="O221" s="104">
        <f t="shared" si="72"/>
        <v>0</v>
      </c>
      <c r="P221" s="104">
        <f t="shared" si="72"/>
        <v>0</v>
      </c>
      <c r="Q221" s="104">
        <f t="shared" si="72"/>
        <v>0</v>
      </c>
      <c r="R221" s="104">
        <f t="shared" si="72"/>
        <v>0</v>
      </c>
      <c r="S221" s="104">
        <f t="shared" si="72"/>
        <v>0</v>
      </c>
      <c r="T221" s="104">
        <f t="shared" si="72"/>
        <v>0</v>
      </c>
      <c r="U221" s="104">
        <f t="shared" si="72"/>
        <v>0</v>
      </c>
      <c r="V221" s="104">
        <f t="shared" si="72"/>
        <v>0</v>
      </c>
      <c r="W221" s="104">
        <f t="shared" si="72"/>
        <v>0</v>
      </c>
      <c r="X221" s="104">
        <f t="shared" si="72"/>
        <v>0</v>
      </c>
      <c r="Y221" s="104">
        <f t="shared" si="72"/>
        <v>0</v>
      </c>
      <c r="Z221" s="104">
        <f t="shared" si="72"/>
        <v>0</v>
      </c>
      <c r="AA221" s="104">
        <f t="shared" si="72"/>
        <v>0</v>
      </c>
      <c r="AB221" s="104">
        <f t="shared" si="72"/>
        <v>0</v>
      </c>
      <c r="AC221" s="104">
        <f t="shared" si="72"/>
        <v>0</v>
      </c>
      <c r="AD221" s="104">
        <f t="shared" si="72"/>
        <v>0</v>
      </c>
      <c r="AE221" s="104">
        <f t="shared" si="72"/>
        <v>0</v>
      </c>
      <c r="AF221" s="98"/>
      <c r="AG221" s="99">
        <f t="shared" si="46"/>
        <v>0</v>
      </c>
    </row>
    <row r="222" spans="1:33" x14ac:dyDescent="0.3">
      <c r="A222" s="103" t="s">
        <v>33</v>
      </c>
      <c r="B222" s="104">
        <f>B228+B234+B240+B246</f>
        <v>5991.1</v>
      </c>
      <c r="C222" s="104">
        <f>C228+C234+C240+C246</f>
        <v>5991.1</v>
      </c>
      <c r="D222" s="104">
        <f t="shared" si="73"/>
        <v>5946.0529999999999</v>
      </c>
      <c r="E222" s="104">
        <f t="shared" si="73"/>
        <v>5946.0529999999999</v>
      </c>
      <c r="F222" s="104">
        <f>IFERROR(E222/B222*100,0)</f>
        <v>99.248101350336327</v>
      </c>
      <c r="G222" s="104">
        <f>IFERROR(E222/C222*100,0)</f>
        <v>99.248101350336327</v>
      </c>
      <c r="H222" s="104">
        <f t="shared" si="72"/>
        <v>2992.1</v>
      </c>
      <c r="I222" s="104">
        <f t="shared" si="72"/>
        <v>2992.1</v>
      </c>
      <c r="J222" s="104">
        <f t="shared" si="72"/>
        <v>743.9</v>
      </c>
      <c r="K222" s="104">
        <f t="shared" si="72"/>
        <v>0</v>
      </c>
      <c r="L222" s="104">
        <f t="shared" si="72"/>
        <v>212.7</v>
      </c>
      <c r="M222" s="104">
        <f t="shared" si="72"/>
        <v>0</v>
      </c>
      <c r="N222" s="104">
        <f t="shared" si="72"/>
        <v>397.8</v>
      </c>
      <c r="O222" s="104">
        <f t="shared" si="72"/>
        <v>1354.3999999999999</v>
      </c>
      <c r="P222" s="104">
        <f t="shared" si="72"/>
        <v>600</v>
      </c>
      <c r="Q222" s="104">
        <f t="shared" si="72"/>
        <v>600</v>
      </c>
      <c r="R222" s="104">
        <f t="shared" si="72"/>
        <v>657.7</v>
      </c>
      <c r="S222" s="104">
        <f t="shared" si="72"/>
        <v>657.7</v>
      </c>
      <c r="T222" s="104">
        <f t="shared" si="72"/>
        <v>85</v>
      </c>
      <c r="U222" s="104">
        <f t="shared" si="72"/>
        <v>0</v>
      </c>
      <c r="V222" s="104">
        <f t="shared" si="72"/>
        <v>63</v>
      </c>
      <c r="W222" s="104">
        <f t="shared" si="72"/>
        <v>148</v>
      </c>
      <c r="X222" s="104">
        <f t="shared" si="72"/>
        <v>15</v>
      </c>
      <c r="Y222" s="104">
        <f t="shared" si="72"/>
        <v>15</v>
      </c>
      <c r="Z222" s="104">
        <f t="shared" si="72"/>
        <v>133.9</v>
      </c>
      <c r="AA222" s="104">
        <f t="shared" si="72"/>
        <v>97.429999999999993</v>
      </c>
      <c r="AB222" s="104">
        <f t="shared" si="72"/>
        <v>57.129999999999995</v>
      </c>
      <c r="AC222" s="104">
        <f t="shared" si="72"/>
        <v>27.143000000000001</v>
      </c>
      <c r="AD222" s="104">
        <f t="shared" si="72"/>
        <v>32.870000000000005</v>
      </c>
      <c r="AE222" s="104">
        <f t="shared" si="72"/>
        <v>54.28</v>
      </c>
      <c r="AF222" s="98"/>
      <c r="AG222" s="99">
        <f t="shared" si="46"/>
        <v>3.1263880373444408E-13</v>
      </c>
    </row>
    <row r="223" spans="1:33" x14ac:dyDescent="0.3">
      <c r="A223" s="103" t="s">
        <v>170</v>
      </c>
      <c r="B223" s="104">
        <f t="shared" si="73"/>
        <v>0</v>
      </c>
      <c r="C223" s="104">
        <f t="shared" si="73"/>
        <v>0</v>
      </c>
      <c r="D223" s="104">
        <f t="shared" si="73"/>
        <v>0</v>
      </c>
      <c r="E223" s="104">
        <f t="shared" si="73"/>
        <v>0</v>
      </c>
      <c r="F223" s="104"/>
      <c r="G223" s="104"/>
      <c r="H223" s="104">
        <f t="shared" si="72"/>
        <v>0</v>
      </c>
      <c r="I223" s="104">
        <f t="shared" si="72"/>
        <v>0</v>
      </c>
      <c r="J223" s="104">
        <f t="shared" si="72"/>
        <v>0</v>
      </c>
      <c r="K223" s="104">
        <f t="shared" si="72"/>
        <v>0</v>
      </c>
      <c r="L223" s="104">
        <f t="shared" si="72"/>
        <v>0</v>
      </c>
      <c r="M223" s="104">
        <f t="shared" si="72"/>
        <v>0</v>
      </c>
      <c r="N223" s="104">
        <f t="shared" si="72"/>
        <v>0</v>
      </c>
      <c r="O223" s="104">
        <f t="shared" si="72"/>
        <v>0</v>
      </c>
      <c r="P223" s="104">
        <f t="shared" si="72"/>
        <v>0</v>
      </c>
      <c r="Q223" s="104">
        <f t="shared" si="72"/>
        <v>0</v>
      </c>
      <c r="R223" s="104">
        <f t="shared" si="72"/>
        <v>0</v>
      </c>
      <c r="S223" s="104">
        <f t="shared" si="72"/>
        <v>0</v>
      </c>
      <c r="T223" s="104">
        <f t="shared" si="72"/>
        <v>0</v>
      </c>
      <c r="U223" s="104">
        <f t="shared" si="72"/>
        <v>0</v>
      </c>
      <c r="V223" s="104">
        <f t="shared" si="72"/>
        <v>0</v>
      </c>
      <c r="W223" s="104">
        <f t="shared" si="72"/>
        <v>0</v>
      </c>
      <c r="X223" s="104">
        <f t="shared" si="72"/>
        <v>0</v>
      </c>
      <c r="Y223" s="104">
        <f t="shared" si="72"/>
        <v>0</v>
      </c>
      <c r="Z223" s="104">
        <f t="shared" si="72"/>
        <v>0</v>
      </c>
      <c r="AA223" s="104">
        <f t="shared" si="72"/>
        <v>0</v>
      </c>
      <c r="AB223" s="104">
        <f t="shared" si="72"/>
        <v>0</v>
      </c>
      <c r="AC223" s="104">
        <f t="shared" si="72"/>
        <v>0</v>
      </c>
      <c r="AD223" s="104">
        <f t="shared" si="72"/>
        <v>0</v>
      </c>
      <c r="AE223" s="104">
        <f t="shared" si="72"/>
        <v>0</v>
      </c>
      <c r="AF223" s="98"/>
      <c r="AG223" s="99">
        <f t="shared" si="46"/>
        <v>0</v>
      </c>
    </row>
    <row r="224" spans="1:33" ht="62.25" customHeight="1" x14ac:dyDescent="0.3">
      <c r="A224" s="713" t="s">
        <v>561</v>
      </c>
      <c r="B224" s="594"/>
      <c r="C224" s="107"/>
      <c r="D224" s="107"/>
      <c r="E224" s="107"/>
      <c r="F224" s="107"/>
      <c r="G224" s="107"/>
      <c r="H224" s="108"/>
      <c r="I224" s="108"/>
      <c r="J224" s="108"/>
      <c r="K224" s="108"/>
      <c r="L224" s="108"/>
      <c r="M224" s="108"/>
      <c r="N224" s="108"/>
      <c r="O224" s="108"/>
      <c r="P224" s="108"/>
      <c r="Q224" s="108"/>
      <c r="R224" s="108"/>
      <c r="S224" s="108"/>
      <c r="T224" s="108"/>
      <c r="U224" s="108"/>
      <c r="V224" s="108"/>
      <c r="W224" s="108"/>
      <c r="X224" s="108"/>
      <c r="Y224" s="108"/>
      <c r="Z224" s="108"/>
      <c r="AA224" s="108"/>
      <c r="AB224" s="108"/>
      <c r="AC224" s="108"/>
      <c r="AD224" s="108"/>
      <c r="AE224" s="108"/>
      <c r="AF224" s="29"/>
      <c r="AG224" s="99">
        <f t="shared" si="46"/>
        <v>0</v>
      </c>
    </row>
    <row r="225" spans="1:33" x14ac:dyDescent="0.3">
      <c r="A225" s="590" t="s">
        <v>31</v>
      </c>
      <c r="B225" s="591">
        <f>B227+B228+B226+B229</f>
        <v>2524.3000000000002</v>
      </c>
      <c r="C225" s="110">
        <f>C227+C228+C226+C229</f>
        <v>2524.3000000000002</v>
      </c>
      <c r="D225" s="111">
        <f>D227+D228+D226+D229</f>
        <v>2524.3000000000002</v>
      </c>
      <c r="E225" s="110">
        <f>E227+E228+E226+E229</f>
        <v>2524.3000000000002</v>
      </c>
      <c r="F225" s="110">
        <f>IFERROR(E225/B225*100,0)</f>
        <v>100</v>
      </c>
      <c r="G225" s="110">
        <f>IFERROR(E225/C225*100,0)</f>
        <v>100</v>
      </c>
      <c r="H225" s="110">
        <f t="shared" ref="H225:AE225" si="74">H227+H228+H226+H229</f>
        <v>0</v>
      </c>
      <c r="I225" s="110">
        <f t="shared" si="74"/>
        <v>0</v>
      </c>
      <c r="J225" s="110">
        <f t="shared" si="74"/>
        <v>740.5</v>
      </c>
      <c r="K225" s="110">
        <f t="shared" si="74"/>
        <v>0</v>
      </c>
      <c r="L225" s="110">
        <f t="shared" si="74"/>
        <v>0</v>
      </c>
      <c r="M225" s="110">
        <f t="shared" si="74"/>
        <v>0</v>
      </c>
      <c r="N225" s="110">
        <f t="shared" si="74"/>
        <v>397.8</v>
      </c>
      <c r="O225" s="110">
        <f t="shared" si="74"/>
        <v>1138.3</v>
      </c>
      <c r="P225" s="110">
        <f t="shared" si="74"/>
        <v>600</v>
      </c>
      <c r="Q225" s="110">
        <f t="shared" si="74"/>
        <v>600</v>
      </c>
      <c r="R225" s="110">
        <f t="shared" si="74"/>
        <v>657.7</v>
      </c>
      <c r="S225" s="110">
        <f t="shared" si="74"/>
        <v>657.7</v>
      </c>
      <c r="T225" s="110">
        <f t="shared" si="74"/>
        <v>85</v>
      </c>
      <c r="U225" s="110">
        <f t="shared" si="74"/>
        <v>0</v>
      </c>
      <c r="V225" s="110">
        <f t="shared" si="74"/>
        <v>18</v>
      </c>
      <c r="W225" s="110">
        <f t="shared" si="74"/>
        <v>103</v>
      </c>
      <c r="X225" s="110">
        <f t="shared" si="74"/>
        <v>0</v>
      </c>
      <c r="Y225" s="110">
        <f t="shared" si="74"/>
        <v>0</v>
      </c>
      <c r="Z225" s="110">
        <f t="shared" si="74"/>
        <v>25.3</v>
      </c>
      <c r="AA225" s="110">
        <f t="shared" si="74"/>
        <v>25.3</v>
      </c>
      <c r="AB225" s="110">
        <f t="shared" si="74"/>
        <v>0</v>
      </c>
      <c r="AC225" s="110">
        <f t="shared" si="74"/>
        <v>0</v>
      </c>
      <c r="AD225" s="110">
        <f t="shared" si="74"/>
        <v>0</v>
      </c>
      <c r="AE225" s="110">
        <f t="shared" si="74"/>
        <v>0</v>
      </c>
      <c r="AF225" s="29"/>
      <c r="AG225" s="99">
        <f t="shared" si="46"/>
        <v>1.8118839761882555E-13</v>
      </c>
    </row>
    <row r="226" spans="1:33" x14ac:dyDescent="0.3">
      <c r="A226" s="593" t="s">
        <v>169</v>
      </c>
      <c r="B226" s="594">
        <f>J226+L226+N226+P226+R226+T226+V226+X226+Z226+AB226+AD226+H226</f>
        <v>0</v>
      </c>
      <c r="C226" s="114">
        <f>SUM(H226)</f>
        <v>0</v>
      </c>
      <c r="D226" s="115">
        <f>E226</f>
        <v>0</v>
      </c>
      <c r="E226" s="114">
        <f>SUM(I226,K226,M226,O226,Q226,S226,U226,W226,Y226,AA226,AC226,AE226)</f>
        <v>0</v>
      </c>
      <c r="F226" s="113">
        <f>IFERROR(E226/B226*100,0)</f>
        <v>0</v>
      </c>
      <c r="G226" s="113">
        <f>IFERROR(E226/C226*100,0)</f>
        <v>0</v>
      </c>
      <c r="H226" s="108"/>
      <c r="I226" s="108"/>
      <c r="J226" s="108"/>
      <c r="K226" s="108"/>
      <c r="L226" s="108"/>
      <c r="M226" s="108"/>
      <c r="N226" s="108"/>
      <c r="O226" s="108"/>
      <c r="P226" s="108"/>
      <c r="Q226" s="108"/>
      <c r="R226" s="108"/>
      <c r="S226" s="108"/>
      <c r="T226" s="108"/>
      <c r="U226" s="108"/>
      <c r="V226" s="108"/>
      <c r="W226" s="108"/>
      <c r="X226" s="108"/>
      <c r="Y226" s="108"/>
      <c r="Z226" s="108"/>
      <c r="AA226" s="108"/>
      <c r="AB226" s="108"/>
      <c r="AC226" s="108"/>
      <c r="AD226" s="108"/>
      <c r="AE226" s="108"/>
      <c r="AF226" s="29"/>
      <c r="AG226" s="99">
        <f t="shared" si="46"/>
        <v>0</v>
      </c>
    </row>
    <row r="227" spans="1:33" x14ac:dyDescent="0.3">
      <c r="A227" s="593" t="s">
        <v>32</v>
      </c>
      <c r="B227" s="594">
        <f>J227+L227+N227+P227+R227+T227+V227+X227+Z227+AB227+AD227+H227</f>
        <v>0</v>
      </c>
      <c r="C227" s="114">
        <f>SUM(H227)</f>
        <v>0</v>
      </c>
      <c r="D227" s="115">
        <f>E227</f>
        <v>0</v>
      </c>
      <c r="E227" s="114">
        <f>SUM(I227,K227,M227,O227,Q227,S227,U227,W227,Y227,AA227,AC227,AE227)</f>
        <v>0</v>
      </c>
      <c r="F227" s="113">
        <f>IFERROR(E227/B227*100,0)</f>
        <v>0</v>
      </c>
      <c r="G227" s="113">
        <f>IFERROR(E227/C227*100,0)</f>
        <v>0</v>
      </c>
      <c r="H227" s="108"/>
      <c r="I227" s="108"/>
      <c r="J227" s="108"/>
      <c r="K227" s="108"/>
      <c r="L227" s="108"/>
      <c r="M227" s="108"/>
      <c r="N227" s="108"/>
      <c r="O227" s="108"/>
      <c r="P227" s="108"/>
      <c r="Q227" s="108"/>
      <c r="R227" s="108"/>
      <c r="S227" s="108"/>
      <c r="T227" s="108"/>
      <c r="U227" s="108"/>
      <c r="V227" s="108"/>
      <c r="W227" s="108"/>
      <c r="X227" s="108"/>
      <c r="Y227" s="108"/>
      <c r="Z227" s="108"/>
      <c r="AA227" s="108"/>
      <c r="AB227" s="108"/>
      <c r="AC227" s="108"/>
      <c r="AD227" s="108"/>
      <c r="AE227" s="108"/>
      <c r="AF227" s="29"/>
      <c r="AG227" s="99">
        <f t="shared" si="46"/>
        <v>0</v>
      </c>
    </row>
    <row r="228" spans="1:33" x14ac:dyDescent="0.3">
      <c r="A228" s="593" t="s">
        <v>33</v>
      </c>
      <c r="B228" s="594">
        <f>J228+L228+N228+P228+R228+T228+V228+X228+Z228+AB228+AD228+H228</f>
        <v>2524.3000000000002</v>
      </c>
      <c r="C228" s="114">
        <f>H228+J228+L228+N228+P228+R228+T228+V228+Z228</f>
        <v>2524.3000000000002</v>
      </c>
      <c r="D228" s="115">
        <f>E228</f>
        <v>2524.3000000000002</v>
      </c>
      <c r="E228" s="114">
        <f>SUM(I228,K228,M228,O228,Q228,S228,U228,W228,Y228,AA228,AC228,AE228)</f>
        <v>2524.3000000000002</v>
      </c>
      <c r="F228" s="113">
        <f>IFERROR(E228/B228*100,0)</f>
        <v>100</v>
      </c>
      <c r="G228" s="113">
        <f>IFERROR(E228/C228*100,0)</f>
        <v>100</v>
      </c>
      <c r="H228" s="108"/>
      <c r="I228" s="108"/>
      <c r="J228" s="108">
        <v>740.5</v>
      </c>
      <c r="K228" s="108"/>
      <c r="L228" s="108"/>
      <c r="M228" s="108"/>
      <c r="N228" s="108">
        <v>397.8</v>
      </c>
      <c r="O228" s="108">
        <v>1138.3</v>
      </c>
      <c r="P228" s="108">
        <v>600</v>
      </c>
      <c r="Q228" s="108">
        <v>600</v>
      </c>
      <c r="R228" s="108">
        <v>657.7</v>
      </c>
      <c r="S228" s="108">
        <v>657.7</v>
      </c>
      <c r="T228" s="108">
        <v>85</v>
      </c>
      <c r="U228" s="108"/>
      <c r="V228" s="108">
        <v>18</v>
      </c>
      <c r="W228" s="108">
        <v>103</v>
      </c>
      <c r="X228" s="108"/>
      <c r="Y228" s="108"/>
      <c r="Z228" s="108">
        <v>25.3</v>
      </c>
      <c r="AA228" s="108">
        <v>25.3</v>
      </c>
      <c r="AB228" s="108"/>
      <c r="AC228" s="108"/>
      <c r="AD228" s="108"/>
      <c r="AE228" s="108"/>
      <c r="AF228" s="29"/>
      <c r="AG228" s="99">
        <f t="shared" si="46"/>
        <v>1.8118839761882555E-13</v>
      </c>
    </row>
    <row r="229" spans="1:33" x14ac:dyDescent="0.3">
      <c r="A229" s="593" t="s">
        <v>170</v>
      </c>
      <c r="B229" s="594"/>
      <c r="C229" s="114"/>
      <c r="D229" s="115"/>
      <c r="E229" s="114"/>
      <c r="F229" s="113"/>
      <c r="G229" s="113"/>
      <c r="H229" s="108"/>
      <c r="I229" s="108"/>
      <c r="J229" s="108"/>
      <c r="K229" s="108"/>
      <c r="L229" s="108"/>
      <c r="M229" s="108"/>
      <c r="N229" s="108"/>
      <c r="O229" s="108"/>
      <c r="P229" s="108"/>
      <c r="Q229" s="108"/>
      <c r="R229" s="108"/>
      <c r="S229" s="108"/>
      <c r="T229" s="108"/>
      <c r="U229" s="108"/>
      <c r="V229" s="108"/>
      <c r="W229" s="108"/>
      <c r="X229" s="108"/>
      <c r="Y229" s="108"/>
      <c r="Z229" s="108"/>
      <c r="AA229" s="108"/>
      <c r="AB229" s="108"/>
      <c r="AC229" s="108"/>
      <c r="AD229" s="108"/>
      <c r="AE229" s="108"/>
      <c r="AF229" s="29"/>
      <c r="AG229" s="99">
        <f t="shared" si="46"/>
        <v>0</v>
      </c>
    </row>
    <row r="230" spans="1:33" ht="80.25" customHeight="1" x14ac:dyDescent="0.3">
      <c r="A230" s="713" t="s">
        <v>562</v>
      </c>
      <c r="B230" s="594"/>
      <c r="C230" s="107"/>
      <c r="D230" s="107"/>
      <c r="E230" s="107"/>
      <c r="F230" s="107"/>
      <c r="G230" s="107"/>
      <c r="H230" s="108"/>
      <c r="I230" s="108"/>
      <c r="J230" s="108"/>
      <c r="K230" s="108"/>
      <c r="L230" s="108"/>
      <c r="M230" s="108"/>
      <c r="N230" s="108"/>
      <c r="O230" s="108"/>
      <c r="P230" s="108"/>
      <c r="Q230" s="108"/>
      <c r="R230" s="108"/>
      <c r="S230" s="108"/>
      <c r="T230" s="108"/>
      <c r="U230" s="108"/>
      <c r="V230" s="108"/>
      <c r="W230" s="108"/>
      <c r="X230" s="108"/>
      <c r="Y230" s="108"/>
      <c r="Z230" s="108"/>
      <c r="AA230" s="108"/>
      <c r="AB230" s="108"/>
      <c r="AC230" s="108"/>
      <c r="AD230" s="108"/>
      <c r="AE230" s="108"/>
      <c r="AF230" s="29"/>
      <c r="AG230" s="99">
        <f t="shared" si="46"/>
        <v>0</v>
      </c>
    </row>
    <row r="231" spans="1:33" x14ac:dyDescent="0.3">
      <c r="A231" s="590" t="s">
        <v>31</v>
      </c>
      <c r="B231" s="591">
        <f>B233+B234+B232+B235</f>
        <v>216.1</v>
      </c>
      <c r="C231" s="110">
        <f>C233+C234+C232+C235</f>
        <v>216.1</v>
      </c>
      <c r="D231" s="111">
        <f>D233+D234+D232+D235</f>
        <v>216.1</v>
      </c>
      <c r="E231" s="110">
        <f>E233+E234+E232+E235</f>
        <v>216.1</v>
      </c>
      <c r="F231" s="110">
        <f>IFERROR(E231/B231*100,0)</f>
        <v>100</v>
      </c>
      <c r="G231" s="110">
        <f>IFERROR(E231/C231*100,0)</f>
        <v>100</v>
      </c>
      <c r="H231" s="110">
        <f t="shared" ref="H231:AE231" si="75">H233+H234+H232+H235</f>
        <v>0</v>
      </c>
      <c r="I231" s="110">
        <f t="shared" si="75"/>
        <v>0</v>
      </c>
      <c r="J231" s="110">
        <f t="shared" si="75"/>
        <v>3.4</v>
      </c>
      <c r="K231" s="110">
        <f t="shared" si="75"/>
        <v>0</v>
      </c>
      <c r="L231" s="110">
        <f t="shared" si="75"/>
        <v>212.7</v>
      </c>
      <c r="M231" s="110">
        <f t="shared" si="75"/>
        <v>0</v>
      </c>
      <c r="N231" s="110">
        <f t="shared" si="75"/>
        <v>0</v>
      </c>
      <c r="O231" s="110">
        <f t="shared" si="75"/>
        <v>216.1</v>
      </c>
      <c r="P231" s="110">
        <f t="shared" si="75"/>
        <v>0</v>
      </c>
      <c r="Q231" s="110">
        <f t="shared" si="75"/>
        <v>0</v>
      </c>
      <c r="R231" s="110">
        <f t="shared" si="75"/>
        <v>0</v>
      </c>
      <c r="S231" s="110">
        <f t="shared" si="75"/>
        <v>0</v>
      </c>
      <c r="T231" s="110">
        <f t="shared" si="75"/>
        <v>0</v>
      </c>
      <c r="U231" s="110">
        <f t="shared" si="75"/>
        <v>0</v>
      </c>
      <c r="V231" s="110">
        <f t="shared" si="75"/>
        <v>0</v>
      </c>
      <c r="W231" s="110">
        <f t="shared" si="75"/>
        <v>0</v>
      </c>
      <c r="X231" s="110">
        <f t="shared" si="75"/>
        <v>0</v>
      </c>
      <c r="Y231" s="110">
        <f t="shared" si="75"/>
        <v>0</v>
      </c>
      <c r="Z231" s="110">
        <f t="shared" si="75"/>
        <v>0</v>
      </c>
      <c r="AA231" s="110">
        <f t="shared" si="75"/>
        <v>0</v>
      </c>
      <c r="AB231" s="110">
        <f t="shared" si="75"/>
        <v>0</v>
      </c>
      <c r="AC231" s="110">
        <f t="shared" si="75"/>
        <v>0</v>
      </c>
      <c r="AD231" s="110">
        <f t="shared" si="75"/>
        <v>0</v>
      </c>
      <c r="AE231" s="110">
        <f t="shared" si="75"/>
        <v>0</v>
      </c>
      <c r="AF231" s="29"/>
      <c r="AG231" s="99">
        <f t="shared" si="46"/>
        <v>0</v>
      </c>
    </row>
    <row r="232" spans="1:33" x14ac:dyDescent="0.3">
      <c r="A232" s="593" t="s">
        <v>169</v>
      </c>
      <c r="B232" s="594">
        <f>J232+L232+N232+P232+R232+T232+V232+X232+Z232+AB232+AD232+H232</f>
        <v>0</v>
      </c>
      <c r="C232" s="114">
        <f>SUM(H232)</f>
        <v>0</v>
      </c>
      <c r="D232" s="115">
        <f>E232</f>
        <v>0</v>
      </c>
      <c r="E232" s="114">
        <f>SUM(I232,K232,M232,O232,Q232,S232,U232,W232,Y232,AA232,AC232,AE232)</f>
        <v>0</v>
      </c>
      <c r="F232" s="113">
        <f>IFERROR(E232/B232*100,0)</f>
        <v>0</v>
      </c>
      <c r="G232" s="113">
        <f>IFERROR(E232/C232*100,0)</f>
        <v>0</v>
      </c>
      <c r="H232" s="108"/>
      <c r="I232" s="108"/>
      <c r="J232" s="108"/>
      <c r="K232" s="108"/>
      <c r="L232" s="108"/>
      <c r="M232" s="108"/>
      <c r="N232" s="108"/>
      <c r="O232" s="108"/>
      <c r="P232" s="108"/>
      <c r="Q232" s="108"/>
      <c r="R232" s="108"/>
      <c r="S232" s="108"/>
      <c r="T232" s="108"/>
      <c r="U232" s="108"/>
      <c r="V232" s="108"/>
      <c r="W232" s="108"/>
      <c r="X232" s="108"/>
      <c r="Y232" s="108"/>
      <c r="Z232" s="108"/>
      <c r="AA232" s="108"/>
      <c r="AB232" s="108"/>
      <c r="AC232" s="108"/>
      <c r="AD232" s="108"/>
      <c r="AE232" s="108"/>
      <c r="AF232" s="29"/>
      <c r="AG232" s="99">
        <f t="shared" si="46"/>
        <v>0</v>
      </c>
    </row>
    <row r="233" spans="1:33" x14ac:dyDescent="0.3">
      <c r="A233" s="593" t="s">
        <v>32</v>
      </c>
      <c r="B233" s="594">
        <f>J233+L233+N233+P233+R233+T233+V233+X233+Z233+AB233+AD233+H233</f>
        <v>0</v>
      </c>
      <c r="C233" s="114">
        <f>SUM(H233)</f>
        <v>0</v>
      </c>
      <c r="D233" s="115">
        <f>E233</f>
        <v>0</v>
      </c>
      <c r="E233" s="114">
        <f>SUM(I233,K233,M233,O233,Q233,S233,U233,W233,Y233,AA233,AC233,AE233)</f>
        <v>0</v>
      </c>
      <c r="F233" s="113">
        <f>IFERROR(E233/B233*100,0)</f>
        <v>0</v>
      </c>
      <c r="G233" s="113">
        <f>IFERROR(E233/C233*100,0)</f>
        <v>0</v>
      </c>
      <c r="H233" s="108"/>
      <c r="I233" s="108"/>
      <c r="J233" s="108"/>
      <c r="K233" s="108"/>
      <c r="L233" s="108"/>
      <c r="M233" s="108"/>
      <c r="N233" s="108"/>
      <c r="O233" s="108"/>
      <c r="P233" s="108"/>
      <c r="Q233" s="108"/>
      <c r="R233" s="108"/>
      <c r="S233" s="108"/>
      <c r="T233" s="108"/>
      <c r="U233" s="108"/>
      <c r="V233" s="108"/>
      <c r="W233" s="108"/>
      <c r="X233" s="108"/>
      <c r="Y233" s="108"/>
      <c r="Z233" s="108"/>
      <c r="AA233" s="108"/>
      <c r="AB233" s="108"/>
      <c r="AC233" s="108"/>
      <c r="AD233" s="108"/>
      <c r="AE233" s="108"/>
      <c r="AF233" s="29"/>
      <c r="AG233" s="99">
        <f t="shared" si="46"/>
        <v>0</v>
      </c>
    </row>
    <row r="234" spans="1:33" x14ac:dyDescent="0.3">
      <c r="A234" s="593" t="s">
        <v>33</v>
      </c>
      <c r="B234" s="594">
        <f>J234+L234+N234+P234+R234+T234+V234+X234+Z234+AB234+AD234+H234</f>
        <v>216.1</v>
      </c>
      <c r="C234" s="114">
        <f>H234+J234+L234+N234+P234+R234</f>
        <v>216.1</v>
      </c>
      <c r="D234" s="115">
        <f>E234</f>
        <v>216.1</v>
      </c>
      <c r="E234" s="114">
        <f>SUM(I234,K234,M234,O234,Q234,S234,U234,W234,Y234,AA234,AC234,AE234)</f>
        <v>216.1</v>
      </c>
      <c r="F234" s="113">
        <f>IFERROR(E234/B234*100,0)</f>
        <v>100</v>
      </c>
      <c r="G234" s="113">
        <f>IFERROR(E234/C234*100,0)</f>
        <v>100</v>
      </c>
      <c r="H234" s="108"/>
      <c r="I234" s="108"/>
      <c r="J234" s="108">
        <v>3.4</v>
      </c>
      <c r="K234" s="108"/>
      <c r="L234" s="108">
        <v>212.7</v>
      </c>
      <c r="M234" s="108"/>
      <c r="N234" s="108"/>
      <c r="O234" s="108">
        <v>216.1</v>
      </c>
      <c r="P234" s="108"/>
      <c r="Q234" s="108"/>
      <c r="R234" s="108"/>
      <c r="S234" s="108"/>
      <c r="T234" s="108"/>
      <c r="U234" s="108"/>
      <c r="V234" s="108"/>
      <c r="W234" s="108"/>
      <c r="X234" s="108"/>
      <c r="Y234" s="108"/>
      <c r="Z234" s="108"/>
      <c r="AA234" s="108"/>
      <c r="AB234" s="108"/>
      <c r="AC234" s="108"/>
      <c r="AD234" s="108"/>
      <c r="AE234" s="108"/>
      <c r="AF234" s="29"/>
      <c r="AG234" s="99">
        <f t="shared" si="46"/>
        <v>0</v>
      </c>
    </row>
    <row r="235" spans="1:33" x14ac:dyDescent="0.3">
      <c r="A235" s="593" t="s">
        <v>170</v>
      </c>
      <c r="B235" s="594"/>
      <c r="C235" s="114"/>
      <c r="D235" s="115"/>
      <c r="E235" s="114"/>
      <c r="F235" s="113"/>
      <c r="G235" s="113"/>
      <c r="H235" s="108"/>
      <c r="I235" s="108"/>
      <c r="J235" s="108"/>
      <c r="K235" s="108"/>
      <c r="L235" s="108"/>
      <c r="M235" s="108"/>
      <c r="N235" s="108"/>
      <c r="O235" s="108"/>
      <c r="P235" s="108"/>
      <c r="Q235" s="108"/>
      <c r="R235" s="108"/>
      <c r="S235" s="108"/>
      <c r="T235" s="108"/>
      <c r="U235" s="108"/>
      <c r="V235" s="108"/>
      <c r="W235" s="108"/>
      <c r="X235" s="108"/>
      <c r="Y235" s="108"/>
      <c r="Z235" s="108"/>
      <c r="AA235" s="108"/>
      <c r="AB235" s="108"/>
      <c r="AC235" s="108"/>
      <c r="AD235" s="108"/>
      <c r="AE235" s="108"/>
      <c r="AF235" s="29"/>
      <c r="AG235" s="99">
        <f t="shared" si="46"/>
        <v>0</v>
      </c>
    </row>
    <row r="236" spans="1:33" ht="42.75" customHeight="1" x14ac:dyDescent="0.3">
      <c r="A236" s="713" t="s">
        <v>296</v>
      </c>
      <c r="B236" s="594"/>
      <c r="C236" s="107"/>
      <c r="D236" s="107"/>
      <c r="E236" s="107"/>
      <c r="F236" s="107"/>
      <c r="G236" s="107"/>
      <c r="H236" s="108"/>
      <c r="I236" s="108"/>
      <c r="J236" s="108"/>
      <c r="K236" s="108"/>
      <c r="L236" s="108"/>
      <c r="M236" s="108"/>
      <c r="N236" s="108"/>
      <c r="O236" s="108"/>
      <c r="P236" s="108"/>
      <c r="Q236" s="108"/>
      <c r="R236" s="108"/>
      <c r="S236" s="108"/>
      <c r="T236" s="108"/>
      <c r="U236" s="108"/>
      <c r="V236" s="108"/>
      <c r="W236" s="108"/>
      <c r="X236" s="108"/>
      <c r="Y236" s="108"/>
      <c r="Z236" s="108"/>
      <c r="AA236" s="108"/>
      <c r="AB236" s="108"/>
      <c r="AC236" s="108"/>
      <c r="AD236" s="108"/>
      <c r="AE236" s="108"/>
      <c r="AF236" s="29"/>
      <c r="AG236" s="99">
        <f t="shared" si="46"/>
        <v>0</v>
      </c>
    </row>
    <row r="237" spans="1:33" x14ac:dyDescent="0.3">
      <c r="A237" s="590" t="s">
        <v>31</v>
      </c>
      <c r="B237" s="591">
        <f>B239+B240+B238+B241</f>
        <v>258.60000000000002</v>
      </c>
      <c r="C237" s="110">
        <f>C239+C240+C238+C241</f>
        <v>258.60000000000002</v>
      </c>
      <c r="D237" s="111">
        <f>D239+D240+D238+D241</f>
        <v>213.553</v>
      </c>
      <c r="E237" s="110">
        <f>E239+E240+E238+E241</f>
        <v>213.553</v>
      </c>
      <c r="F237" s="110">
        <f>IFERROR(E237/B237*100,0)</f>
        <v>82.580433101314767</v>
      </c>
      <c r="G237" s="110">
        <f>IFERROR(E237/C237*100,0)</f>
        <v>82.580433101314767</v>
      </c>
      <c r="H237" s="110">
        <f t="shared" ref="H237:AE237" si="76">H239+H240+H238+H241</f>
        <v>0</v>
      </c>
      <c r="I237" s="110">
        <f t="shared" si="76"/>
        <v>0</v>
      </c>
      <c r="J237" s="110">
        <f t="shared" si="76"/>
        <v>0</v>
      </c>
      <c r="K237" s="110">
        <f t="shared" si="76"/>
        <v>0</v>
      </c>
      <c r="L237" s="110">
        <f t="shared" si="76"/>
        <v>0</v>
      </c>
      <c r="M237" s="110">
        <f t="shared" si="76"/>
        <v>0</v>
      </c>
      <c r="N237" s="110">
        <f t="shared" si="76"/>
        <v>0</v>
      </c>
      <c r="O237" s="110">
        <f t="shared" si="76"/>
        <v>0</v>
      </c>
      <c r="P237" s="110">
        <f t="shared" si="76"/>
        <v>0</v>
      </c>
      <c r="Q237" s="110">
        <f t="shared" si="76"/>
        <v>0</v>
      </c>
      <c r="R237" s="110">
        <f t="shared" si="76"/>
        <v>0</v>
      </c>
      <c r="S237" s="110">
        <f t="shared" si="76"/>
        <v>0</v>
      </c>
      <c r="T237" s="110">
        <f t="shared" si="76"/>
        <v>0</v>
      </c>
      <c r="U237" s="110">
        <f t="shared" si="76"/>
        <v>0</v>
      </c>
      <c r="V237" s="110">
        <f t="shared" si="76"/>
        <v>45</v>
      </c>
      <c r="W237" s="110">
        <f t="shared" si="76"/>
        <v>45</v>
      </c>
      <c r="X237" s="110">
        <f t="shared" si="76"/>
        <v>15</v>
      </c>
      <c r="Y237" s="110">
        <f t="shared" si="76"/>
        <v>15</v>
      </c>
      <c r="Z237" s="110">
        <f t="shared" si="76"/>
        <v>108.6</v>
      </c>
      <c r="AA237" s="110">
        <f t="shared" si="76"/>
        <v>72.13</v>
      </c>
      <c r="AB237" s="110">
        <f t="shared" si="76"/>
        <v>57.129999999999995</v>
      </c>
      <c r="AC237" s="110">
        <f t="shared" si="76"/>
        <v>27.143000000000001</v>
      </c>
      <c r="AD237" s="110">
        <f t="shared" si="76"/>
        <v>32.870000000000005</v>
      </c>
      <c r="AE237" s="110">
        <f t="shared" si="76"/>
        <v>54.28</v>
      </c>
      <c r="AF237" s="29"/>
      <c r="AG237" s="99">
        <f t="shared" si="46"/>
        <v>0</v>
      </c>
    </row>
    <row r="238" spans="1:33" x14ac:dyDescent="0.3">
      <c r="A238" s="593" t="s">
        <v>169</v>
      </c>
      <c r="B238" s="594">
        <f>J238+L238+N238+P238+R238+T238+V238+X238+Z238+AB238+AD238+H238</f>
        <v>0</v>
      </c>
      <c r="C238" s="114">
        <f>SUM(H238)</f>
        <v>0</v>
      </c>
      <c r="D238" s="115">
        <f>E238</f>
        <v>0</v>
      </c>
      <c r="E238" s="114">
        <f>SUM(I238,K238,M238,O238,Q238,S238,U238,W238,Y238,AA238,AC238,AE238)</f>
        <v>0</v>
      </c>
      <c r="F238" s="113">
        <f>IFERROR(E238/B238*100,0)</f>
        <v>0</v>
      </c>
      <c r="G238" s="113">
        <f>IFERROR(E238/C238*100,0)</f>
        <v>0</v>
      </c>
      <c r="H238" s="108"/>
      <c r="I238" s="108"/>
      <c r="J238" s="108"/>
      <c r="K238" s="108"/>
      <c r="L238" s="108"/>
      <c r="M238" s="108"/>
      <c r="N238" s="108"/>
      <c r="O238" s="108"/>
      <c r="P238" s="108"/>
      <c r="Q238" s="108"/>
      <c r="R238" s="108"/>
      <c r="S238" s="108"/>
      <c r="T238" s="108"/>
      <c r="U238" s="108"/>
      <c r="V238" s="108"/>
      <c r="W238" s="108"/>
      <c r="X238" s="108"/>
      <c r="Y238" s="108"/>
      <c r="Z238" s="108"/>
      <c r="AA238" s="108"/>
      <c r="AB238" s="108"/>
      <c r="AC238" s="108"/>
      <c r="AD238" s="108"/>
      <c r="AE238" s="108"/>
      <c r="AF238" s="29"/>
      <c r="AG238" s="99">
        <f t="shared" si="46"/>
        <v>0</v>
      </c>
    </row>
    <row r="239" spans="1:33" x14ac:dyDescent="0.3">
      <c r="A239" s="112" t="s">
        <v>32</v>
      </c>
      <c r="B239" s="113">
        <f>J239+L239+N239+P239+R239+T239+V239+X239+Z239+AB239+AD239+H239</f>
        <v>0</v>
      </c>
      <c r="C239" s="114">
        <f>SUM(H239)</f>
        <v>0</v>
      </c>
      <c r="D239" s="115">
        <f>E239</f>
        <v>0</v>
      </c>
      <c r="E239" s="114">
        <f>SUM(I239,K239,M239,O239,Q239,S239,U239,W239,Y239,AA239,AC239,AE239)</f>
        <v>0</v>
      </c>
      <c r="F239" s="113">
        <f>IFERROR(E239/B239*100,0)</f>
        <v>0</v>
      </c>
      <c r="G239" s="113">
        <f>IFERROR(E239/C239*100,0)</f>
        <v>0</v>
      </c>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29"/>
      <c r="AG239" s="99">
        <f t="shared" si="46"/>
        <v>0</v>
      </c>
    </row>
    <row r="240" spans="1:33" x14ac:dyDescent="0.3">
      <c r="A240" s="593" t="s">
        <v>33</v>
      </c>
      <c r="B240" s="594">
        <f>J240+L240+N240+P240+R240+T240+V240+X240+Z240+AB240+AD240+H240</f>
        <v>258.60000000000002</v>
      </c>
      <c r="C240" s="712">
        <f>H240+J240+L240+N240+P240+R240+T240+V240+X240+Z240+AB240+AD240</f>
        <v>258.60000000000002</v>
      </c>
      <c r="D240" s="715">
        <f>E240</f>
        <v>213.553</v>
      </c>
      <c r="E240" s="712">
        <f>SUM(I240,K240,M240,O240,Q240,S240,U240,W240,Y240,AA240,AC240,AE240)</f>
        <v>213.553</v>
      </c>
      <c r="F240" s="594">
        <f>IFERROR(E240/B240*100,0)</f>
        <v>82.580433101314767</v>
      </c>
      <c r="G240" s="594">
        <f>IFERROR(E240/C240*100,0)</f>
        <v>82.580433101314767</v>
      </c>
      <c r="H240" s="499"/>
      <c r="I240" s="499"/>
      <c r="J240" s="108"/>
      <c r="K240" s="108"/>
      <c r="L240" s="108"/>
      <c r="M240" s="108"/>
      <c r="N240" s="108"/>
      <c r="O240" s="108"/>
      <c r="P240" s="108"/>
      <c r="Q240" s="108"/>
      <c r="R240" s="108"/>
      <c r="S240" s="108"/>
      <c r="T240" s="108"/>
      <c r="U240" s="108"/>
      <c r="V240" s="108">
        <v>45</v>
      </c>
      <c r="W240" s="108">
        <v>45</v>
      </c>
      <c r="X240" s="108">
        <v>15</v>
      </c>
      <c r="Y240" s="108">
        <v>15</v>
      </c>
      <c r="Z240" s="108">
        <f>36.47+72.13</f>
        <v>108.6</v>
      </c>
      <c r="AA240" s="108">
        <v>72.13</v>
      </c>
      <c r="AB240" s="108">
        <f>93.6-36.47</f>
        <v>57.129999999999995</v>
      </c>
      <c r="AC240" s="108">
        <v>27.143000000000001</v>
      </c>
      <c r="AD240" s="108">
        <f>150-45-72.13</f>
        <v>32.870000000000005</v>
      </c>
      <c r="AE240" s="108">
        <v>54.28</v>
      </c>
      <c r="AF240" s="29"/>
      <c r="AG240" s="99">
        <f t="shared" si="46"/>
        <v>0</v>
      </c>
    </row>
    <row r="241" spans="1:33" x14ac:dyDescent="0.3">
      <c r="A241" s="593" t="s">
        <v>170</v>
      </c>
      <c r="B241" s="594"/>
      <c r="C241" s="712"/>
      <c r="D241" s="715"/>
      <c r="E241" s="712"/>
      <c r="F241" s="594"/>
      <c r="G241" s="594"/>
      <c r="H241" s="499"/>
      <c r="I241" s="499"/>
      <c r="J241" s="108"/>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29"/>
      <c r="AG241" s="99">
        <f t="shared" si="46"/>
        <v>0</v>
      </c>
    </row>
    <row r="242" spans="1:33" ht="114.75" customHeight="1" x14ac:dyDescent="0.3">
      <c r="A242" s="713" t="s">
        <v>563</v>
      </c>
      <c r="B242" s="594"/>
      <c r="C242" s="602"/>
      <c r="D242" s="602"/>
      <c r="E242" s="602"/>
      <c r="F242" s="602"/>
      <c r="G242" s="602"/>
      <c r="H242" s="499"/>
      <c r="I242" s="499"/>
      <c r="J242" s="108"/>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29"/>
      <c r="AG242" s="99">
        <f t="shared" si="46"/>
        <v>0</v>
      </c>
    </row>
    <row r="243" spans="1:33" x14ac:dyDescent="0.3">
      <c r="A243" s="590" t="s">
        <v>31</v>
      </c>
      <c r="B243" s="591">
        <f>B245+B246+B244+B247</f>
        <v>2992.1</v>
      </c>
      <c r="C243" s="591">
        <f>C245+C246+C244+C247</f>
        <v>2992.1</v>
      </c>
      <c r="D243" s="714">
        <f>D245+D246+D244+D247</f>
        <v>2992.1</v>
      </c>
      <c r="E243" s="591">
        <f>E245+E246+E244+E247</f>
        <v>2992.1</v>
      </c>
      <c r="F243" s="591">
        <f>IFERROR(E243/B243*100,0)</f>
        <v>100</v>
      </c>
      <c r="G243" s="591">
        <f>IFERROR(E243/C243*100,0)</f>
        <v>100</v>
      </c>
      <c r="H243" s="591">
        <f t="shared" ref="H243:AE243" si="77">H245+H246+H244+H247</f>
        <v>2992.1</v>
      </c>
      <c r="I243" s="591">
        <f t="shared" si="77"/>
        <v>2992.1</v>
      </c>
      <c r="J243" s="110">
        <f t="shared" si="77"/>
        <v>0</v>
      </c>
      <c r="K243" s="110">
        <f t="shared" si="77"/>
        <v>0</v>
      </c>
      <c r="L243" s="110">
        <f t="shared" si="77"/>
        <v>0</v>
      </c>
      <c r="M243" s="110">
        <f t="shared" si="77"/>
        <v>0</v>
      </c>
      <c r="N243" s="110">
        <f t="shared" si="77"/>
        <v>0</v>
      </c>
      <c r="O243" s="110">
        <f t="shared" si="77"/>
        <v>0</v>
      </c>
      <c r="P243" s="110">
        <f t="shared" si="77"/>
        <v>0</v>
      </c>
      <c r="Q243" s="110">
        <f t="shared" si="77"/>
        <v>0</v>
      </c>
      <c r="R243" s="110">
        <f t="shared" si="77"/>
        <v>0</v>
      </c>
      <c r="S243" s="110">
        <f t="shared" si="77"/>
        <v>0</v>
      </c>
      <c r="T243" s="110">
        <f t="shared" si="77"/>
        <v>0</v>
      </c>
      <c r="U243" s="110">
        <f t="shared" si="77"/>
        <v>0</v>
      </c>
      <c r="V243" s="110">
        <f t="shared" si="77"/>
        <v>0</v>
      </c>
      <c r="W243" s="110">
        <f t="shared" si="77"/>
        <v>0</v>
      </c>
      <c r="X243" s="110">
        <f t="shared" si="77"/>
        <v>0</v>
      </c>
      <c r="Y243" s="110">
        <f t="shared" si="77"/>
        <v>0</v>
      </c>
      <c r="Z243" s="110">
        <f t="shared" si="77"/>
        <v>0</v>
      </c>
      <c r="AA243" s="110">
        <f t="shared" si="77"/>
        <v>0</v>
      </c>
      <c r="AB243" s="110">
        <f t="shared" si="77"/>
        <v>0</v>
      </c>
      <c r="AC243" s="110">
        <f t="shared" si="77"/>
        <v>0</v>
      </c>
      <c r="AD243" s="110">
        <f t="shared" si="77"/>
        <v>0</v>
      </c>
      <c r="AE243" s="110">
        <f t="shared" si="77"/>
        <v>0</v>
      </c>
      <c r="AF243" s="29"/>
      <c r="AG243" s="99">
        <f t="shared" si="46"/>
        <v>0</v>
      </c>
    </row>
    <row r="244" spans="1:33" x14ac:dyDescent="0.3">
      <c r="A244" s="593" t="s">
        <v>169</v>
      </c>
      <c r="B244" s="594">
        <f>J244+L244+N244+P244+R244+T244+V244+X244+Z244+AB244+AD244+H244</f>
        <v>0</v>
      </c>
      <c r="C244" s="712">
        <f>SUM(H244)</f>
        <v>0</v>
      </c>
      <c r="D244" s="715">
        <f>E244</f>
        <v>0</v>
      </c>
      <c r="E244" s="712">
        <f>SUM(I244,K244,M244,O244,Q244,S244,U244,W244,Y244,AA244,AC244,AE244)</f>
        <v>0</v>
      </c>
      <c r="F244" s="594">
        <f>IFERROR(E244/B244*100,0)</f>
        <v>0</v>
      </c>
      <c r="G244" s="594">
        <f>IFERROR(E244/C244*100,0)</f>
        <v>0</v>
      </c>
      <c r="H244" s="499"/>
      <c r="I244" s="499"/>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29"/>
      <c r="AG244" s="99">
        <f t="shared" si="46"/>
        <v>0</v>
      </c>
    </row>
    <row r="245" spans="1:33" x14ac:dyDescent="0.3">
      <c r="A245" s="593" t="s">
        <v>32</v>
      </c>
      <c r="B245" s="594">
        <f>J245+L245+N245+P245+R245+T245+V245+X245+Z245+AB245+AD245+H245</f>
        <v>0</v>
      </c>
      <c r="C245" s="712">
        <f>SUM(H245)</f>
        <v>0</v>
      </c>
      <c r="D245" s="715">
        <f>E245</f>
        <v>0</v>
      </c>
      <c r="E245" s="712">
        <f>SUM(I245,K245,M245,O245,Q245,S245,U245,W245,Y245,AA245,AC245,AE245)</f>
        <v>0</v>
      </c>
      <c r="F245" s="594">
        <f>IFERROR(E245/B245*100,0)</f>
        <v>0</v>
      </c>
      <c r="G245" s="594">
        <f>IFERROR(E245/C245*100,0)</f>
        <v>0</v>
      </c>
      <c r="H245" s="499"/>
      <c r="I245" s="499"/>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29"/>
      <c r="AG245" s="99">
        <f t="shared" si="46"/>
        <v>0</v>
      </c>
    </row>
    <row r="246" spans="1:33" x14ac:dyDescent="0.3">
      <c r="A246" s="593" t="s">
        <v>33</v>
      </c>
      <c r="B246" s="594">
        <f>J246+L246+N246+P246+R246+T246+V246+X246+Z246+AB246+AD246+H246</f>
        <v>2992.1</v>
      </c>
      <c r="C246" s="712">
        <f>SUM(H246)</f>
        <v>2992.1</v>
      </c>
      <c r="D246" s="715">
        <f>E246</f>
        <v>2992.1</v>
      </c>
      <c r="E246" s="712">
        <f>SUM(I246,K246,M246,O246,Q246,S246,U246,W246,Y246,AA246,AC246,AE246)</f>
        <v>2992.1</v>
      </c>
      <c r="F246" s="594">
        <f>IFERROR(E246/B246*100,0)</f>
        <v>100</v>
      </c>
      <c r="G246" s="594">
        <f>IFERROR(E246/C246*100,0)</f>
        <v>100</v>
      </c>
      <c r="H246" s="499">
        <v>2992.1</v>
      </c>
      <c r="I246" s="499">
        <v>2992.1</v>
      </c>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29"/>
      <c r="AG246" s="99">
        <f t="shared" si="46"/>
        <v>0</v>
      </c>
    </row>
    <row r="247" spans="1:33" x14ac:dyDescent="0.3">
      <c r="A247" s="112" t="s">
        <v>170</v>
      </c>
      <c r="B247" s="113"/>
      <c r="C247" s="114"/>
      <c r="D247" s="115"/>
      <c r="E247" s="114"/>
      <c r="F247" s="113"/>
      <c r="G247" s="113"/>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29"/>
      <c r="AG247" s="99">
        <f t="shared" si="46"/>
        <v>0</v>
      </c>
    </row>
    <row r="248" spans="1:33" ht="56.25" x14ac:dyDescent="0.3">
      <c r="A248" s="135" t="s">
        <v>297</v>
      </c>
      <c r="B248" s="136"/>
      <c r="C248" s="137"/>
      <c r="D248" s="137"/>
      <c r="E248" s="137"/>
      <c r="F248" s="137"/>
      <c r="G248" s="137"/>
      <c r="H248" s="136"/>
      <c r="I248" s="136"/>
      <c r="J248" s="136"/>
      <c r="K248" s="136"/>
      <c r="L248" s="136"/>
      <c r="M248" s="136"/>
      <c r="N248" s="136"/>
      <c r="O248" s="136"/>
      <c r="P248" s="136"/>
      <c r="Q248" s="136"/>
      <c r="R248" s="136"/>
      <c r="S248" s="136"/>
      <c r="T248" s="136"/>
      <c r="U248" s="136"/>
      <c r="V248" s="136"/>
      <c r="W248" s="136"/>
      <c r="X248" s="136"/>
      <c r="Y248" s="136"/>
      <c r="Z248" s="136"/>
      <c r="AA248" s="136"/>
      <c r="AB248" s="136"/>
      <c r="AC248" s="136"/>
      <c r="AD248" s="136"/>
      <c r="AE248" s="136"/>
      <c r="AF248" s="98"/>
      <c r="AG248" s="99">
        <f t="shared" si="46"/>
        <v>0</v>
      </c>
    </row>
    <row r="249" spans="1:33" x14ac:dyDescent="0.3">
      <c r="A249" s="100" t="s">
        <v>31</v>
      </c>
      <c r="B249" s="101">
        <f>B250+B251+B252+B253</f>
        <v>64613.032820000015</v>
      </c>
      <c r="C249" s="101">
        <f>C250+C251+C252+C253</f>
        <v>64613.032820000008</v>
      </c>
      <c r="D249" s="101">
        <f>D250+D251+D252+D253</f>
        <v>64613.037299999996</v>
      </c>
      <c r="E249" s="101">
        <f>E250+E251+E252+E253</f>
        <v>64613.037299999996</v>
      </c>
      <c r="F249" s="104">
        <f>IFERROR(E249/B249*100,0)</f>
        <v>100.00000693358567</v>
      </c>
      <c r="G249" s="104">
        <f>IFERROR(E249/C249*100,0)</f>
        <v>100.00000693358568</v>
      </c>
      <c r="H249" s="101">
        <f>H250+H251+H252+H253</f>
        <v>2008.0666200000001</v>
      </c>
      <c r="I249" s="101">
        <f t="shared" ref="I249:AE249" si="78">I250+I251+I252+I253</f>
        <v>1472.63</v>
      </c>
      <c r="J249" s="101">
        <f t="shared" si="78"/>
        <v>4844.0766199999998</v>
      </c>
      <c r="K249" s="101">
        <f t="shared" si="78"/>
        <v>4844.08</v>
      </c>
      <c r="L249" s="101">
        <f t="shared" si="78"/>
        <v>8715.1966200000006</v>
      </c>
      <c r="M249" s="101">
        <f t="shared" si="78"/>
        <v>8717.51</v>
      </c>
      <c r="N249" s="101">
        <f t="shared" si="78"/>
        <v>11384.37</v>
      </c>
      <c r="O249" s="101">
        <f t="shared" si="78"/>
        <v>11046.580000000002</v>
      </c>
      <c r="P249" s="101">
        <f t="shared" si="78"/>
        <v>4503.6915099999997</v>
      </c>
      <c r="Q249" s="101">
        <f t="shared" si="78"/>
        <v>4503.6899999999996</v>
      </c>
      <c r="R249" s="101">
        <f t="shared" si="78"/>
        <v>5380.8022900000005</v>
      </c>
      <c r="S249" s="101">
        <f t="shared" si="78"/>
        <v>5665.47</v>
      </c>
      <c r="T249" s="101">
        <f t="shared" si="78"/>
        <v>5320.5766200000007</v>
      </c>
      <c r="U249" s="101">
        <f t="shared" si="78"/>
        <v>5320.58</v>
      </c>
      <c r="V249" s="101">
        <f t="shared" si="78"/>
        <v>5905.4991300000002</v>
      </c>
      <c r="W249" s="101">
        <f t="shared" si="78"/>
        <v>5581.5</v>
      </c>
      <c r="X249" s="101">
        <f t="shared" si="78"/>
        <v>3462.58662</v>
      </c>
      <c r="Y249" s="101">
        <f t="shared" si="78"/>
        <v>3494.4472999999998</v>
      </c>
      <c r="Z249" s="101">
        <f t="shared" si="78"/>
        <v>5424.8688499999989</v>
      </c>
      <c r="AA249" s="101">
        <f t="shared" si="78"/>
        <v>5207.6000000000004</v>
      </c>
      <c r="AB249" s="101">
        <f t="shared" si="78"/>
        <v>6347.4296200000008</v>
      </c>
      <c r="AC249" s="101">
        <f t="shared" si="78"/>
        <v>6347.43</v>
      </c>
      <c r="AD249" s="101">
        <f t="shared" si="78"/>
        <v>1315.86832</v>
      </c>
      <c r="AE249" s="101">
        <f t="shared" si="78"/>
        <v>2411.52</v>
      </c>
      <c r="AF249" s="98"/>
      <c r="AG249" s="99">
        <f t="shared" si="46"/>
        <v>1.5916157281026244E-11</v>
      </c>
    </row>
    <row r="250" spans="1:33" x14ac:dyDescent="0.3">
      <c r="A250" s="103" t="s">
        <v>169</v>
      </c>
      <c r="B250" s="104">
        <f>B256+B262</f>
        <v>0</v>
      </c>
      <c r="C250" s="104">
        <f>C256+C262</f>
        <v>0</v>
      </c>
      <c r="D250" s="104">
        <f>D256+D262</f>
        <v>0</v>
      </c>
      <c r="E250" s="104">
        <f>E256+E262</f>
        <v>0</v>
      </c>
      <c r="F250" s="104"/>
      <c r="G250" s="104"/>
      <c r="H250" s="104">
        <f t="shared" ref="H250:AE253" si="79">H256+H262</f>
        <v>0</v>
      </c>
      <c r="I250" s="104">
        <f t="shared" si="79"/>
        <v>0</v>
      </c>
      <c r="J250" s="104">
        <f t="shared" si="79"/>
        <v>0</v>
      </c>
      <c r="K250" s="104">
        <f t="shared" si="79"/>
        <v>0</v>
      </c>
      <c r="L250" s="104">
        <f t="shared" si="79"/>
        <v>0</v>
      </c>
      <c r="M250" s="104">
        <f t="shared" si="79"/>
        <v>0</v>
      </c>
      <c r="N250" s="104">
        <f t="shared" si="79"/>
        <v>0</v>
      </c>
      <c r="O250" s="104">
        <f t="shared" si="79"/>
        <v>0</v>
      </c>
      <c r="P250" s="104">
        <f t="shared" si="79"/>
        <v>0</v>
      </c>
      <c r="Q250" s="104">
        <f t="shared" si="79"/>
        <v>0</v>
      </c>
      <c r="R250" s="104">
        <f t="shared" si="79"/>
        <v>0</v>
      </c>
      <c r="S250" s="104">
        <f t="shared" si="79"/>
        <v>0</v>
      </c>
      <c r="T250" s="104">
        <f t="shared" si="79"/>
        <v>0</v>
      </c>
      <c r="U250" s="104">
        <f t="shared" si="79"/>
        <v>0</v>
      </c>
      <c r="V250" s="104">
        <f t="shared" si="79"/>
        <v>0</v>
      </c>
      <c r="W250" s="104">
        <f t="shared" si="79"/>
        <v>0</v>
      </c>
      <c r="X250" s="104">
        <f t="shared" si="79"/>
        <v>0</v>
      </c>
      <c r="Y250" s="104">
        <f t="shared" si="79"/>
        <v>0</v>
      </c>
      <c r="Z250" s="104">
        <f t="shared" si="79"/>
        <v>0</v>
      </c>
      <c r="AA250" s="104">
        <f t="shared" si="79"/>
        <v>0</v>
      </c>
      <c r="AB250" s="104">
        <f t="shared" si="79"/>
        <v>0</v>
      </c>
      <c r="AC250" s="104">
        <f t="shared" si="79"/>
        <v>0</v>
      </c>
      <c r="AD250" s="104">
        <f t="shared" si="79"/>
        <v>0</v>
      </c>
      <c r="AE250" s="104">
        <f t="shared" si="79"/>
        <v>0</v>
      </c>
      <c r="AF250" s="98"/>
      <c r="AG250" s="99">
        <f t="shared" si="46"/>
        <v>0</v>
      </c>
    </row>
    <row r="251" spans="1:33" x14ac:dyDescent="0.3">
      <c r="A251" s="103" t="s">
        <v>32</v>
      </c>
      <c r="B251" s="104">
        <f t="shared" ref="B251:E253" si="80">B257+B263</f>
        <v>0</v>
      </c>
      <c r="C251" s="104">
        <f t="shared" si="80"/>
        <v>0</v>
      </c>
      <c r="D251" s="104">
        <f t="shared" si="80"/>
        <v>0</v>
      </c>
      <c r="E251" s="104">
        <f t="shared" si="80"/>
        <v>0</v>
      </c>
      <c r="F251" s="104"/>
      <c r="G251" s="104"/>
      <c r="H251" s="104">
        <f t="shared" si="79"/>
        <v>0</v>
      </c>
      <c r="I251" s="104">
        <f t="shared" si="79"/>
        <v>0</v>
      </c>
      <c r="J251" s="104">
        <f t="shared" si="79"/>
        <v>0</v>
      </c>
      <c r="K251" s="104">
        <f t="shared" si="79"/>
        <v>0</v>
      </c>
      <c r="L251" s="104">
        <f t="shared" si="79"/>
        <v>0</v>
      </c>
      <c r="M251" s="104">
        <f t="shared" si="79"/>
        <v>0</v>
      </c>
      <c r="N251" s="104">
        <f t="shared" si="79"/>
        <v>0</v>
      </c>
      <c r="O251" s="104">
        <f t="shared" si="79"/>
        <v>0</v>
      </c>
      <c r="P251" s="104">
        <f t="shared" si="79"/>
        <v>0</v>
      </c>
      <c r="Q251" s="104">
        <f t="shared" si="79"/>
        <v>0</v>
      </c>
      <c r="R251" s="104">
        <f t="shared" si="79"/>
        <v>0</v>
      </c>
      <c r="S251" s="104">
        <f t="shared" si="79"/>
        <v>0</v>
      </c>
      <c r="T251" s="104">
        <f t="shared" si="79"/>
        <v>0</v>
      </c>
      <c r="U251" s="104">
        <f t="shared" si="79"/>
        <v>0</v>
      </c>
      <c r="V251" s="104">
        <f t="shared" si="79"/>
        <v>0</v>
      </c>
      <c r="W251" s="104">
        <f t="shared" si="79"/>
        <v>0</v>
      </c>
      <c r="X251" s="104">
        <f t="shared" si="79"/>
        <v>0</v>
      </c>
      <c r="Y251" s="104">
        <f t="shared" si="79"/>
        <v>0</v>
      </c>
      <c r="Z251" s="104">
        <f t="shared" si="79"/>
        <v>0</v>
      </c>
      <c r="AA251" s="104">
        <f t="shared" si="79"/>
        <v>0</v>
      </c>
      <c r="AB251" s="104">
        <f t="shared" si="79"/>
        <v>0</v>
      </c>
      <c r="AC251" s="104">
        <f t="shared" si="79"/>
        <v>0</v>
      </c>
      <c r="AD251" s="104">
        <f t="shared" si="79"/>
        <v>0</v>
      </c>
      <c r="AE251" s="104">
        <f t="shared" si="79"/>
        <v>0</v>
      </c>
      <c r="AF251" s="98"/>
      <c r="AG251" s="99">
        <f t="shared" si="46"/>
        <v>0</v>
      </c>
    </row>
    <row r="252" spans="1:33" x14ac:dyDescent="0.3">
      <c r="A252" s="103" t="s">
        <v>33</v>
      </c>
      <c r="B252" s="104">
        <f t="shared" si="80"/>
        <v>64613.032820000015</v>
      </c>
      <c r="C252" s="104">
        <f>C258+C264</f>
        <v>64613.032820000008</v>
      </c>
      <c r="D252" s="104">
        <f t="shared" si="80"/>
        <v>64613.037299999996</v>
      </c>
      <c r="E252" s="104">
        <f t="shared" si="80"/>
        <v>64613.037299999996</v>
      </c>
      <c r="F252" s="104">
        <f>IFERROR(E252/B252*100,0)</f>
        <v>100.00000693358567</v>
      </c>
      <c r="G252" s="104">
        <f>IFERROR(E252/C252*100,0)</f>
        <v>100.00000693358568</v>
      </c>
      <c r="H252" s="104">
        <f t="shared" si="79"/>
        <v>2008.0666200000001</v>
      </c>
      <c r="I252" s="104">
        <f t="shared" si="79"/>
        <v>1472.63</v>
      </c>
      <c r="J252" s="104">
        <f t="shared" si="79"/>
        <v>4844.0766199999998</v>
      </c>
      <c r="K252" s="104">
        <f t="shared" si="79"/>
        <v>4844.08</v>
      </c>
      <c r="L252" s="104">
        <f t="shared" si="79"/>
        <v>8715.1966200000006</v>
      </c>
      <c r="M252" s="104">
        <f t="shared" si="79"/>
        <v>8717.51</v>
      </c>
      <c r="N252" s="104">
        <f t="shared" si="79"/>
        <v>11384.37</v>
      </c>
      <c r="O252" s="104">
        <f t="shared" si="79"/>
        <v>11046.580000000002</v>
      </c>
      <c r="P252" s="104">
        <f t="shared" si="79"/>
        <v>4503.6915099999997</v>
      </c>
      <c r="Q252" s="104">
        <f t="shared" si="79"/>
        <v>4503.6899999999996</v>
      </c>
      <c r="R252" s="104">
        <f t="shared" si="79"/>
        <v>5380.8022900000005</v>
      </c>
      <c r="S252" s="104">
        <f t="shared" si="79"/>
        <v>5665.47</v>
      </c>
      <c r="T252" s="104">
        <f t="shared" si="79"/>
        <v>5320.5766200000007</v>
      </c>
      <c r="U252" s="104">
        <f t="shared" si="79"/>
        <v>5320.58</v>
      </c>
      <c r="V252" s="104">
        <f t="shared" si="79"/>
        <v>5905.4991300000002</v>
      </c>
      <c r="W252" s="104">
        <f t="shared" si="79"/>
        <v>5581.5</v>
      </c>
      <c r="X252" s="104">
        <f t="shared" si="79"/>
        <v>3462.58662</v>
      </c>
      <c r="Y252" s="104">
        <f t="shared" si="79"/>
        <v>3494.4472999999998</v>
      </c>
      <c r="Z252" s="104">
        <f t="shared" si="79"/>
        <v>5424.8688499999989</v>
      </c>
      <c r="AA252" s="104">
        <f t="shared" si="79"/>
        <v>5207.6000000000004</v>
      </c>
      <c r="AB252" s="104">
        <f t="shared" si="79"/>
        <v>6347.4296200000008</v>
      </c>
      <c r="AC252" s="104">
        <f t="shared" si="79"/>
        <v>6347.43</v>
      </c>
      <c r="AD252" s="104">
        <f t="shared" si="79"/>
        <v>1315.86832</v>
      </c>
      <c r="AE252" s="104">
        <f t="shared" si="79"/>
        <v>2411.52</v>
      </c>
      <c r="AF252" s="98"/>
      <c r="AG252" s="99">
        <f t="shared" si="46"/>
        <v>1.5916157281026244E-11</v>
      </c>
    </row>
    <row r="253" spans="1:33" x14ac:dyDescent="0.3">
      <c r="A253" s="103" t="s">
        <v>170</v>
      </c>
      <c r="B253" s="104">
        <f t="shared" si="80"/>
        <v>0</v>
      </c>
      <c r="C253" s="104">
        <f t="shared" si="80"/>
        <v>0</v>
      </c>
      <c r="D253" s="104">
        <f t="shared" si="80"/>
        <v>0</v>
      </c>
      <c r="E253" s="104">
        <f t="shared" si="80"/>
        <v>0</v>
      </c>
      <c r="F253" s="104"/>
      <c r="G253" s="104"/>
      <c r="H253" s="104">
        <f t="shared" si="79"/>
        <v>0</v>
      </c>
      <c r="I253" s="104">
        <f t="shared" si="79"/>
        <v>0</v>
      </c>
      <c r="J253" s="104">
        <f t="shared" si="79"/>
        <v>0</v>
      </c>
      <c r="K253" s="104">
        <f t="shared" si="79"/>
        <v>0</v>
      </c>
      <c r="L253" s="104">
        <f t="shared" si="79"/>
        <v>0</v>
      </c>
      <c r="M253" s="104">
        <f t="shared" si="79"/>
        <v>0</v>
      </c>
      <c r="N253" s="104">
        <f t="shared" si="79"/>
        <v>0</v>
      </c>
      <c r="O253" s="104">
        <f t="shared" si="79"/>
        <v>0</v>
      </c>
      <c r="P253" s="104">
        <f t="shared" si="79"/>
        <v>0</v>
      </c>
      <c r="Q253" s="104">
        <f t="shared" si="79"/>
        <v>0</v>
      </c>
      <c r="R253" s="104">
        <f t="shared" si="79"/>
        <v>0</v>
      </c>
      <c r="S253" s="104">
        <f t="shared" si="79"/>
        <v>0</v>
      </c>
      <c r="T253" s="104">
        <f t="shared" si="79"/>
        <v>0</v>
      </c>
      <c r="U253" s="104">
        <f t="shared" si="79"/>
        <v>0</v>
      </c>
      <c r="V253" s="104">
        <f t="shared" si="79"/>
        <v>0</v>
      </c>
      <c r="W253" s="104">
        <f t="shared" si="79"/>
        <v>0</v>
      </c>
      <c r="X253" s="104">
        <f t="shared" si="79"/>
        <v>0</v>
      </c>
      <c r="Y253" s="104">
        <f t="shared" si="79"/>
        <v>0</v>
      </c>
      <c r="Z253" s="104">
        <f t="shared" si="79"/>
        <v>0</v>
      </c>
      <c r="AA253" s="104">
        <f t="shared" si="79"/>
        <v>0</v>
      </c>
      <c r="AB253" s="104">
        <f t="shared" si="79"/>
        <v>0</v>
      </c>
      <c r="AC253" s="104">
        <f t="shared" si="79"/>
        <v>0</v>
      </c>
      <c r="AD253" s="104">
        <f t="shared" si="79"/>
        <v>0</v>
      </c>
      <c r="AE253" s="104">
        <f t="shared" si="79"/>
        <v>0</v>
      </c>
      <c r="AF253" s="98"/>
      <c r="AG253" s="99">
        <f t="shared" si="46"/>
        <v>0</v>
      </c>
    </row>
    <row r="254" spans="1:33" ht="61.5" customHeight="1" x14ac:dyDescent="0.3">
      <c r="A254" s="713" t="s">
        <v>523</v>
      </c>
      <c r="B254" s="106"/>
      <c r="C254" s="107"/>
      <c r="D254" s="107"/>
      <c r="E254" s="107"/>
      <c r="F254" s="107"/>
      <c r="G254" s="107"/>
      <c r="H254" s="108"/>
      <c r="I254" s="108"/>
      <c r="J254" s="108"/>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29"/>
      <c r="AG254" s="99">
        <f t="shared" si="46"/>
        <v>0</v>
      </c>
    </row>
    <row r="255" spans="1:33" x14ac:dyDescent="0.3">
      <c r="A255" s="109" t="s">
        <v>31</v>
      </c>
      <c r="B255" s="110">
        <f>B257+B258+B256+B259</f>
        <v>52103.100000000013</v>
      </c>
      <c r="C255" s="110">
        <f>C257+C258+C256+C259</f>
        <v>52103.100000000006</v>
      </c>
      <c r="D255" s="111">
        <f>D257+D258+D256+D259</f>
        <v>52103.102499999994</v>
      </c>
      <c r="E255" s="110">
        <f>E257+E258+E256+E259</f>
        <v>52103.102499999994</v>
      </c>
      <c r="F255" s="110">
        <f>IFERROR(E255/B255*100,0)</f>
        <v>100.00000479817896</v>
      </c>
      <c r="G255" s="110">
        <f>IFERROR(E255/C255*100,0)</f>
        <v>100.00000479817896</v>
      </c>
      <c r="H255" s="110">
        <f t="shared" ref="H255:AE255" si="81">H257+H258+H256+H259</f>
        <v>1347.73</v>
      </c>
      <c r="I255" s="110">
        <f t="shared" si="81"/>
        <v>1347.73</v>
      </c>
      <c r="J255" s="110">
        <f t="shared" si="81"/>
        <v>3827.1</v>
      </c>
      <c r="K255" s="110">
        <f t="shared" si="81"/>
        <v>3827.1</v>
      </c>
      <c r="L255" s="110">
        <f t="shared" si="81"/>
        <v>7698.22</v>
      </c>
      <c r="M255" s="110">
        <f t="shared" si="81"/>
        <v>7698.22</v>
      </c>
      <c r="N255" s="110">
        <f t="shared" si="81"/>
        <v>10213.620000000001</v>
      </c>
      <c r="O255" s="110">
        <f t="shared" si="81"/>
        <v>10213.620000000001</v>
      </c>
      <c r="P255" s="110">
        <f t="shared" si="81"/>
        <v>3322.2</v>
      </c>
      <c r="Q255" s="110">
        <f t="shared" si="81"/>
        <v>3322.2</v>
      </c>
      <c r="R255" s="110">
        <f t="shared" si="81"/>
        <v>4351.7700000000004</v>
      </c>
      <c r="S255" s="110">
        <f t="shared" si="81"/>
        <v>4351.7700000000004</v>
      </c>
      <c r="T255" s="110">
        <f t="shared" si="81"/>
        <v>4303.6000000000004</v>
      </c>
      <c r="U255" s="110">
        <f t="shared" si="81"/>
        <v>4303.6000000000004</v>
      </c>
      <c r="V255" s="110">
        <f t="shared" si="81"/>
        <v>4886.1900000000005</v>
      </c>
      <c r="W255" s="110">
        <f t="shared" si="81"/>
        <v>4618.58</v>
      </c>
      <c r="X255" s="110">
        <f t="shared" si="81"/>
        <v>2447.9</v>
      </c>
      <c r="Y255" s="110">
        <f t="shared" si="81"/>
        <v>2715.5124999999998</v>
      </c>
      <c r="Z255" s="110">
        <f t="shared" si="81"/>
        <v>4397.4999999999991</v>
      </c>
      <c r="AA255" s="110">
        <f t="shared" si="81"/>
        <v>4397.5</v>
      </c>
      <c r="AB255" s="110">
        <f t="shared" si="81"/>
        <v>5307.27</v>
      </c>
      <c r="AC255" s="110">
        <f t="shared" si="81"/>
        <v>5307.27</v>
      </c>
      <c r="AD255" s="110">
        <f t="shared" si="81"/>
        <v>0</v>
      </c>
      <c r="AE255" s="110">
        <f t="shared" si="81"/>
        <v>0</v>
      </c>
      <c r="AF255" s="29"/>
      <c r="AG255" s="99">
        <f t="shared" si="46"/>
        <v>8.1854523159563541E-12</v>
      </c>
    </row>
    <row r="256" spans="1:33" x14ac:dyDescent="0.3">
      <c r="A256" s="112" t="s">
        <v>169</v>
      </c>
      <c r="B256" s="113">
        <f>J256+L256+N256+P256+R256+T256+V256+X256+Z256+AB256+AD256+H256</f>
        <v>0</v>
      </c>
      <c r="C256" s="114">
        <f>SUM(H256)</f>
        <v>0</v>
      </c>
      <c r="D256" s="115">
        <f>E256</f>
        <v>0</v>
      </c>
      <c r="E256" s="114">
        <f>SUM(I256,K256,M256,O256,Q256,S256,U256,W256,Y256,AA256,AC256,AE256)</f>
        <v>0</v>
      </c>
      <c r="F256" s="113">
        <f>IFERROR(E256/B256*100,0)</f>
        <v>0</v>
      </c>
      <c r="G256" s="113">
        <f>IFERROR(E256/C256*100,0)</f>
        <v>0</v>
      </c>
      <c r="H256" s="108"/>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29"/>
      <c r="AG256" s="99">
        <f t="shared" si="46"/>
        <v>0</v>
      </c>
    </row>
    <row r="257" spans="1:33" ht="42" customHeight="1" x14ac:dyDescent="0.3">
      <c r="A257" s="112" t="s">
        <v>32</v>
      </c>
      <c r="B257" s="113">
        <f>J257+L257+N257+P257+R257+T257+V257+X257+Z257+AB257+AD257+H257</f>
        <v>0</v>
      </c>
      <c r="C257" s="114">
        <f>SUM(H257)</f>
        <v>0</v>
      </c>
      <c r="D257" s="115">
        <f>E257</f>
        <v>0</v>
      </c>
      <c r="E257" s="114">
        <f>SUM(I257,K257,M257,O257,Q257,S257,U257,W257,Y257,AA257,AC257,AE257)</f>
        <v>0</v>
      </c>
      <c r="F257" s="113">
        <f>IFERROR(E257/B257*100,0)</f>
        <v>0</v>
      </c>
      <c r="G257" s="113">
        <f>IFERROR(E257/C257*100,0)</f>
        <v>0</v>
      </c>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29"/>
      <c r="AG257" s="99">
        <f t="shared" si="46"/>
        <v>0</v>
      </c>
    </row>
    <row r="258" spans="1:33" x14ac:dyDescent="0.3">
      <c r="A258" s="112" t="s">
        <v>33</v>
      </c>
      <c r="B258" s="113">
        <f>J258+L258+N258+P258+R258+T258+V258+X258+Z258+AB258+AD258+H258</f>
        <v>52103.100000000013</v>
      </c>
      <c r="C258" s="114">
        <f>H258+J258+L258+N258+P258+R258+T258+V258+X258+Z258+AB258</f>
        <v>52103.100000000006</v>
      </c>
      <c r="D258" s="115">
        <f>E258</f>
        <v>52103.102499999994</v>
      </c>
      <c r="E258" s="114">
        <f>SUM(I258,K258,M258,O258,Q258,S258,U258,W258,Y258,AA258,AC258,AE258)</f>
        <v>52103.102499999994</v>
      </c>
      <c r="F258" s="113">
        <f>IFERROR(E258/B258*100,0)</f>
        <v>100.00000479817896</v>
      </c>
      <c r="G258" s="113">
        <f>IFERROR(E258/C258*100,0)</f>
        <v>100.00000479817896</v>
      </c>
      <c r="H258" s="499">
        <v>1347.73</v>
      </c>
      <c r="I258" s="499">
        <v>1347.73</v>
      </c>
      <c r="J258" s="499">
        <v>3827.1</v>
      </c>
      <c r="K258" s="108">
        <v>3827.1</v>
      </c>
      <c r="L258" s="108">
        <v>7698.22</v>
      </c>
      <c r="M258" s="108">
        <v>7698.22</v>
      </c>
      <c r="N258" s="108">
        <v>10213.620000000001</v>
      </c>
      <c r="O258" s="108">
        <v>10213.620000000001</v>
      </c>
      <c r="P258" s="108">
        <v>3322.2</v>
      </c>
      <c r="Q258" s="108">
        <v>3322.2</v>
      </c>
      <c r="R258" s="108">
        <f>965.27+3386.5</f>
        <v>4351.7700000000004</v>
      </c>
      <c r="S258" s="108">
        <v>4351.7700000000004</v>
      </c>
      <c r="T258" s="108">
        <v>4303.6000000000004</v>
      </c>
      <c r="U258" s="108">
        <v>4303.6000000000004</v>
      </c>
      <c r="V258" s="108">
        <f>4932.89+2401.2-2447.9</f>
        <v>4886.1900000000005</v>
      </c>
      <c r="W258" s="108">
        <v>4618.58</v>
      </c>
      <c r="X258" s="108">
        <v>2447.9</v>
      </c>
      <c r="Y258" s="108">
        <v>2715.5124999999998</v>
      </c>
      <c r="Z258" s="108">
        <f>3713.5+5033.28-1489.91-2859.37</f>
        <v>4397.4999999999991</v>
      </c>
      <c r="AA258" s="108">
        <v>4397.5</v>
      </c>
      <c r="AB258" s="108">
        <f>2859.37+2447.9</f>
        <v>5307.27</v>
      </c>
      <c r="AC258" s="108">
        <v>5307.27</v>
      </c>
      <c r="AD258" s="108"/>
      <c r="AE258" s="108"/>
      <c r="AF258" s="29"/>
      <c r="AG258" s="99">
        <f t="shared" si="46"/>
        <v>8.1854523159563541E-12</v>
      </c>
    </row>
    <row r="259" spans="1:33" x14ac:dyDescent="0.3">
      <c r="A259" s="112" t="s">
        <v>170</v>
      </c>
      <c r="B259" s="113"/>
      <c r="C259" s="114"/>
      <c r="D259" s="115"/>
      <c r="E259" s="114"/>
      <c r="F259" s="113"/>
      <c r="G259" s="113"/>
      <c r="H259" s="499"/>
      <c r="I259" s="499"/>
      <c r="J259" s="499"/>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29"/>
      <c r="AG259" s="99">
        <f t="shared" si="46"/>
        <v>0</v>
      </c>
    </row>
    <row r="260" spans="1:33" ht="64.5" customHeight="1" x14ac:dyDescent="0.3">
      <c r="A260" s="713" t="s">
        <v>564</v>
      </c>
      <c r="B260" s="106"/>
      <c r="C260" s="107"/>
      <c r="D260" s="107"/>
      <c r="E260" s="107"/>
      <c r="F260" s="107"/>
      <c r="G260" s="107"/>
      <c r="H260" s="499"/>
      <c r="I260" s="499"/>
      <c r="J260" s="499"/>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29"/>
      <c r="AG260" s="99">
        <f t="shared" si="46"/>
        <v>0</v>
      </c>
    </row>
    <row r="261" spans="1:33" x14ac:dyDescent="0.3">
      <c r="A261" s="109" t="s">
        <v>31</v>
      </c>
      <c r="B261" s="110">
        <f>B263+B264+B262+B265</f>
        <v>12509.93282</v>
      </c>
      <c r="C261" s="110">
        <f>C263+C264+C262+C265</f>
        <v>12509.93282</v>
      </c>
      <c r="D261" s="111">
        <f>D263+D264+D262+D265</f>
        <v>12509.934800000001</v>
      </c>
      <c r="E261" s="110">
        <f>E263+E264+E262+E265</f>
        <v>12509.934800000001</v>
      </c>
      <c r="F261" s="110">
        <f>IFERROR(E261/B261*100,0)</f>
        <v>100.00001582742313</v>
      </c>
      <c r="G261" s="110">
        <f>IFERROR(E261/C261*100,0)</f>
        <v>100.00001582742313</v>
      </c>
      <c r="H261" s="718">
        <f t="shared" ref="H261:AE261" si="82">H263+H264+H262+H265</f>
        <v>660.33662000000004</v>
      </c>
      <c r="I261" s="718">
        <f t="shared" si="82"/>
        <v>124.9</v>
      </c>
      <c r="J261" s="718">
        <f t="shared" si="82"/>
        <v>1016.97662</v>
      </c>
      <c r="K261" s="110">
        <f t="shared" si="82"/>
        <v>1016.98</v>
      </c>
      <c r="L261" s="110">
        <f t="shared" si="82"/>
        <v>1016.97662</v>
      </c>
      <c r="M261" s="110">
        <f t="shared" si="82"/>
        <v>1019.29</v>
      </c>
      <c r="N261" s="110">
        <f t="shared" si="82"/>
        <v>1170.75</v>
      </c>
      <c r="O261" s="110">
        <f t="shared" si="82"/>
        <v>832.96</v>
      </c>
      <c r="P261" s="110">
        <f t="shared" si="82"/>
        <v>1181.4915100000001</v>
      </c>
      <c r="Q261" s="110">
        <f t="shared" si="82"/>
        <v>1181.49</v>
      </c>
      <c r="R261" s="110">
        <f t="shared" si="82"/>
        <v>1029.0322899999999</v>
      </c>
      <c r="S261" s="110">
        <f t="shared" si="82"/>
        <v>1313.7</v>
      </c>
      <c r="T261" s="110">
        <f t="shared" si="82"/>
        <v>1016.97662</v>
      </c>
      <c r="U261" s="110">
        <f t="shared" si="82"/>
        <v>1016.98</v>
      </c>
      <c r="V261" s="110">
        <f t="shared" si="82"/>
        <v>1019.30913</v>
      </c>
      <c r="W261" s="110">
        <f t="shared" si="82"/>
        <v>962.92</v>
      </c>
      <c r="X261" s="110">
        <f t="shared" si="82"/>
        <v>1014.6866200000001</v>
      </c>
      <c r="Y261" s="110">
        <f t="shared" si="82"/>
        <v>778.9348</v>
      </c>
      <c r="Z261" s="110">
        <f t="shared" si="82"/>
        <v>1027.3688500000001</v>
      </c>
      <c r="AA261" s="110">
        <f t="shared" si="82"/>
        <v>810.1</v>
      </c>
      <c r="AB261" s="110">
        <f t="shared" si="82"/>
        <v>1040.1596200000001</v>
      </c>
      <c r="AC261" s="110">
        <f t="shared" si="82"/>
        <v>1040.1600000000001</v>
      </c>
      <c r="AD261" s="110">
        <f t="shared" si="82"/>
        <v>1315.86832</v>
      </c>
      <c r="AE261" s="110">
        <f t="shared" si="82"/>
        <v>2411.52</v>
      </c>
      <c r="AF261" s="29"/>
      <c r="AG261" s="99">
        <f t="shared" si="46"/>
        <v>0</v>
      </c>
    </row>
    <row r="262" spans="1:33" x14ac:dyDescent="0.3">
      <c r="A262" s="112" t="s">
        <v>169</v>
      </c>
      <c r="B262" s="113">
        <f>J262+L262+N262+P262+R262+T262+V262+X262+Z262+AB262+AD262+H262</f>
        <v>0</v>
      </c>
      <c r="C262" s="114">
        <f>SUM(H262)</f>
        <v>0</v>
      </c>
      <c r="D262" s="115">
        <f>E262</f>
        <v>0</v>
      </c>
      <c r="E262" s="114">
        <f>SUM(I262,K262,M262,O262,Q262,S262,U262,W262,Y262,AA262,AC262,AE262)</f>
        <v>0</v>
      </c>
      <c r="F262" s="113">
        <f>IFERROR(E262/B262*100,0)</f>
        <v>0</v>
      </c>
      <c r="G262" s="113">
        <f>IFERROR(E262/C262*100,0)</f>
        <v>0</v>
      </c>
      <c r="H262" s="499"/>
      <c r="I262" s="499"/>
      <c r="J262" s="499"/>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29"/>
      <c r="AG262" s="99">
        <f t="shared" si="46"/>
        <v>0</v>
      </c>
    </row>
    <row r="263" spans="1:33" x14ac:dyDescent="0.3">
      <c r="A263" s="112" t="s">
        <v>32</v>
      </c>
      <c r="B263" s="113">
        <f>J263+L263+N263+P263+R263+T263+V263+X263+Z263+AB263+AD263+H263</f>
        <v>0</v>
      </c>
      <c r="C263" s="114">
        <f>SUM(H263)</f>
        <v>0</v>
      </c>
      <c r="D263" s="115">
        <f>E263</f>
        <v>0</v>
      </c>
      <c r="E263" s="114">
        <f>SUM(I263,K263,M263,O263,Q263,S263,U263,W263,Y263,AA263,AC263,AE263)</f>
        <v>0</v>
      </c>
      <c r="F263" s="113">
        <f>IFERROR(E263/B263*100,0)</f>
        <v>0</v>
      </c>
      <c r="G263" s="113">
        <f>IFERROR(E263/C263*100,0)</f>
        <v>0</v>
      </c>
      <c r="H263" s="499"/>
      <c r="I263" s="499"/>
      <c r="J263" s="499"/>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29"/>
      <c r="AG263" s="99">
        <f t="shared" si="46"/>
        <v>0</v>
      </c>
    </row>
    <row r="264" spans="1:33" x14ac:dyDescent="0.3">
      <c r="A264" s="112" t="s">
        <v>33</v>
      </c>
      <c r="B264" s="594">
        <f>J264+L264+N264+P264+R264+T264+V264+X264+Z264+AB264+AD264+H264</f>
        <v>12509.93282</v>
      </c>
      <c r="C264" s="114">
        <f>H264+J264+L264+N264+P264+R264+T264+V264+X264+Z264+AB264+AD264</f>
        <v>12509.93282</v>
      </c>
      <c r="D264" s="115">
        <f>E264</f>
        <v>12509.934800000001</v>
      </c>
      <c r="E264" s="114">
        <f>SUM(I264,K264,M264,O264,Q264,S264,U264,W264,Y264,AA264,AC264,AE264)</f>
        <v>12509.934800000001</v>
      </c>
      <c r="F264" s="113">
        <f>IFERROR(E264/B264*100,0)</f>
        <v>100.00001582742313</v>
      </c>
      <c r="G264" s="113">
        <f>IFERROR(E264/C264*100,0)</f>
        <v>100.00001582742313</v>
      </c>
      <c r="H264" s="499">
        <v>660.33662000000004</v>
      </c>
      <c r="I264" s="499">
        <v>124.9</v>
      </c>
      <c r="J264" s="499">
        <v>1016.97662</v>
      </c>
      <c r="K264" s="108">
        <v>1016.98</v>
      </c>
      <c r="L264" s="108">
        <v>1016.97662</v>
      </c>
      <c r="M264" s="108">
        <f>2.31+1016.98</f>
        <v>1019.29</v>
      </c>
      <c r="N264" s="108">
        <v>1170.75</v>
      </c>
      <c r="O264" s="108">
        <v>832.96</v>
      </c>
      <c r="P264" s="108">
        <v>1181.4915100000001</v>
      </c>
      <c r="Q264" s="108">
        <v>1181.49</v>
      </c>
      <c r="R264" s="108">
        <f>2.29+1026.74229</f>
        <v>1029.0322899999999</v>
      </c>
      <c r="S264" s="108">
        <v>1313.7</v>
      </c>
      <c r="T264" s="108">
        <v>1016.97662</v>
      </c>
      <c r="U264" s="108">
        <v>1016.98</v>
      </c>
      <c r="V264" s="108">
        <f>1003.45+1030.54083-1014.6817</f>
        <v>1019.30913</v>
      </c>
      <c r="W264" s="108">
        <v>962.92</v>
      </c>
      <c r="X264" s="108">
        <f>1016.97662-2.29</f>
        <v>1014.6866200000001</v>
      </c>
      <c r="Y264" s="108">
        <v>778.9348</v>
      </c>
      <c r="Z264" s="108">
        <v>1027.3688500000001</v>
      </c>
      <c r="AA264" s="108">
        <v>810.1</v>
      </c>
      <c r="AB264" s="108">
        <f>1061.43962-21.28</f>
        <v>1040.1596200000001</v>
      </c>
      <c r="AC264" s="108">
        <v>1040.1600000000001</v>
      </c>
      <c r="AD264" s="108">
        <f>1304.63662-1003.45+1014.6817</f>
        <v>1315.86832</v>
      </c>
      <c r="AE264" s="108">
        <f>1095.65+1315.87</f>
        <v>2411.52</v>
      </c>
      <c r="AF264" s="29"/>
      <c r="AG264" s="99">
        <f t="shared" si="46"/>
        <v>0</v>
      </c>
    </row>
    <row r="265" spans="1:33" x14ac:dyDescent="0.3">
      <c r="A265" s="112" t="s">
        <v>170</v>
      </c>
      <c r="B265" s="113"/>
      <c r="C265" s="114"/>
      <c r="D265" s="115"/>
      <c r="E265" s="114"/>
      <c r="F265" s="113"/>
      <c r="G265" s="113"/>
      <c r="H265" s="108"/>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29"/>
      <c r="AG265" s="99">
        <f t="shared" si="46"/>
        <v>0</v>
      </c>
    </row>
    <row r="266" spans="1:33" x14ac:dyDescent="0.3">
      <c r="A266" s="1163" t="s">
        <v>298</v>
      </c>
      <c r="B266" s="1164"/>
      <c r="C266" s="1164"/>
      <c r="D266" s="1164"/>
      <c r="E266" s="1164"/>
      <c r="F266" s="1164"/>
      <c r="G266" s="1164"/>
      <c r="H266" s="1164"/>
      <c r="I266" s="1164"/>
      <c r="J266" s="1164"/>
      <c r="K266" s="1164"/>
      <c r="L266" s="1164"/>
      <c r="M266" s="1164"/>
      <c r="N266" s="1164"/>
      <c r="O266" s="1164"/>
      <c r="P266" s="1164"/>
      <c r="Q266" s="1164"/>
      <c r="R266" s="1164"/>
      <c r="S266" s="1164"/>
      <c r="T266" s="1164"/>
      <c r="U266" s="1164"/>
      <c r="V266" s="1164"/>
      <c r="W266" s="1164"/>
      <c r="X266" s="1164"/>
      <c r="Y266" s="1164"/>
      <c r="Z266" s="1164"/>
      <c r="AA266" s="1164"/>
      <c r="AB266" s="1164"/>
      <c r="AC266" s="1164"/>
      <c r="AD266" s="1164"/>
      <c r="AE266" s="1164"/>
      <c r="AF266" s="1165"/>
      <c r="AG266" s="99">
        <f t="shared" si="46"/>
        <v>0</v>
      </c>
    </row>
    <row r="267" spans="1:33" s="94" customFormat="1" x14ac:dyDescent="0.3">
      <c r="A267" s="1163" t="s">
        <v>167</v>
      </c>
      <c r="B267" s="1164"/>
      <c r="C267" s="1164"/>
      <c r="D267" s="1164"/>
      <c r="E267" s="1164"/>
      <c r="F267" s="1164"/>
      <c r="G267" s="1164"/>
      <c r="H267" s="1164"/>
      <c r="I267" s="1164"/>
      <c r="J267" s="1164"/>
      <c r="K267" s="1164"/>
      <c r="L267" s="1164"/>
      <c r="M267" s="1164"/>
      <c r="N267" s="1164"/>
      <c r="O267" s="1164"/>
      <c r="P267" s="1164"/>
      <c r="Q267" s="1164"/>
      <c r="R267" s="1164"/>
      <c r="S267" s="1164"/>
      <c r="T267" s="1164"/>
      <c r="U267" s="1164"/>
      <c r="V267" s="1164"/>
      <c r="W267" s="1164"/>
      <c r="X267" s="1164"/>
      <c r="Y267" s="1164"/>
      <c r="Z267" s="1164"/>
      <c r="AA267" s="1164"/>
      <c r="AB267" s="1164"/>
      <c r="AC267" s="1164"/>
      <c r="AD267" s="1164"/>
      <c r="AE267" s="1164"/>
      <c r="AF267" s="1165"/>
    </row>
    <row r="268" spans="1:33" ht="56.25" customHeight="1" x14ac:dyDescent="0.3">
      <c r="A268" s="95" t="s">
        <v>299</v>
      </c>
      <c r="B268" s="96"/>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c r="AA268" s="97"/>
      <c r="AB268" s="97"/>
      <c r="AC268" s="97"/>
      <c r="AD268" s="97"/>
      <c r="AE268" s="97"/>
      <c r="AF268" s="98"/>
      <c r="AG268" s="99">
        <f>B268-H268-J268-L268-N268-P268-R268-T268-V268-X268-Z268-AB268-AD268</f>
        <v>0</v>
      </c>
    </row>
    <row r="269" spans="1:33" x14ac:dyDescent="0.3">
      <c r="A269" s="100" t="s">
        <v>31</v>
      </c>
      <c r="B269" s="101">
        <f>B270+B271+B272+B273</f>
        <v>1027679.0300000001</v>
      </c>
      <c r="C269" s="101">
        <f>C270+C271+C272+C273</f>
        <v>1027679.0300000001</v>
      </c>
      <c r="D269" s="101">
        <f>D270+D271+D272+D273</f>
        <v>641680.2300000001</v>
      </c>
      <c r="E269" s="101">
        <f>E270+E271+E272+E273</f>
        <v>641680.2300000001</v>
      </c>
      <c r="F269" s="102">
        <f>IFERROR(E269/B269*100,0)</f>
        <v>62.43975125190596</v>
      </c>
      <c r="G269" s="102">
        <f>IFERROR(E269/C269*100,0)</f>
        <v>62.43975125190596</v>
      </c>
      <c r="H269" s="101">
        <f>H270+H271+H272+H273</f>
        <v>0</v>
      </c>
      <c r="I269" s="101">
        <f t="shared" ref="I269:AE269" si="83">I270+I271+I272+I273</f>
        <v>0</v>
      </c>
      <c r="J269" s="101">
        <f t="shared" si="83"/>
        <v>0</v>
      </c>
      <c r="K269" s="101">
        <f t="shared" si="83"/>
        <v>0</v>
      </c>
      <c r="L269" s="101">
        <f t="shared" si="83"/>
        <v>0</v>
      </c>
      <c r="M269" s="101">
        <f t="shared" si="83"/>
        <v>0</v>
      </c>
      <c r="N269" s="101">
        <f t="shared" si="83"/>
        <v>0</v>
      </c>
      <c r="O269" s="101">
        <f t="shared" si="83"/>
        <v>0</v>
      </c>
      <c r="P269" s="101">
        <f t="shared" si="83"/>
        <v>0</v>
      </c>
      <c r="Q269" s="101">
        <f t="shared" si="83"/>
        <v>0</v>
      </c>
      <c r="R269" s="101">
        <f t="shared" si="83"/>
        <v>0</v>
      </c>
      <c r="S269" s="101">
        <f t="shared" si="83"/>
        <v>0</v>
      </c>
      <c r="T269" s="101">
        <f t="shared" si="83"/>
        <v>0</v>
      </c>
      <c r="U269" s="101">
        <f t="shared" si="83"/>
        <v>0</v>
      </c>
      <c r="V269" s="101">
        <f t="shared" si="83"/>
        <v>0</v>
      </c>
      <c r="W269" s="101">
        <f t="shared" si="83"/>
        <v>0</v>
      </c>
      <c r="X269" s="101">
        <f t="shared" si="83"/>
        <v>48677.57</v>
      </c>
      <c r="Y269" s="101">
        <f t="shared" si="83"/>
        <v>48677.57</v>
      </c>
      <c r="Z269" s="101">
        <f t="shared" si="83"/>
        <v>0</v>
      </c>
      <c r="AA269" s="101">
        <f t="shared" si="83"/>
        <v>0</v>
      </c>
      <c r="AB269" s="101">
        <f t="shared" si="83"/>
        <v>497645.47000000003</v>
      </c>
      <c r="AC269" s="101">
        <f t="shared" si="83"/>
        <v>0</v>
      </c>
      <c r="AD269" s="101">
        <f t="shared" si="83"/>
        <v>481355.99000000005</v>
      </c>
      <c r="AE269" s="101">
        <f t="shared" si="83"/>
        <v>593002.66</v>
      </c>
      <c r="AF269" s="98"/>
      <c r="AG269" s="99">
        <f t="shared" ref="AG269:AG279" si="84">B269-H269-J269-L269-N269-P269-R269-T269-V269-X269-Z269-AB269-AD269</f>
        <v>0</v>
      </c>
    </row>
    <row r="270" spans="1:33" x14ac:dyDescent="0.3">
      <c r="A270" s="103" t="s">
        <v>169</v>
      </c>
      <c r="B270" s="104">
        <f>B276</f>
        <v>210592.50000000003</v>
      </c>
      <c r="C270" s="104">
        <f>C276</f>
        <v>210592.50000000003</v>
      </c>
      <c r="D270" s="104">
        <f>D276</f>
        <v>210592.5</v>
      </c>
      <c r="E270" s="104">
        <f>E276</f>
        <v>210592.5</v>
      </c>
      <c r="F270" s="104">
        <f>IFERROR(E270/B270*100,0)</f>
        <v>99.999999999999986</v>
      </c>
      <c r="G270" s="104">
        <f>IFERROR(E270/C270*100,0)</f>
        <v>99.999999999999986</v>
      </c>
      <c r="H270" s="104">
        <f t="shared" ref="H270:AE273" si="85">H276</f>
        <v>0</v>
      </c>
      <c r="I270" s="104">
        <f t="shared" si="85"/>
        <v>0</v>
      </c>
      <c r="J270" s="104">
        <f t="shared" si="85"/>
        <v>0</v>
      </c>
      <c r="K270" s="104">
        <f t="shared" si="85"/>
        <v>0</v>
      </c>
      <c r="L270" s="104">
        <f t="shared" si="85"/>
        <v>0</v>
      </c>
      <c r="M270" s="104">
        <f t="shared" si="85"/>
        <v>0</v>
      </c>
      <c r="N270" s="104">
        <f t="shared" si="85"/>
        <v>0</v>
      </c>
      <c r="O270" s="104">
        <f t="shared" si="85"/>
        <v>0</v>
      </c>
      <c r="P270" s="104">
        <f t="shared" si="85"/>
        <v>0</v>
      </c>
      <c r="Q270" s="104">
        <f t="shared" si="85"/>
        <v>0</v>
      </c>
      <c r="R270" s="104">
        <f t="shared" si="85"/>
        <v>0</v>
      </c>
      <c r="S270" s="104">
        <f t="shared" si="85"/>
        <v>0</v>
      </c>
      <c r="T270" s="104">
        <f t="shared" si="85"/>
        <v>0</v>
      </c>
      <c r="U270" s="104">
        <f t="shared" si="85"/>
        <v>0</v>
      </c>
      <c r="V270" s="104">
        <f t="shared" si="85"/>
        <v>0</v>
      </c>
      <c r="W270" s="104">
        <f t="shared" si="85"/>
        <v>0</v>
      </c>
      <c r="X270" s="104">
        <f t="shared" si="85"/>
        <v>19714.41</v>
      </c>
      <c r="Y270" s="104">
        <f t="shared" si="85"/>
        <v>19714.41</v>
      </c>
      <c r="Z270" s="104">
        <f t="shared" si="85"/>
        <v>0</v>
      </c>
      <c r="AA270" s="104">
        <f t="shared" si="85"/>
        <v>0</v>
      </c>
      <c r="AB270" s="104">
        <f t="shared" si="85"/>
        <v>190878.09000000003</v>
      </c>
      <c r="AC270" s="104">
        <f t="shared" si="85"/>
        <v>0</v>
      </c>
      <c r="AD270" s="104">
        <f t="shared" si="85"/>
        <v>0</v>
      </c>
      <c r="AE270" s="104">
        <f t="shared" si="85"/>
        <v>190878.09</v>
      </c>
      <c r="AF270" s="98"/>
      <c r="AG270" s="99">
        <f t="shared" si="84"/>
        <v>0</v>
      </c>
    </row>
    <row r="271" spans="1:33" x14ac:dyDescent="0.3">
      <c r="A271" s="103" t="s">
        <v>32</v>
      </c>
      <c r="B271" s="104">
        <f t="shared" ref="B271:E273" si="86">B277</f>
        <v>424701.10000000009</v>
      </c>
      <c r="C271" s="104">
        <f t="shared" si="86"/>
        <v>424701.10000000009</v>
      </c>
      <c r="D271" s="104">
        <f t="shared" si="86"/>
        <v>366919.68000000005</v>
      </c>
      <c r="E271" s="104">
        <f t="shared" si="86"/>
        <v>366919.68000000005</v>
      </c>
      <c r="F271" s="104">
        <f>IFERROR(E271/B271*100,0)</f>
        <v>86.394803309904304</v>
      </c>
      <c r="G271" s="104">
        <f>IFERROR(E271/C271*100,0)</f>
        <v>86.394803309904304</v>
      </c>
      <c r="H271" s="104">
        <f t="shared" si="85"/>
        <v>0</v>
      </c>
      <c r="I271" s="104">
        <f t="shared" si="85"/>
        <v>0</v>
      </c>
      <c r="J271" s="104">
        <f t="shared" si="85"/>
        <v>0</v>
      </c>
      <c r="K271" s="104">
        <f t="shared" si="85"/>
        <v>0</v>
      </c>
      <c r="L271" s="104">
        <f t="shared" si="85"/>
        <v>0</v>
      </c>
      <c r="M271" s="104">
        <f t="shared" si="85"/>
        <v>0</v>
      </c>
      <c r="N271" s="104">
        <f t="shared" si="85"/>
        <v>0</v>
      </c>
      <c r="O271" s="104">
        <f t="shared" si="85"/>
        <v>0</v>
      </c>
      <c r="P271" s="104">
        <f t="shared" si="85"/>
        <v>0</v>
      </c>
      <c r="Q271" s="104">
        <f t="shared" si="85"/>
        <v>0</v>
      </c>
      <c r="R271" s="104">
        <f t="shared" si="85"/>
        <v>0</v>
      </c>
      <c r="S271" s="104">
        <f t="shared" si="85"/>
        <v>0</v>
      </c>
      <c r="T271" s="104">
        <f t="shared" si="85"/>
        <v>0</v>
      </c>
      <c r="U271" s="104">
        <f t="shared" si="85"/>
        <v>0</v>
      </c>
      <c r="V271" s="104">
        <f t="shared" si="85"/>
        <v>0</v>
      </c>
      <c r="W271" s="104">
        <f t="shared" si="85"/>
        <v>0</v>
      </c>
      <c r="X271" s="104">
        <f t="shared" si="85"/>
        <v>24095.4</v>
      </c>
      <c r="Y271" s="104">
        <f t="shared" si="85"/>
        <v>24095.4</v>
      </c>
      <c r="Z271" s="104">
        <f t="shared" si="85"/>
        <v>0</v>
      </c>
      <c r="AA271" s="104">
        <f t="shared" si="85"/>
        <v>0</v>
      </c>
      <c r="AB271" s="104">
        <f t="shared" si="85"/>
        <v>246842.3</v>
      </c>
      <c r="AC271" s="104">
        <f t="shared" si="85"/>
        <v>0</v>
      </c>
      <c r="AD271" s="104">
        <f t="shared" si="85"/>
        <v>153763.40000000005</v>
      </c>
      <c r="AE271" s="104">
        <f t="shared" si="85"/>
        <v>342824.28</v>
      </c>
      <c r="AF271" s="98"/>
      <c r="AG271" s="99">
        <f t="shared" si="84"/>
        <v>0</v>
      </c>
    </row>
    <row r="272" spans="1:33" x14ac:dyDescent="0.3">
      <c r="A272" s="103" t="s">
        <v>33</v>
      </c>
      <c r="B272" s="104">
        <f>B278</f>
        <v>70596.430000000008</v>
      </c>
      <c r="C272" s="104">
        <f t="shared" si="86"/>
        <v>70596.430000000008</v>
      </c>
      <c r="D272" s="104">
        <f t="shared" si="86"/>
        <v>64168.05</v>
      </c>
      <c r="E272" s="104">
        <f t="shared" si="86"/>
        <v>64168.05</v>
      </c>
      <c r="F272" s="104">
        <f>IFERROR(E272/B272*100,0)</f>
        <v>90.89418544252166</v>
      </c>
      <c r="G272" s="104">
        <f>IFERROR(E272/C272*100,0)</f>
        <v>90.89418544252166</v>
      </c>
      <c r="H272" s="104">
        <f t="shared" si="85"/>
        <v>0</v>
      </c>
      <c r="I272" s="104">
        <f t="shared" si="85"/>
        <v>0</v>
      </c>
      <c r="J272" s="104">
        <f t="shared" si="85"/>
        <v>0</v>
      </c>
      <c r="K272" s="104">
        <f t="shared" si="85"/>
        <v>0</v>
      </c>
      <c r="L272" s="104">
        <f t="shared" si="85"/>
        <v>0</v>
      </c>
      <c r="M272" s="104">
        <f t="shared" si="85"/>
        <v>0</v>
      </c>
      <c r="N272" s="104">
        <f t="shared" si="85"/>
        <v>0</v>
      </c>
      <c r="O272" s="104">
        <f t="shared" si="85"/>
        <v>0</v>
      </c>
      <c r="P272" s="104">
        <f t="shared" si="85"/>
        <v>0</v>
      </c>
      <c r="Q272" s="104">
        <f t="shared" si="85"/>
        <v>0</v>
      </c>
      <c r="R272" s="104">
        <f t="shared" si="85"/>
        <v>0</v>
      </c>
      <c r="S272" s="104">
        <f t="shared" si="85"/>
        <v>0</v>
      </c>
      <c r="T272" s="104">
        <f t="shared" si="85"/>
        <v>0</v>
      </c>
      <c r="U272" s="104">
        <f t="shared" si="85"/>
        <v>0</v>
      </c>
      <c r="V272" s="104">
        <f t="shared" si="85"/>
        <v>0</v>
      </c>
      <c r="W272" s="104">
        <f t="shared" si="85"/>
        <v>0</v>
      </c>
      <c r="X272" s="104">
        <f t="shared" si="85"/>
        <v>4867.76</v>
      </c>
      <c r="Y272" s="104">
        <f t="shared" si="85"/>
        <v>4867.76</v>
      </c>
      <c r="Z272" s="104">
        <f t="shared" si="85"/>
        <v>0</v>
      </c>
      <c r="AA272" s="104">
        <f t="shared" si="85"/>
        <v>0</v>
      </c>
      <c r="AB272" s="104">
        <f t="shared" si="85"/>
        <v>49867.14</v>
      </c>
      <c r="AC272" s="104">
        <f t="shared" si="85"/>
        <v>0</v>
      </c>
      <c r="AD272" s="104">
        <f>AD278</f>
        <v>15861.530000000002</v>
      </c>
      <c r="AE272" s="104">
        <f t="shared" si="85"/>
        <v>59300.29</v>
      </c>
      <c r="AF272" s="98"/>
      <c r="AG272" s="99">
        <f t="shared" si="84"/>
        <v>0</v>
      </c>
    </row>
    <row r="273" spans="1:33" x14ac:dyDescent="0.3">
      <c r="A273" s="103" t="s">
        <v>170</v>
      </c>
      <c r="B273" s="104">
        <f t="shared" si="86"/>
        <v>321789</v>
      </c>
      <c r="C273" s="104">
        <f t="shared" si="86"/>
        <v>321789</v>
      </c>
      <c r="D273" s="104">
        <f t="shared" si="86"/>
        <v>0</v>
      </c>
      <c r="E273" s="104">
        <f t="shared" si="86"/>
        <v>0</v>
      </c>
      <c r="F273" s="104">
        <f>IFERROR(E273/B273*100,0)</f>
        <v>0</v>
      </c>
      <c r="G273" s="104">
        <f>IFERROR(E273/C273*100,0)</f>
        <v>0</v>
      </c>
      <c r="H273" s="104">
        <f t="shared" si="85"/>
        <v>0</v>
      </c>
      <c r="I273" s="104">
        <f t="shared" si="85"/>
        <v>0</v>
      </c>
      <c r="J273" s="104">
        <f t="shared" si="85"/>
        <v>0</v>
      </c>
      <c r="K273" s="104">
        <f t="shared" si="85"/>
        <v>0</v>
      </c>
      <c r="L273" s="104">
        <f t="shared" si="85"/>
        <v>0</v>
      </c>
      <c r="M273" s="104">
        <f t="shared" si="85"/>
        <v>0</v>
      </c>
      <c r="N273" s="104">
        <f t="shared" si="85"/>
        <v>0</v>
      </c>
      <c r="O273" s="104">
        <f t="shared" si="85"/>
        <v>0</v>
      </c>
      <c r="P273" s="104">
        <f t="shared" si="85"/>
        <v>0</v>
      </c>
      <c r="Q273" s="104">
        <f t="shared" si="85"/>
        <v>0</v>
      </c>
      <c r="R273" s="104">
        <f t="shared" si="85"/>
        <v>0</v>
      </c>
      <c r="S273" s="104">
        <f t="shared" si="85"/>
        <v>0</v>
      </c>
      <c r="T273" s="104">
        <f t="shared" si="85"/>
        <v>0</v>
      </c>
      <c r="U273" s="104">
        <f t="shared" si="85"/>
        <v>0</v>
      </c>
      <c r="V273" s="104">
        <f t="shared" si="85"/>
        <v>0</v>
      </c>
      <c r="W273" s="104">
        <f t="shared" si="85"/>
        <v>0</v>
      </c>
      <c r="X273" s="104">
        <f t="shared" si="85"/>
        <v>0</v>
      </c>
      <c r="Y273" s="104">
        <f t="shared" si="85"/>
        <v>0</v>
      </c>
      <c r="Z273" s="104">
        <f t="shared" si="85"/>
        <v>0</v>
      </c>
      <c r="AA273" s="104">
        <f t="shared" si="85"/>
        <v>0</v>
      </c>
      <c r="AB273" s="104">
        <f t="shared" si="85"/>
        <v>10057.94</v>
      </c>
      <c r="AC273" s="104">
        <f t="shared" si="85"/>
        <v>0</v>
      </c>
      <c r="AD273" s="104">
        <f t="shared" si="85"/>
        <v>311731.06</v>
      </c>
      <c r="AE273" s="104">
        <f t="shared" si="85"/>
        <v>0</v>
      </c>
      <c r="AF273" s="98"/>
      <c r="AG273" s="99">
        <f t="shared" si="84"/>
        <v>0</v>
      </c>
    </row>
    <row r="274" spans="1:33" ht="203.25" customHeight="1" x14ac:dyDescent="0.3">
      <c r="A274" s="713" t="s">
        <v>300</v>
      </c>
      <c r="B274" s="106"/>
      <c r="C274" s="107"/>
      <c r="D274" s="107"/>
      <c r="E274" s="107"/>
      <c r="F274" s="107"/>
      <c r="G274" s="107"/>
      <c r="H274" s="108"/>
      <c r="I274" s="108"/>
      <c r="J274" s="108"/>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500" t="s">
        <v>489</v>
      </c>
      <c r="AG274" s="99">
        <f t="shared" si="84"/>
        <v>0</v>
      </c>
    </row>
    <row r="275" spans="1:33" x14ac:dyDescent="0.3">
      <c r="A275" s="109" t="s">
        <v>31</v>
      </c>
      <c r="B275" s="110">
        <f>B277+B278+B276+B279</f>
        <v>1027679.0300000001</v>
      </c>
      <c r="C275" s="110">
        <f>C277+C278+C276+C279</f>
        <v>1027679.0300000001</v>
      </c>
      <c r="D275" s="111">
        <f>D277+D278+D276+D279</f>
        <v>641680.23</v>
      </c>
      <c r="E275" s="110">
        <f>E277+E278+E276+E279</f>
        <v>641680.23</v>
      </c>
      <c r="F275" s="110">
        <f>IFERROR(E275/B275*100,0)</f>
        <v>62.439751251905953</v>
      </c>
      <c r="G275" s="110">
        <f>IFERROR(E275/C275*100,0)</f>
        <v>62.439751251905953</v>
      </c>
      <c r="H275" s="110">
        <f t="shared" ref="H275:AE275" si="87">H277+H278+H276+H279</f>
        <v>0</v>
      </c>
      <c r="I275" s="110">
        <f t="shared" si="87"/>
        <v>0</v>
      </c>
      <c r="J275" s="110">
        <f t="shared" si="87"/>
        <v>0</v>
      </c>
      <c r="K275" s="110">
        <f t="shared" si="87"/>
        <v>0</v>
      </c>
      <c r="L275" s="110">
        <f t="shared" si="87"/>
        <v>0</v>
      </c>
      <c r="M275" s="110">
        <f t="shared" si="87"/>
        <v>0</v>
      </c>
      <c r="N275" s="110">
        <f t="shared" si="87"/>
        <v>0</v>
      </c>
      <c r="O275" s="110">
        <f t="shared" si="87"/>
        <v>0</v>
      </c>
      <c r="P275" s="110">
        <f t="shared" si="87"/>
        <v>0</v>
      </c>
      <c r="Q275" s="110">
        <f t="shared" si="87"/>
        <v>0</v>
      </c>
      <c r="R275" s="110">
        <f t="shared" si="87"/>
        <v>0</v>
      </c>
      <c r="S275" s="110">
        <f t="shared" si="87"/>
        <v>0</v>
      </c>
      <c r="T275" s="110">
        <f t="shared" si="87"/>
        <v>0</v>
      </c>
      <c r="U275" s="110">
        <f t="shared" si="87"/>
        <v>0</v>
      </c>
      <c r="V275" s="110">
        <f t="shared" si="87"/>
        <v>0</v>
      </c>
      <c r="W275" s="110">
        <f t="shared" si="87"/>
        <v>0</v>
      </c>
      <c r="X275" s="110">
        <f t="shared" si="87"/>
        <v>48677.570000000007</v>
      </c>
      <c r="Y275" s="110">
        <f t="shared" si="87"/>
        <v>48677.570000000007</v>
      </c>
      <c r="Z275" s="110">
        <f t="shared" si="87"/>
        <v>0</v>
      </c>
      <c r="AA275" s="110">
        <f t="shared" si="87"/>
        <v>0</v>
      </c>
      <c r="AB275" s="110">
        <f>AB277+AB278+AB276+AB279</f>
        <v>497645.47000000003</v>
      </c>
      <c r="AC275" s="110">
        <f t="shared" si="87"/>
        <v>0</v>
      </c>
      <c r="AD275" s="110">
        <f t="shared" si="87"/>
        <v>481355.99000000005</v>
      </c>
      <c r="AE275" s="110">
        <f t="shared" si="87"/>
        <v>593002.66</v>
      </c>
      <c r="AF275" s="29"/>
      <c r="AG275" s="99">
        <f t="shared" si="84"/>
        <v>0</v>
      </c>
    </row>
    <row r="276" spans="1:33" x14ac:dyDescent="0.3">
      <c r="A276" s="112" t="s">
        <v>169</v>
      </c>
      <c r="B276" s="113">
        <f>J276+L276+N276+P276+R276+T276+V276+X276+Z276+AB276+AD276+H276</f>
        <v>210592.50000000003</v>
      </c>
      <c r="C276" s="114">
        <f>SUM(H276+J276+L276+N276+P276+R276+T276+V276+X276+Z276+AB276+AD276)</f>
        <v>210592.50000000003</v>
      </c>
      <c r="D276" s="715">
        <f>E276</f>
        <v>210592.5</v>
      </c>
      <c r="E276" s="114">
        <f>SUM(I276,K276,M276,O276,Q276,S276,U276,W276,Y276,AA276,AC276,AE276)</f>
        <v>210592.5</v>
      </c>
      <c r="F276" s="113">
        <f>IFERROR(E276/B276*100,0)</f>
        <v>99.999999999999986</v>
      </c>
      <c r="G276" s="113">
        <f>IFERROR(E276/C276*100,0)</f>
        <v>99.999999999999986</v>
      </c>
      <c r="H276" s="108"/>
      <c r="I276" s="108"/>
      <c r="J276" s="108"/>
      <c r="K276" s="108"/>
      <c r="L276" s="108"/>
      <c r="M276" s="108"/>
      <c r="N276" s="108"/>
      <c r="O276" s="108"/>
      <c r="P276" s="108"/>
      <c r="Q276" s="108"/>
      <c r="R276" s="108"/>
      <c r="S276" s="108"/>
      <c r="T276" s="108"/>
      <c r="U276" s="108"/>
      <c r="V276" s="108"/>
      <c r="W276" s="108"/>
      <c r="X276" s="108">
        <v>19714.41</v>
      </c>
      <c r="Y276" s="108">
        <v>19714.41</v>
      </c>
      <c r="Z276" s="108"/>
      <c r="AA276" s="108"/>
      <c r="AB276" s="108">
        <f>201961.89-11083.8</f>
        <v>190878.09000000003</v>
      </c>
      <c r="AC276" s="108"/>
      <c r="AD276" s="108"/>
      <c r="AE276" s="108">
        <v>190878.09</v>
      </c>
      <c r="AF276" s="29"/>
      <c r="AG276" s="99">
        <f t="shared" si="84"/>
        <v>0</v>
      </c>
    </row>
    <row r="277" spans="1:33" x14ac:dyDescent="0.3">
      <c r="A277" s="112" t="s">
        <v>32</v>
      </c>
      <c r="B277" s="594">
        <f>J277+L277+N277+P277+R277+T277+V277+X277+Z277+AB277+AD277+H277</f>
        <v>424701.10000000009</v>
      </c>
      <c r="C277" s="114">
        <f t="shared" ref="C277:C279" si="88">SUM(H277+J277+L277+N277+P277+R277+T277+V277+X277+Z277+AB277+AD277)</f>
        <v>424701.10000000009</v>
      </c>
      <c r="D277" s="115">
        <f>E277</f>
        <v>366919.68000000005</v>
      </c>
      <c r="E277" s="114">
        <f>SUM(I277,K277,M277,O277,Q277,S277,U277,W277,Y277,AA277,AC277,AE277)</f>
        <v>366919.68000000005</v>
      </c>
      <c r="F277" s="113">
        <f>IFERROR(E277/B277*100,0)</f>
        <v>86.394803309904304</v>
      </c>
      <c r="G277" s="113">
        <f>IFERROR(E277/C277*100,0)</f>
        <v>86.394803309904304</v>
      </c>
      <c r="H277" s="108"/>
      <c r="I277" s="108"/>
      <c r="J277" s="108"/>
      <c r="K277" s="108"/>
      <c r="L277" s="108"/>
      <c r="M277" s="108"/>
      <c r="N277" s="108"/>
      <c r="O277" s="108"/>
      <c r="P277" s="108"/>
      <c r="Q277" s="108"/>
      <c r="R277" s="108"/>
      <c r="S277" s="108"/>
      <c r="T277" s="108"/>
      <c r="U277" s="108"/>
      <c r="V277" s="108"/>
      <c r="W277" s="108"/>
      <c r="X277" s="108">
        <v>24095.4</v>
      </c>
      <c r="Y277" s="108">
        <v>24095.4</v>
      </c>
      <c r="Z277" s="108"/>
      <c r="AA277" s="108"/>
      <c r="AB277" s="108">
        <v>246842.3</v>
      </c>
      <c r="AC277" s="108"/>
      <c r="AD277" s="108">
        <f>659924.3-492614-13546.9</f>
        <v>153763.40000000005</v>
      </c>
      <c r="AE277" s="108">
        <v>342824.28</v>
      </c>
      <c r="AF277" s="29"/>
      <c r="AG277" s="99">
        <f t="shared" si="84"/>
        <v>0</v>
      </c>
    </row>
    <row r="278" spans="1:33" x14ac:dyDescent="0.3">
      <c r="A278" s="112" t="s">
        <v>33</v>
      </c>
      <c r="B278" s="594">
        <f>J278+L278+N278+P278+R278+T278+V278+X278+Z278+AB278+AD278+H278</f>
        <v>70596.430000000008</v>
      </c>
      <c r="C278" s="114">
        <f t="shared" si="88"/>
        <v>70596.430000000008</v>
      </c>
      <c r="D278" s="115">
        <f>E278</f>
        <v>64168.05</v>
      </c>
      <c r="E278" s="114">
        <f>SUM(I278,K278,M278,O278,Q278,S278,U278,W278,Y278,AA278,AC278,AE278)</f>
        <v>64168.05</v>
      </c>
      <c r="F278" s="113">
        <f>IFERROR(E278/B278*100,0)</f>
        <v>90.89418544252166</v>
      </c>
      <c r="G278" s="113">
        <f>IFERROR(E278/C278*100,0)</f>
        <v>90.89418544252166</v>
      </c>
      <c r="H278" s="108"/>
      <c r="I278" s="108"/>
      <c r="J278" s="108"/>
      <c r="K278" s="108"/>
      <c r="L278" s="108"/>
      <c r="M278" s="108"/>
      <c r="N278" s="108"/>
      <c r="O278" s="108"/>
      <c r="P278" s="108"/>
      <c r="Q278" s="108"/>
      <c r="R278" s="108"/>
      <c r="S278" s="108"/>
      <c r="T278" s="108"/>
      <c r="U278" s="108"/>
      <c r="V278" s="108"/>
      <c r="W278" s="108"/>
      <c r="X278" s="108">
        <v>4867.76</v>
      </c>
      <c r="Y278" s="108">
        <v>4867.76</v>
      </c>
      <c r="Z278" s="108"/>
      <c r="AA278" s="108"/>
      <c r="AB278" s="108">
        <v>49867.14</v>
      </c>
      <c r="AC278" s="108"/>
      <c r="AD278" s="108">
        <f>27464.63-8866.4-2736.7</f>
        <v>15861.530000000002</v>
      </c>
      <c r="AE278" s="108">
        <v>59300.29</v>
      </c>
      <c r="AF278" s="29"/>
      <c r="AG278" s="99">
        <f t="shared" si="84"/>
        <v>0</v>
      </c>
    </row>
    <row r="279" spans="1:33" x14ac:dyDescent="0.3">
      <c r="A279" s="112" t="s">
        <v>170</v>
      </c>
      <c r="B279" s="594">
        <f>J279+L279+N279+P279+R279+T279+V279+X279+Z279+AB279+AD279+H279</f>
        <v>321789</v>
      </c>
      <c r="C279" s="114">
        <f t="shared" si="88"/>
        <v>321789</v>
      </c>
      <c r="D279" s="115"/>
      <c r="E279" s="114"/>
      <c r="F279" s="113"/>
      <c r="G279" s="113"/>
      <c r="H279" s="108"/>
      <c r="I279" s="108"/>
      <c r="J279" s="108"/>
      <c r="K279" s="108"/>
      <c r="L279" s="108"/>
      <c r="M279" s="108"/>
      <c r="N279" s="108"/>
      <c r="O279" s="108"/>
      <c r="P279" s="108"/>
      <c r="Q279" s="108"/>
      <c r="R279" s="108"/>
      <c r="S279" s="108"/>
      <c r="T279" s="108"/>
      <c r="U279" s="108"/>
      <c r="V279" s="108"/>
      <c r="W279" s="108"/>
      <c r="X279" s="108"/>
      <c r="Y279" s="108"/>
      <c r="Z279" s="108"/>
      <c r="AA279" s="108"/>
      <c r="AB279" s="108">
        <v>10057.94</v>
      </c>
      <c r="AC279" s="108"/>
      <c r="AD279" s="108">
        <v>311731.06</v>
      </c>
      <c r="AE279" s="108"/>
      <c r="AF279" s="29"/>
      <c r="AG279" s="99">
        <f t="shared" si="84"/>
        <v>0</v>
      </c>
    </row>
    <row r="280" spans="1:33" ht="56.25" customHeight="1" x14ac:dyDescent="0.3">
      <c r="A280" s="95" t="s">
        <v>301</v>
      </c>
      <c r="B280" s="96"/>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c r="AA280" s="97"/>
      <c r="AB280" s="97"/>
      <c r="AC280" s="97"/>
      <c r="AD280" s="97"/>
      <c r="AE280" s="97"/>
      <c r="AF280" s="98"/>
      <c r="AG280" s="99">
        <f t="shared" ref="AG280:AG285" si="89">B280-H280-J280-L280-N280-P280-R280-T280-V280-X280-Z280-AB280-AD280</f>
        <v>0</v>
      </c>
    </row>
    <row r="281" spans="1:33" x14ac:dyDescent="0.3">
      <c r="A281" s="100" t="s">
        <v>31</v>
      </c>
      <c r="B281" s="101">
        <f>B282+B283+B284+B285</f>
        <v>0</v>
      </c>
      <c r="C281" s="101">
        <f>C282+C283+C284+C285</f>
        <v>0</v>
      </c>
      <c r="D281" s="101">
        <f>D282+D283+D284+D285</f>
        <v>0</v>
      </c>
      <c r="E281" s="101">
        <f>E282+E283+E284+E285</f>
        <v>0</v>
      </c>
      <c r="F281" s="102">
        <f>IFERROR(E281/B281*100,0)</f>
        <v>0</v>
      </c>
      <c r="G281" s="102">
        <f>IFERROR(E281/C281*100,0)</f>
        <v>0</v>
      </c>
      <c r="H281" s="101">
        <f>H282+H283+H284+H285</f>
        <v>0</v>
      </c>
      <c r="I281" s="101">
        <f t="shared" ref="I281:AE281" si="90">I282+I283+I284+I285</f>
        <v>0</v>
      </c>
      <c r="J281" s="101">
        <f t="shared" si="90"/>
        <v>0</v>
      </c>
      <c r="K281" s="101">
        <f t="shared" si="90"/>
        <v>0</v>
      </c>
      <c r="L281" s="101">
        <f t="shared" si="90"/>
        <v>0</v>
      </c>
      <c r="M281" s="101">
        <f t="shared" si="90"/>
        <v>0</v>
      </c>
      <c r="N281" s="101">
        <f t="shared" si="90"/>
        <v>0</v>
      </c>
      <c r="O281" s="101">
        <f t="shared" si="90"/>
        <v>0</v>
      </c>
      <c r="P281" s="101">
        <f t="shared" si="90"/>
        <v>0</v>
      </c>
      <c r="Q281" s="101">
        <f t="shared" si="90"/>
        <v>0</v>
      </c>
      <c r="R281" s="101">
        <f t="shared" si="90"/>
        <v>0</v>
      </c>
      <c r="S281" s="101">
        <f t="shared" si="90"/>
        <v>0</v>
      </c>
      <c r="T281" s="101">
        <f t="shared" si="90"/>
        <v>0</v>
      </c>
      <c r="U281" s="101">
        <f t="shared" si="90"/>
        <v>0</v>
      </c>
      <c r="V281" s="101">
        <f t="shared" si="90"/>
        <v>0</v>
      </c>
      <c r="W281" s="101">
        <f t="shared" si="90"/>
        <v>0</v>
      </c>
      <c r="X281" s="101">
        <f t="shared" si="90"/>
        <v>0</v>
      </c>
      <c r="Y281" s="101">
        <f t="shared" si="90"/>
        <v>0</v>
      </c>
      <c r="Z281" s="101">
        <f t="shared" si="90"/>
        <v>0</v>
      </c>
      <c r="AA281" s="101">
        <f t="shared" si="90"/>
        <v>0</v>
      </c>
      <c r="AB281" s="101">
        <f t="shared" si="90"/>
        <v>0</v>
      </c>
      <c r="AC281" s="101">
        <f t="shared" si="90"/>
        <v>0</v>
      </c>
      <c r="AD281" s="101">
        <f t="shared" si="90"/>
        <v>0</v>
      </c>
      <c r="AE281" s="101">
        <f t="shared" si="90"/>
        <v>0</v>
      </c>
      <c r="AF281" s="98"/>
      <c r="AG281" s="99">
        <f t="shared" si="89"/>
        <v>0</v>
      </c>
    </row>
    <row r="282" spans="1:33" x14ac:dyDescent="0.3">
      <c r="A282" s="103" t="s">
        <v>169</v>
      </c>
      <c r="B282" s="104">
        <f>J282+L282+N282+P282+R282+T282+V282+X282+Z282+AB282+AD282+H282</f>
        <v>0</v>
      </c>
      <c r="C282" s="104">
        <f>SUM(H282)</f>
        <v>0</v>
      </c>
      <c r="D282" s="104">
        <f>E282</f>
        <v>0</v>
      </c>
      <c r="E282" s="104">
        <f>SUM(I282,K282,M282,O282,Q282,S282,U282,W282,Y282,AA282,AC282,AE282)</f>
        <v>0</v>
      </c>
      <c r="F282" s="104">
        <f>IFERROR(E282/B282*100,0)</f>
        <v>0</v>
      </c>
      <c r="G282" s="104">
        <f>IFERROR(E282/C282*100,0)</f>
        <v>0</v>
      </c>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98"/>
      <c r="AG282" s="99">
        <f t="shared" si="89"/>
        <v>0</v>
      </c>
    </row>
    <row r="283" spans="1:33" x14ac:dyDescent="0.3">
      <c r="A283" s="103" t="s">
        <v>32</v>
      </c>
      <c r="B283" s="104">
        <f>J283+L283+N283+P283+R283+T283+V283+X283+Z283+AB283+AD283+H283</f>
        <v>0</v>
      </c>
      <c r="C283" s="104">
        <f>SUM(H283)</f>
        <v>0</v>
      </c>
      <c r="D283" s="104">
        <f>E283</f>
        <v>0</v>
      </c>
      <c r="E283" s="104">
        <f>SUM(I283,K283,M283,O283,Q283,S283,U283,W283,Y283,AA283,AC283,AE283)</f>
        <v>0</v>
      </c>
      <c r="F283" s="104">
        <f>IFERROR(E283/B283*100,0)</f>
        <v>0</v>
      </c>
      <c r="G283" s="104">
        <f>IFERROR(E283/C283*100,0)</f>
        <v>0</v>
      </c>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98"/>
      <c r="AG283" s="99">
        <f t="shared" si="89"/>
        <v>0</v>
      </c>
    </row>
    <row r="284" spans="1:33" x14ac:dyDescent="0.3">
      <c r="A284" s="103" t="s">
        <v>33</v>
      </c>
      <c r="B284" s="104">
        <f>J284+L284+N284+P284+R284+T284+V284+X284+Z284+AB284+AD284+H284</f>
        <v>0</v>
      </c>
      <c r="C284" s="104">
        <f>SUM(H284)</f>
        <v>0</v>
      </c>
      <c r="D284" s="104">
        <f>E284</f>
        <v>0</v>
      </c>
      <c r="E284" s="104">
        <f>SUM(I284,K284,M284,O284,Q284,S284,U284,W284,Y284,AA284,AC284,AE284)</f>
        <v>0</v>
      </c>
      <c r="F284" s="104">
        <f>IFERROR(E284/B284*100,0)</f>
        <v>0</v>
      </c>
      <c r="G284" s="104">
        <f>IFERROR(E284/C284*100,0)</f>
        <v>0</v>
      </c>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98"/>
      <c r="AG284" s="99">
        <f t="shared" si="89"/>
        <v>0</v>
      </c>
    </row>
    <row r="285" spans="1:33" x14ac:dyDescent="0.3">
      <c r="A285" s="103" t="s">
        <v>170</v>
      </c>
      <c r="B285" s="104">
        <f>J285+L285+N285+P285+R285+T285+V285+X285+Z285+AB285+AD285+H285</f>
        <v>0</v>
      </c>
      <c r="C285" s="104">
        <f>SUM(H285)</f>
        <v>0</v>
      </c>
      <c r="D285" s="104">
        <f>E285</f>
        <v>0</v>
      </c>
      <c r="E285" s="104">
        <f>SUM(I285,K285,M285,O285,Q285,S285,U285,W285,Y285,AA285,AC285,AE285)</f>
        <v>0</v>
      </c>
      <c r="F285" s="104">
        <f>IFERROR(E285/B285*100,0)</f>
        <v>0</v>
      </c>
      <c r="G285" s="104">
        <f>IFERROR(E285/C285*100,0)</f>
        <v>0</v>
      </c>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98"/>
      <c r="AG285" s="99">
        <f t="shared" si="89"/>
        <v>0</v>
      </c>
    </row>
    <row r="286" spans="1:33" x14ac:dyDescent="0.3">
      <c r="A286" s="1163" t="s">
        <v>54</v>
      </c>
      <c r="B286" s="1164"/>
      <c r="C286" s="1164"/>
      <c r="D286" s="1164"/>
      <c r="E286" s="1164"/>
      <c r="F286" s="1164"/>
      <c r="G286" s="1164"/>
      <c r="H286" s="1164"/>
      <c r="I286" s="1164"/>
      <c r="J286" s="1164"/>
      <c r="K286" s="1164"/>
      <c r="L286" s="1164"/>
      <c r="M286" s="1164"/>
      <c r="N286" s="1164"/>
      <c r="O286" s="1164"/>
      <c r="P286" s="1164"/>
      <c r="Q286" s="1164"/>
      <c r="R286" s="1164"/>
      <c r="S286" s="1164"/>
      <c r="T286" s="1164"/>
      <c r="U286" s="1164"/>
      <c r="V286" s="1164"/>
      <c r="W286" s="1164"/>
      <c r="X286" s="1164"/>
      <c r="Y286" s="1164"/>
      <c r="Z286" s="1164"/>
      <c r="AA286" s="1164"/>
      <c r="AB286" s="1164"/>
      <c r="AC286" s="1164"/>
      <c r="AD286" s="1164"/>
      <c r="AE286" s="1164"/>
      <c r="AF286" s="1165"/>
      <c r="AG286" s="99">
        <f t="shared" si="46"/>
        <v>0</v>
      </c>
    </row>
    <row r="287" spans="1:33" ht="56.25" x14ac:dyDescent="0.3">
      <c r="A287" s="95" t="s">
        <v>302</v>
      </c>
      <c r="B287" s="139"/>
      <c r="C287" s="140"/>
      <c r="D287" s="140"/>
      <c r="E287" s="140"/>
      <c r="F287" s="140"/>
      <c r="G287" s="140"/>
      <c r="H287" s="139"/>
      <c r="I287" s="139"/>
      <c r="J287" s="139"/>
      <c r="K287" s="139"/>
      <c r="L287" s="139"/>
      <c r="M287" s="139"/>
      <c r="N287" s="139"/>
      <c r="O287" s="139"/>
      <c r="P287" s="139"/>
      <c r="Q287" s="139"/>
      <c r="R287" s="139"/>
      <c r="S287" s="139"/>
      <c r="T287" s="139"/>
      <c r="U287" s="139"/>
      <c r="V287" s="139"/>
      <c r="W287" s="139"/>
      <c r="X287" s="139"/>
      <c r="Y287" s="139"/>
      <c r="Z287" s="139"/>
      <c r="AA287" s="139"/>
      <c r="AB287" s="139"/>
      <c r="AC287" s="139"/>
      <c r="AD287" s="139"/>
      <c r="AE287" s="139"/>
      <c r="AF287" s="98"/>
      <c r="AG287" s="99">
        <f t="shared" si="46"/>
        <v>0</v>
      </c>
    </row>
    <row r="288" spans="1:33" x14ac:dyDescent="0.3">
      <c r="A288" s="141" t="s">
        <v>31</v>
      </c>
      <c r="B288" s="101">
        <f>B289+B290+B291+B292</f>
        <v>65649.288400000005</v>
      </c>
      <c r="C288" s="101">
        <f>C289+C290+C291+C292</f>
        <v>65649.288400000005</v>
      </c>
      <c r="D288" s="101">
        <f>D289+D290+D291+D292</f>
        <v>64746.798749999994</v>
      </c>
      <c r="E288" s="101">
        <f>E289+E290+E291+E292</f>
        <v>64746.798749999994</v>
      </c>
      <c r="F288" s="104">
        <f>IFERROR(E288/B288*100,0)</f>
        <v>98.625286469974881</v>
      </c>
      <c r="G288" s="104">
        <f>IFERROR(E288/C288*100,0)</f>
        <v>98.625286469974881</v>
      </c>
      <c r="H288" s="101">
        <f t="shared" ref="H288:AE288" si="91">H289+H290+H291+H292</f>
        <v>5906.3990000000003</v>
      </c>
      <c r="I288" s="101">
        <f t="shared" si="91"/>
        <v>4337.3</v>
      </c>
      <c r="J288" s="101">
        <f t="shared" si="91"/>
        <v>7622.0030000000006</v>
      </c>
      <c r="K288" s="101">
        <f t="shared" si="91"/>
        <v>8336</v>
      </c>
      <c r="L288" s="101">
        <f t="shared" si="91"/>
        <v>5109.2690000000002</v>
      </c>
      <c r="M288" s="101">
        <f t="shared" si="91"/>
        <v>4409.41</v>
      </c>
      <c r="N288" s="101">
        <f t="shared" si="91"/>
        <v>4664.37</v>
      </c>
      <c r="O288" s="101">
        <f t="shared" si="91"/>
        <v>4500.7299999999996</v>
      </c>
      <c r="P288" s="101">
        <f t="shared" si="91"/>
        <v>10298.341</v>
      </c>
      <c r="Q288" s="101">
        <f t="shared" si="91"/>
        <v>8298.34</v>
      </c>
      <c r="R288" s="101">
        <f t="shared" si="91"/>
        <v>9085.4714000000004</v>
      </c>
      <c r="S288" s="101">
        <f t="shared" si="91"/>
        <v>4137.1899999999996</v>
      </c>
      <c r="T288" s="101">
        <f t="shared" si="91"/>
        <v>4383.4030000000002</v>
      </c>
      <c r="U288" s="101">
        <f t="shared" si="91"/>
        <v>4383.3999999999996</v>
      </c>
      <c r="V288" s="101">
        <f t="shared" si="91"/>
        <v>4824.5928000000004</v>
      </c>
      <c r="W288" s="101">
        <f t="shared" si="91"/>
        <v>4784.6000000000004</v>
      </c>
      <c r="X288" s="101">
        <f t="shared" si="91"/>
        <v>4590.5887999999995</v>
      </c>
      <c r="Y288" s="101">
        <f t="shared" si="91"/>
        <v>5183.8337499999998</v>
      </c>
      <c r="Z288" s="101">
        <f t="shared" si="91"/>
        <v>3838.1251999999999</v>
      </c>
      <c r="AA288" s="101">
        <f t="shared" si="91"/>
        <v>4772.7700000000004</v>
      </c>
      <c r="AB288" s="101">
        <f t="shared" si="91"/>
        <v>1989</v>
      </c>
      <c r="AC288" s="101">
        <f t="shared" si="91"/>
        <v>3985.0299999999997</v>
      </c>
      <c r="AD288" s="101">
        <f t="shared" si="91"/>
        <v>3337.7251999999999</v>
      </c>
      <c r="AE288" s="101">
        <f t="shared" si="91"/>
        <v>7618.1949999999997</v>
      </c>
      <c r="AF288" s="98"/>
      <c r="AG288" s="99">
        <f t="shared" si="46"/>
        <v>0</v>
      </c>
    </row>
    <row r="289" spans="1:33" x14ac:dyDescent="0.3">
      <c r="A289" s="142" t="s">
        <v>169</v>
      </c>
      <c r="B289" s="104">
        <f>J289+L289+N289+P289+R289+T289+V289+X289+Z289+AB289+AD289+H289</f>
        <v>0</v>
      </c>
      <c r="C289" s="104">
        <f>SUM(H289)</f>
        <v>0</v>
      </c>
      <c r="D289" s="104">
        <f>E289</f>
        <v>0</v>
      </c>
      <c r="E289" s="104">
        <f>SUM(I289,K289,M289,O289,Q289,S289,U289,W289,Y289,AA289,AC289,AE289)</f>
        <v>0</v>
      </c>
      <c r="F289" s="104">
        <f>IFERROR(E289/B289*100,0)</f>
        <v>0</v>
      </c>
      <c r="G289" s="104">
        <f>IFERROR(E289/C289*100,0)</f>
        <v>0</v>
      </c>
      <c r="H289" s="104">
        <f>H295+H301+H307</f>
        <v>0</v>
      </c>
      <c r="I289" s="104">
        <f t="shared" ref="I289:AE292" si="92">I295+I301+I307</f>
        <v>0</v>
      </c>
      <c r="J289" s="104">
        <f t="shared" si="92"/>
        <v>0</v>
      </c>
      <c r="K289" s="104">
        <f t="shared" si="92"/>
        <v>0</v>
      </c>
      <c r="L289" s="104">
        <f t="shared" si="92"/>
        <v>0</v>
      </c>
      <c r="M289" s="104">
        <f t="shared" si="92"/>
        <v>0</v>
      </c>
      <c r="N289" s="104">
        <f t="shared" si="92"/>
        <v>0</v>
      </c>
      <c r="O289" s="104">
        <f t="shared" si="92"/>
        <v>0</v>
      </c>
      <c r="P289" s="104">
        <f t="shared" si="92"/>
        <v>0</v>
      </c>
      <c r="Q289" s="104">
        <f t="shared" si="92"/>
        <v>0</v>
      </c>
      <c r="R289" s="104">
        <f t="shared" si="92"/>
        <v>0</v>
      </c>
      <c r="S289" s="104">
        <f t="shared" si="92"/>
        <v>0</v>
      </c>
      <c r="T289" s="104">
        <f t="shared" si="92"/>
        <v>0</v>
      </c>
      <c r="U289" s="104">
        <f t="shared" si="92"/>
        <v>0</v>
      </c>
      <c r="V289" s="104">
        <f t="shared" si="92"/>
        <v>0</v>
      </c>
      <c r="W289" s="104">
        <f t="shared" si="92"/>
        <v>0</v>
      </c>
      <c r="X289" s="104">
        <f>X295+X301+X307</f>
        <v>0</v>
      </c>
      <c r="Y289" s="104">
        <f t="shared" si="92"/>
        <v>0</v>
      </c>
      <c r="Z289" s="104">
        <f t="shared" si="92"/>
        <v>0</v>
      </c>
      <c r="AA289" s="104">
        <f t="shared" si="92"/>
        <v>0</v>
      </c>
      <c r="AB289" s="104">
        <f t="shared" si="92"/>
        <v>0</v>
      </c>
      <c r="AC289" s="104">
        <f t="shared" si="92"/>
        <v>0</v>
      </c>
      <c r="AD289" s="104">
        <f t="shared" si="92"/>
        <v>0</v>
      </c>
      <c r="AE289" s="104">
        <f t="shared" si="92"/>
        <v>0</v>
      </c>
      <c r="AF289" s="98"/>
      <c r="AG289" s="99">
        <f t="shared" si="46"/>
        <v>0</v>
      </c>
    </row>
    <row r="290" spans="1:33" x14ac:dyDescent="0.3">
      <c r="A290" s="142" t="s">
        <v>32</v>
      </c>
      <c r="B290" s="104">
        <f>J290+L290+N290+P290+R290+T290+V290+X290+Z290+AB290+AD290+H290</f>
        <v>120.89</v>
      </c>
      <c r="C290" s="104">
        <f>B290</f>
        <v>120.89</v>
      </c>
      <c r="D290" s="104">
        <f>E290</f>
        <v>120.89</v>
      </c>
      <c r="E290" s="104">
        <f>SUM(I290,K290,M290,O290,Q290,S290,U290,W290,Y290,AA290,AC290,AE290)</f>
        <v>120.89</v>
      </c>
      <c r="F290" s="104">
        <f>IFERROR(E290/B290*100,0)</f>
        <v>100</v>
      </c>
      <c r="G290" s="104">
        <f>IFERROR(E290/C290*100,0)</f>
        <v>100</v>
      </c>
      <c r="H290" s="104">
        <f>H296+H302+H308</f>
        <v>0</v>
      </c>
      <c r="I290" s="104">
        <f t="shared" ref="I290:W290" si="93">I296+I302+I308</f>
        <v>0</v>
      </c>
      <c r="J290" s="104">
        <f t="shared" si="93"/>
        <v>0</v>
      </c>
      <c r="K290" s="104">
        <f t="shared" si="93"/>
        <v>0</v>
      </c>
      <c r="L290" s="104">
        <f t="shared" si="93"/>
        <v>0</v>
      </c>
      <c r="M290" s="104">
        <f t="shared" si="93"/>
        <v>0</v>
      </c>
      <c r="N290" s="104">
        <f t="shared" si="93"/>
        <v>0</v>
      </c>
      <c r="O290" s="104">
        <f t="shared" si="93"/>
        <v>0</v>
      </c>
      <c r="P290" s="104">
        <f t="shared" si="93"/>
        <v>120.89</v>
      </c>
      <c r="Q290" s="104">
        <f t="shared" si="93"/>
        <v>120.89</v>
      </c>
      <c r="R290" s="104">
        <f t="shared" si="93"/>
        <v>0</v>
      </c>
      <c r="S290" s="104">
        <f t="shared" si="93"/>
        <v>0</v>
      </c>
      <c r="T290" s="104">
        <f t="shared" si="93"/>
        <v>0</v>
      </c>
      <c r="U290" s="104">
        <f t="shared" si="93"/>
        <v>0</v>
      </c>
      <c r="V290" s="104">
        <f t="shared" si="93"/>
        <v>0</v>
      </c>
      <c r="W290" s="104">
        <f t="shared" si="93"/>
        <v>0</v>
      </c>
      <c r="X290" s="104">
        <f t="shared" si="92"/>
        <v>0</v>
      </c>
      <c r="Y290" s="104">
        <f t="shared" si="92"/>
        <v>0</v>
      </c>
      <c r="Z290" s="104">
        <f t="shared" si="92"/>
        <v>0</v>
      </c>
      <c r="AA290" s="104">
        <f t="shared" si="92"/>
        <v>0</v>
      </c>
      <c r="AB290" s="104">
        <f t="shared" si="92"/>
        <v>0</v>
      </c>
      <c r="AC290" s="104">
        <f t="shared" si="92"/>
        <v>0</v>
      </c>
      <c r="AD290" s="104">
        <f t="shared" si="92"/>
        <v>0</v>
      </c>
      <c r="AE290" s="104">
        <f t="shared" si="92"/>
        <v>0</v>
      </c>
      <c r="AF290" s="98"/>
      <c r="AG290" s="99">
        <f t="shared" si="46"/>
        <v>0</v>
      </c>
    </row>
    <row r="291" spans="1:33" x14ac:dyDescent="0.3">
      <c r="A291" s="142" t="s">
        <v>33</v>
      </c>
      <c r="B291" s="104">
        <f>J291+L291+N291+P291+R291+T291+V291+X291+Z291+AB291+AD291+H291</f>
        <v>65528.398399999998</v>
      </c>
      <c r="C291" s="104">
        <f>SUM(H291+J291+L291+N291+P291+R291+T291+V291+X291+Z291+AB291+AD291)</f>
        <v>65528.398399999998</v>
      </c>
      <c r="D291" s="104">
        <f>E291</f>
        <v>64625.908749999995</v>
      </c>
      <c r="E291" s="104">
        <f>SUM(I291,K291,M291,O291,Q291,S291,U291,W291,Y291,AA291,AC291,AE291)</f>
        <v>64625.908749999995</v>
      </c>
      <c r="F291" s="104">
        <f>IFERROR(E291/B291*100,0)</f>
        <v>98.622750331099198</v>
      </c>
      <c r="G291" s="104">
        <f>IFERROR(E291/C291*100,0)</f>
        <v>98.622750331099198</v>
      </c>
      <c r="H291" s="104">
        <f>H297+H303+H309</f>
        <v>5906.3990000000003</v>
      </c>
      <c r="I291" s="104">
        <f t="shared" si="92"/>
        <v>4337.3</v>
      </c>
      <c r="J291" s="104">
        <f>J297+J303+J309</f>
        <v>7622.0030000000006</v>
      </c>
      <c r="K291" s="104">
        <f t="shared" si="92"/>
        <v>8336</v>
      </c>
      <c r="L291" s="104">
        <f t="shared" si="92"/>
        <v>5109.2690000000002</v>
      </c>
      <c r="M291" s="104">
        <f t="shared" si="92"/>
        <v>4409.41</v>
      </c>
      <c r="N291" s="104">
        <f t="shared" si="92"/>
        <v>4664.37</v>
      </c>
      <c r="O291" s="104">
        <f t="shared" si="92"/>
        <v>4500.7299999999996</v>
      </c>
      <c r="P291" s="104">
        <f t="shared" si="92"/>
        <v>10177.451000000001</v>
      </c>
      <c r="Q291" s="104">
        <f t="shared" si="92"/>
        <v>8177.45</v>
      </c>
      <c r="R291" s="104">
        <f t="shared" si="92"/>
        <v>9085.4714000000004</v>
      </c>
      <c r="S291" s="104">
        <f t="shared" si="92"/>
        <v>4137.1899999999996</v>
      </c>
      <c r="T291" s="104">
        <f t="shared" si="92"/>
        <v>4383.4030000000002</v>
      </c>
      <c r="U291" s="104">
        <f t="shared" si="92"/>
        <v>4383.3999999999996</v>
      </c>
      <c r="V291" s="104">
        <f t="shared" si="92"/>
        <v>4824.5928000000004</v>
      </c>
      <c r="W291" s="104">
        <f t="shared" si="92"/>
        <v>4784.6000000000004</v>
      </c>
      <c r="X291" s="104">
        <f t="shared" si="92"/>
        <v>4590.5887999999995</v>
      </c>
      <c r="Y291" s="104">
        <f t="shared" si="92"/>
        <v>5183.8337499999998</v>
      </c>
      <c r="Z291" s="104">
        <f t="shared" si="92"/>
        <v>3838.1251999999999</v>
      </c>
      <c r="AA291" s="104">
        <f t="shared" si="92"/>
        <v>4772.7700000000004</v>
      </c>
      <c r="AB291" s="104">
        <f t="shared" si="92"/>
        <v>1989</v>
      </c>
      <c r="AC291" s="104">
        <f t="shared" si="92"/>
        <v>3985.0299999999997</v>
      </c>
      <c r="AD291" s="104">
        <f t="shared" si="92"/>
        <v>3337.7251999999999</v>
      </c>
      <c r="AE291" s="104">
        <f t="shared" si="92"/>
        <v>7618.1949999999997</v>
      </c>
      <c r="AF291" s="98"/>
      <c r="AG291" s="99">
        <f t="shared" si="46"/>
        <v>0</v>
      </c>
    </row>
    <row r="292" spans="1:33" x14ac:dyDescent="0.3">
      <c r="A292" s="142" t="s">
        <v>170</v>
      </c>
      <c r="B292" s="104">
        <f>J292+L292+N292+P292+R292+T292+V292+X292+Z292+AB292+AD292+H292</f>
        <v>0</v>
      </c>
      <c r="C292" s="104">
        <f>SUM(H292)</f>
        <v>0</v>
      </c>
      <c r="D292" s="104">
        <f>E292</f>
        <v>0</v>
      </c>
      <c r="E292" s="104">
        <f>SUM(I292,K292,M292,O292,Q292,S292,U292,W292,Y292,AA292,AC292,AE292)</f>
        <v>0</v>
      </c>
      <c r="F292" s="104">
        <f>IFERROR(E292/B292*100,0)</f>
        <v>0</v>
      </c>
      <c r="G292" s="104">
        <f>IFERROR(E292/C292*100,0)</f>
        <v>0</v>
      </c>
      <c r="H292" s="104">
        <f>H298+H304+H310</f>
        <v>0</v>
      </c>
      <c r="I292" s="104">
        <f t="shared" si="92"/>
        <v>0</v>
      </c>
      <c r="J292" s="104">
        <f t="shared" si="92"/>
        <v>0</v>
      </c>
      <c r="K292" s="104">
        <f t="shared" si="92"/>
        <v>0</v>
      </c>
      <c r="L292" s="104">
        <f t="shared" si="92"/>
        <v>0</v>
      </c>
      <c r="M292" s="104">
        <f t="shared" si="92"/>
        <v>0</v>
      </c>
      <c r="N292" s="104">
        <f t="shared" si="92"/>
        <v>0</v>
      </c>
      <c r="O292" s="104">
        <f t="shared" si="92"/>
        <v>0</v>
      </c>
      <c r="P292" s="104">
        <f t="shared" si="92"/>
        <v>0</v>
      </c>
      <c r="Q292" s="104">
        <f t="shared" si="92"/>
        <v>0</v>
      </c>
      <c r="R292" s="104">
        <f t="shared" si="92"/>
        <v>0</v>
      </c>
      <c r="S292" s="104">
        <f t="shared" si="92"/>
        <v>0</v>
      </c>
      <c r="T292" s="104">
        <f t="shared" si="92"/>
        <v>0</v>
      </c>
      <c r="U292" s="104">
        <f t="shared" si="92"/>
        <v>0</v>
      </c>
      <c r="V292" s="104">
        <f t="shared" si="92"/>
        <v>0</v>
      </c>
      <c r="W292" s="104">
        <f t="shared" si="92"/>
        <v>0</v>
      </c>
      <c r="X292" s="104">
        <f t="shared" si="92"/>
        <v>0</v>
      </c>
      <c r="Y292" s="104">
        <f t="shared" si="92"/>
        <v>0</v>
      </c>
      <c r="Z292" s="104">
        <f t="shared" si="92"/>
        <v>0</v>
      </c>
      <c r="AA292" s="104">
        <f t="shared" si="92"/>
        <v>0</v>
      </c>
      <c r="AB292" s="104">
        <f t="shared" si="92"/>
        <v>0</v>
      </c>
      <c r="AC292" s="104">
        <f t="shared" si="92"/>
        <v>0</v>
      </c>
      <c r="AD292" s="104">
        <f t="shared" si="92"/>
        <v>0</v>
      </c>
      <c r="AE292" s="104">
        <f t="shared" si="92"/>
        <v>0</v>
      </c>
      <c r="AF292" s="98"/>
      <c r="AG292" s="99">
        <f t="shared" si="46"/>
        <v>0</v>
      </c>
    </row>
    <row r="293" spans="1:33" ht="134.25" customHeight="1" x14ac:dyDescent="0.3">
      <c r="A293" s="713" t="s">
        <v>303</v>
      </c>
      <c r="B293" s="594"/>
      <c r="C293" s="602"/>
      <c r="D293" s="107"/>
      <c r="E293" s="107"/>
      <c r="F293" s="107"/>
      <c r="G293" s="107"/>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29"/>
      <c r="AG293" s="99">
        <f t="shared" si="46"/>
        <v>0</v>
      </c>
    </row>
    <row r="294" spans="1:33" x14ac:dyDescent="0.3">
      <c r="A294" s="590" t="s">
        <v>31</v>
      </c>
      <c r="B294" s="591">
        <f>B296+B297+B295+B298</f>
        <v>50213.294000000002</v>
      </c>
      <c r="C294" s="591">
        <f>C296+C297+C295+C298</f>
        <v>50213.294000000002</v>
      </c>
      <c r="D294" s="111">
        <f>D296+D297+D295+D298</f>
        <v>49360.064199999986</v>
      </c>
      <c r="E294" s="110">
        <f>E296+E297+E295+E298</f>
        <v>49360.064199999986</v>
      </c>
      <c r="F294" s="110">
        <f>IFERROR(E294/B294*100,0)</f>
        <v>98.30078903009229</v>
      </c>
      <c r="G294" s="110">
        <f>IFERROR(E294/C294*100,0)</f>
        <v>98.30078903009229</v>
      </c>
      <c r="H294" s="110">
        <f t="shared" ref="H294:AE294" si="94">H296+H297+H295+H298</f>
        <v>4939</v>
      </c>
      <c r="I294" s="110">
        <f t="shared" si="94"/>
        <v>3369.9</v>
      </c>
      <c r="J294" s="110">
        <f t="shared" si="94"/>
        <v>3643.4</v>
      </c>
      <c r="K294" s="110">
        <f t="shared" si="94"/>
        <v>4397.3999999999996</v>
      </c>
      <c r="L294" s="110">
        <f t="shared" si="94"/>
        <v>3950.48</v>
      </c>
      <c r="M294" s="110">
        <f>M296+M297+M295+M298</f>
        <v>3250.62</v>
      </c>
      <c r="N294" s="110">
        <f t="shared" si="94"/>
        <v>3420.2</v>
      </c>
      <c r="O294" s="110">
        <f t="shared" si="94"/>
        <v>3256.56</v>
      </c>
      <c r="P294" s="110">
        <f>P296+P297+P295+P298</f>
        <v>8182.89</v>
      </c>
      <c r="Q294" s="110">
        <f>Q296+Q297+Q295+Q298</f>
        <v>6182.89</v>
      </c>
      <c r="R294" s="110">
        <f t="shared" si="94"/>
        <v>7847.4683999999997</v>
      </c>
      <c r="S294" s="110">
        <f t="shared" si="94"/>
        <v>2899.18</v>
      </c>
      <c r="T294" s="110">
        <f t="shared" si="94"/>
        <v>3461</v>
      </c>
      <c r="U294" s="110">
        <f t="shared" si="94"/>
        <v>3461</v>
      </c>
      <c r="V294" s="110">
        <f t="shared" si="94"/>
        <v>3890.1163999999999</v>
      </c>
      <c r="W294" s="110">
        <f t="shared" si="94"/>
        <v>3890.12</v>
      </c>
      <c r="X294" s="110">
        <f t="shared" si="94"/>
        <v>2110.8888000000002</v>
      </c>
      <c r="Y294" s="110">
        <f t="shared" si="94"/>
        <v>4290.9691999999995</v>
      </c>
      <c r="Z294" s="110">
        <f t="shared" si="94"/>
        <v>3798.1251999999999</v>
      </c>
      <c r="AA294" s="110">
        <f t="shared" si="94"/>
        <v>3484.63</v>
      </c>
      <c r="AB294" s="110">
        <f t="shared" si="94"/>
        <v>1969</v>
      </c>
      <c r="AC294" s="110">
        <f t="shared" si="94"/>
        <v>3625.6</v>
      </c>
      <c r="AD294" s="110">
        <f t="shared" si="94"/>
        <v>3000.7251999999999</v>
      </c>
      <c r="AE294" s="110">
        <f t="shared" si="94"/>
        <v>7251.1949999999997</v>
      </c>
      <c r="AF294" s="29"/>
      <c r="AG294" s="99">
        <f t="shared" si="46"/>
        <v>0</v>
      </c>
    </row>
    <row r="295" spans="1:33" x14ac:dyDescent="0.3">
      <c r="A295" s="593" t="s">
        <v>169</v>
      </c>
      <c r="B295" s="594">
        <f>J295+L295+N295+P295+R295+T295+V295+X295+Z295+AB295+AD295+H295</f>
        <v>0</v>
      </c>
      <c r="C295" s="712">
        <f>SUM(H295)</f>
        <v>0</v>
      </c>
      <c r="D295" s="115">
        <f>E295</f>
        <v>0</v>
      </c>
      <c r="E295" s="114">
        <f>SUM(I295,K295,M295,O295,Q295,S295,U295,W295,Y295,AA295,AC295,AE295)</f>
        <v>0</v>
      </c>
      <c r="F295" s="113">
        <f>IFERROR(E295/B295*100,0)</f>
        <v>0</v>
      </c>
      <c r="G295" s="113">
        <f>IFERROR(E295/C295*100,0)</f>
        <v>0</v>
      </c>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29"/>
      <c r="AG295" s="99">
        <f t="shared" si="46"/>
        <v>0</v>
      </c>
    </row>
    <row r="296" spans="1:33" x14ac:dyDescent="0.3">
      <c r="A296" s="593" t="s">
        <v>32</v>
      </c>
      <c r="B296" s="594">
        <f>J296+L296+N296+P296+R296+T296+V296+X296+Z296+AB296+AD296+H296</f>
        <v>120.89</v>
      </c>
      <c r="C296" s="712">
        <f>SUM(H296+J296+L296+N296+P296)</f>
        <v>120.89</v>
      </c>
      <c r="D296" s="115">
        <f>E296</f>
        <v>120.89</v>
      </c>
      <c r="E296" s="114">
        <f>SUM(I296,K296,M296,O296,Q296,S296,U296,W296,Y296,AA296,AC296,AE296)</f>
        <v>120.89</v>
      </c>
      <c r="F296" s="113">
        <f>IFERROR(E296/B296*100,0)</f>
        <v>100</v>
      </c>
      <c r="G296" s="113">
        <f>IFERROR(E296/C296*100,0)</f>
        <v>100</v>
      </c>
      <c r="H296" s="108"/>
      <c r="I296" s="108"/>
      <c r="J296" s="108"/>
      <c r="K296" s="108"/>
      <c r="L296" s="108"/>
      <c r="M296" s="108"/>
      <c r="N296" s="108"/>
      <c r="O296" s="108"/>
      <c r="P296" s="108">
        <v>120.89</v>
      </c>
      <c r="Q296" s="108">
        <v>120.89</v>
      </c>
      <c r="R296" s="108"/>
      <c r="S296" s="108"/>
      <c r="T296" s="108"/>
      <c r="U296" s="108"/>
      <c r="V296" s="108"/>
      <c r="W296" s="108"/>
      <c r="X296" s="108"/>
      <c r="Y296" s="108"/>
      <c r="Z296" s="108"/>
      <c r="AA296" s="108"/>
      <c r="AB296" s="108"/>
      <c r="AC296" s="108"/>
      <c r="AD296" s="108"/>
      <c r="AE296" s="108"/>
      <c r="AF296" s="29"/>
      <c r="AG296" s="99">
        <f t="shared" si="46"/>
        <v>0</v>
      </c>
    </row>
    <row r="297" spans="1:33" x14ac:dyDescent="0.3">
      <c r="A297" s="593" t="s">
        <v>33</v>
      </c>
      <c r="B297" s="594">
        <f>J297+L297+N297+P297+R297+T297+V297+X297+Z297+AB297+AD297+H297</f>
        <v>50092.404000000002</v>
      </c>
      <c r="C297" s="712">
        <f>H297+J297+L297+N297+P297+R297+T297+V297+X297+Z297+AB297+AD297</f>
        <v>50092.404000000002</v>
      </c>
      <c r="D297" s="115">
        <f>E297</f>
        <v>49239.174199999987</v>
      </c>
      <c r="E297" s="114">
        <f>SUM(I297,K297,M297,O297,Q297,S297,U297,W297,Y297,AA297,AC297,AE297)</f>
        <v>49239.174199999987</v>
      </c>
      <c r="F297" s="113">
        <f>IFERROR(E297/B297*100,0)</f>
        <v>98.296688256367133</v>
      </c>
      <c r="G297" s="113">
        <f>IFERROR(E297/C297*100,0)</f>
        <v>98.296688256367133</v>
      </c>
      <c r="H297" s="108">
        <v>4939</v>
      </c>
      <c r="I297" s="108">
        <v>3369.9</v>
      </c>
      <c r="J297" s="108">
        <f>1024.4+2619</f>
        <v>3643.4</v>
      </c>
      <c r="K297" s="108">
        <v>4397.3999999999996</v>
      </c>
      <c r="L297" s="108">
        <f>20.48+3930</f>
        <v>3950.48</v>
      </c>
      <c r="M297" s="108">
        <v>3250.62</v>
      </c>
      <c r="N297" s="108">
        <v>3420.2</v>
      </c>
      <c r="O297" s="108">
        <v>3256.56</v>
      </c>
      <c r="P297" s="108">
        <v>8062</v>
      </c>
      <c r="Q297" s="108">
        <v>6062</v>
      </c>
      <c r="R297" s="108">
        <f>7265.0884-20.48+602.86</f>
        <v>7847.4683999999997</v>
      </c>
      <c r="S297" s="108">
        <v>2899.18</v>
      </c>
      <c r="T297" s="108">
        <v>3461</v>
      </c>
      <c r="U297" s="108">
        <v>3461</v>
      </c>
      <c r="V297" s="108">
        <v>3890.1163999999999</v>
      </c>
      <c r="W297" s="108">
        <v>3890.12</v>
      </c>
      <c r="X297" s="108">
        <f>86.8888+2024</f>
        <v>2110.8888000000002</v>
      </c>
      <c r="Y297" s="108">
        <v>4290.9691999999995</v>
      </c>
      <c r="Z297" s="108">
        <f>4084-602.86+403.874-86.8888</f>
        <v>3798.1251999999999</v>
      </c>
      <c r="AA297" s="108">
        <v>3484.63</v>
      </c>
      <c r="AB297" s="108">
        <v>1969</v>
      </c>
      <c r="AC297" s="108">
        <v>3625.6</v>
      </c>
      <c r="AD297" s="108">
        <f>3425.0952-1024.4+600.03</f>
        <v>3000.7251999999999</v>
      </c>
      <c r="AE297" s="108">
        <v>7251.1949999999997</v>
      </c>
      <c r="AF297" s="29"/>
      <c r="AG297" s="99">
        <f t="shared" si="46"/>
        <v>0</v>
      </c>
    </row>
    <row r="298" spans="1:33" x14ac:dyDescent="0.3">
      <c r="A298" s="593" t="s">
        <v>170</v>
      </c>
      <c r="B298" s="594"/>
      <c r="C298" s="712"/>
      <c r="D298" s="115"/>
      <c r="E298" s="114"/>
      <c r="F298" s="113"/>
      <c r="G298" s="113"/>
      <c r="H298" s="108"/>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29"/>
      <c r="AG298" s="99">
        <f t="shared" si="46"/>
        <v>0</v>
      </c>
    </row>
    <row r="299" spans="1:33" ht="41.25" customHeight="1" x14ac:dyDescent="0.3">
      <c r="A299" s="713" t="s">
        <v>304</v>
      </c>
      <c r="B299" s="594"/>
      <c r="C299" s="602"/>
      <c r="D299" s="107"/>
      <c r="E299" s="107"/>
      <c r="F299" s="107"/>
      <c r="G299" s="107"/>
      <c r="H299" s="108"/>
      <c r="I299" s="108"/>
      <c r="J299" s="108"/>
      <c r="K299" s="108"/>
      <c r="L299" s="108"/>
      <c r="M299" s="108"/>
      <c r="N299" s="108"/>
      <c r="O299" s="108"/>
      <c r="P299" s="108"/>
      <c r="Q299" s="108"/>
      <c r="R299" s="108"/>
      <c r="S299" s="108"/>
      <c r="T299" s="108"/>
      <c r="U299" s="108"/>
      <c r="V299" s="108"/>
      <c r="W299" s="108"/>
      <c r="X299" s="108"/>
      <c r="Y299" s="108"/>
      <c r="Z299" s="108"/>
      <c r="AA299" s="108"/>
      <c r="AB299" s="108"/>
      <c r="AC299" s="108"/>
      <c r="AD299" s="108"/>
      <c r="AE299" s="108"/>
      <c r="AF299" s="29"/>
      <c r="AG299" s="99">
        <f t="shared" si="46"/>
        <v>0</v>
      </c>
    </row>
    <row r="300" spans="1:33" x14ac:dyDescent="0.3">
      <c r="A300" s="590" t="s">
        <v>31</v>
      </c>
      <c r="B300" s="591">
        <f>B302+B303+B301+B304</f>
        <v>2956.7</v>
      </c>
      <c r="C300" s="591">
        <f>C302+C303+C301+C304</f>
        <v>2956.7</v>
      </c>
      <c r="D300" s="111">
        <f>D302+D303+D301+D304</f>
        <v>2907.4345499999999</v>
      </c>
      <c r="E300" s="110">
        <f>E302+E303+E301+E304</f>
        <v>2907.4345499999999</v>
      </c>
      <c r="F300" s="110">
        <f>IFERROR(E300/B300*100,0)</f>
        <v>98.333769066865102</v>
      </c>
      <c r="G300" s="110">
        <f>IFERROR(E300/C300*100,0)</f>
        <v>98.333769066865102</v>
      </c>
      <c r="H300" s="110">
        <f t="shared" ref="H300:AE300" si="95">H302+H303+H301+H304</f>
        <v>0</v>
      </c>
      <c r="I300" s="110">
        <f t="shared" si="95"/>
        <v>0</v>
      </c>
      <c r="J300" s="110">
        <f t="shared" si="95"/>
        <v>40</v>
      </c>
      <c r="K300" s="110">
        <f t="shared" si="95"/>
        <v>0</v>
      </c>
      <c r="L300" s="110">
        <f t="shared" si="95"/>
        <v>0</v>
      </c>
      <c r="M300" s="110">
        <f t="shared" si="95"/>
        <v>0</v>
      </c>
      <c r="N300" s="110">
        <f t="shared" si="95"/>
        <v>0</v>
      </c>
      <c r="O300" s="110">
        <f t="shared" si="95"/>
        <v>0</v>
      </c>
      <c r="P300" s="110">
        <f t="shared" si="95"/>
        <v>0</v>
      </c>
      <c r="Q300" s="110">
        <f t="shared" si="95"/>
        <v>0</v>
      </c>
      <c r="R300" s="110">
        <f t="shared" si="95"/>
        <v>0</v>
      </c>
      <c r="S300" s="110">
        <f t="shared" si="95"/>
        <v>0</v>
      </c>
      <c r="T300" s="110">
        <f t="shared" si="95"/>
        <v>0</v>
      </c>
      <c r="U300" s="110">
        <f t="shared" si="95"/>
        <v>0</v>
      </c>
      <c r="V300" s="110">
        <f t="shared" si="95"/>
        <v>40</v>
      </c>
      <c r="W300" s="110">
        <f t="shared" si="95"/>
        <v>0</v>
      </c>
      <c r="X300" s="110">
        <f t="shared" si="95"/>
        <v>2479.6999999999998</v>
      </c>
      <c r="Y300" s="110">
        <f t="shared" si="95"/>
        <v>892.86455000000001</v>
      </c>
      <c r="Z300" s="110">
        <f t="shared" si="95"/>
        <v>40</v>
      </c>
      <c r="AA300" s="110">
        <f t="shared" si="95"/>
        <v>1288.1400000000001</v>
      </c>
      <c r="AB300" s="110">
        <f t="shared" si="95"/>
        <v>20</v>
      </c>
      <c r="AC300" s="110">
        <f t="shared" si="95"/>
        <v>359.43</v>
      </c>
      <c r="AD300" s="110">
        <f t="shared" si="95"/>
        <v>337</v>
      </c>
      <c r="AE300" s="110">
        <f t="shared" si="95"/>
        <v>367</v>
      </c>
      <c r="AF300" s="29"/>
      <c r="AG300" s="99">
        <f t="shared" si="46"/>
        <v>0</v>
      </c>
    </row>
    <row r="301" spans="1:33" x14ac:dyDescent="0.3">
      <c r="A301" s="593" t="s">
        <v>169</v>
      </c>
      <c r="B301" s="594">
        <f>J301+L301+N301+P301+R301+T301+V301+X301+Z301+AB301+AD301+H301</f>
        <v>0</v>
      </c>
      <c r="C301" s="712">
        <f>SUM(H301)</f>
        <v>0</v>
      </c>
      <c r="D301" s="115">
        <f>E301</f>
        <v>0</v>
      </c>
      <c r="E301" s="114">
        <f>SUM(I301,K301,M301,O301,Q301,S301,U301,W301,Y301,AA301,AC301,AE301)</f>
        <v>0</v>
      </c>
      <c r="F301" s="113">
        <f>IFERROR(E301/B301*100,0)</f>
        <v>0</v>
      </c>
      <c r="G301" s="113">
        <f>IFERROR(E301/C301*100,0)</f>
        <v>0</v>
      </c>
      <c r="H301" s="108"/>
      <c r="I301" s="108"/>
      <c r="J301" s="108"/>
      <c r="K301" s="108"/>
      <c r="L301" s="108"/>
      <c r="M301" s="108"/>
      <c r="N301" s="108"/>
      <c r="O301" s="108"/>
      <c r="P301" s="108"/>
      <c r="Q301" s="108"/>
      <c r="R301" s="108"/>
      <c r="S301" s="108"/>
      <c r="T301" s="108"/>
      <c r="U301" s="108"/>
      <c r="V301" s="108"/>
      <c r="W301" s="108"/>
      <c r="X301" s="108"/>
      <c r="Y301" s="108"/>
      <c r="Z301" s="108"/>
      <c r="AA301" s="108"/>
      <c r="AB301" s="108"/>
      <c r="AC301" s="108"/>
      <c r="AD301" s="108"/>
      <c r="AE301" s="108"/>
      <c r="AF301" s="29"/>
      <c r="AG301" s="99">
        <f t="shared" si="46"/>
        <v>0</v>
      </c>
    </row>
    <row r="302" spans="1:33" x14ac:dyDescent="0.3">
      <c r="A302" s="593" t="s">
        <v>32</v>
      </c>
      <c r="B302" s="594">
        <f>J302+L302+N302+P302+R302+T302+V302+X302+Z302+AB302+AD302+H302</f>
        <v>0</v>
      </c>
      <c r="C302" s="712">
        <f>SUM(H302)</f>
        <v>0</v>
      </c>
      <c r="D302" s="115">
        <f>E302</f>
        <v>0</v>
      </c>
      <c r="E302" s="114">
        <f>SUM(I302,K302,M302,O302,Q302,S302,U302,W302,Y302,AA302,AC302,AE302)</f>
        <v>0</v>
      </c>
      <c r="F302" s="113">
        <f>IFERROR(E302/B302*100,0)</f>
        <v>0</v>
      </c>
      <c r="G302" s="113">
        <f>IFERROR(E302/C302*100,0)</f>
        <v>0</v>
      </c>
      <c r="H302" s="108"/>
      <c r="I302" s="108"/>
      <c r="J302" s="108"/>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29"/>
      <c r="AG302" s="99">
        <f t="shared" si="46"/>
        <v>0</v>
      </c>
    </row>
    <row r="303" spans="1:33" x14ac:dyDescent="0.3">
      <c r="A303" s="593" t="s">
        <v>33</v>
      </c>
      <c r="B303" s="594">
        <f>J303+L303+N303+P303+R303+T303+V303+X303+Z303+AB303+AD303+H303</f>
        <v>2956.7</v>
      </c>
      <c r="C303" s="712">
        <f>H303+J303+L303+N303+P303+R303+T303+V303+X303+Z303+AB303+AD303</f>
        <v>2956.7</v>
      </c>
      <c r="D303" s="115">
        <f>E303</f>
        <v>2907.4345499999999</v>
      </c>
      <c r="E303" s="114">
        <f>SUM(I303,K303,M303,O303,Q303,S303,U303,W303,Y303,AA303,AC303,AE303)</f>
        <v>2907.4345499999999</v>
      </c>
      <c r="F303" s="113">
        <f>IFERROR(E303/B303*100,0)</f>
        <v>98.333769066865102</v>
      </c>
      <c r="G303" s="113">
        <f>IFERROR(E303/C303*100,0)</f>
        <v>98.333769066865102</v>
      </c>
      <c r="H303" s="108"/>
      <c r="I303" s="108"/>
      <c r="J303" s="108">
        <v>40</v>
      </c>
      <c r="K303" s="108"/>
      <c r="L303" s="108"/>
      <c r="M303" s="108"/>
      <c r="N303" s="108"/>
      <c r="O303" s="108"/>
      <c r="P303" s="108"/>
      <c r="Q303" s="108"/>
      <c r="R303" s="108"/>
      <c r="S303" s="108"/>
      <c r="T303" s="108"/>
      <c r="U303" s="108"/>
      <c r="V303" s="108">
        <v>40</v>
      </c>
      <c r="W303" s="108"/>
      <c r="X303" s="108">
        <v>2479.6999999999998</v>
      </c>
      <c r="Y303" s="108">
        <v>892.86455000000001</v>
      </c>
      <c r="Z303" s="108">
        <v>40</v>
      </c>
      <c r="AA303" s="108">
        <v>1288.1400000000001</v>
      </c>
      <c r="AB303" s="108">
        <v>20</v>
      </c>
      <c r="AC303" s="108">
        <v>359.43</v>
      </c>
      <c r="AD303" s="108">
        <v>337</v>
      </c>
      <c r="AE303" s="108">
        <v>367</v>
      </c>
      <c r="AF303" s="29"/>
      <c r="AG303" s="99">
        <f t="shared" si="46"/>
        <v>0</v>
      </c>
    </row>
    <row r="304" spans="1:33" x14ac:dyDescent="0.3">
      <c r="A304" s="593" t="s">
        <v>170</v>
      </c>
      <c r="B304" s="594"/>
      <c r="C304" s="712"/>
      <c r="D304" s="115"/>
      <c r="E304" s="114"/>
      <c r="F304" s="113"/>
      <c r="G304" s="113"/>
      <c r="H304" s="108"/>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29"/>
      <c r="AG304" s="99">
        <f t="shared" si="46"/>
        <v>0</v>
      </c>
    </row>
    <row r="305" spans="1:33" ht="83.25" customHeight="1" x14ac:dyDescent="0.3">
      <c r="A305" s="713" t="s">
        <v>565</v>
      </c>
      <c r="B305" s="594"/>
      <c r="C305" s="602"/>
      <c r="D305" s="107"/>
      <c r="E305" s="107"/>
      <c r="F305" s="107"/>
      <c r="G305" s="107"/>
      <c r="H305" s="108"/>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29"/>
      <c r="AG305" s="99">
        <f t="shared" si="46"/>
        <v>0</v>
      </c>
    </row>
    <row r="306" spans="1:33" x14ac:dyDescent="0.3">
      <c r="A306" s="590" t="s">
        <v>31</v>
      </c>
      <c r="B306" s="591">
        <f>B308+B309+B307+B310</f>
        <v>12479.294399999999</v>
      </c>
      <c r="C306" s="591">
        <f>C308+C309+C307+C310</f>
        <v>12479.294400000001</v>
      </c>
      <c r="D306" s="111">
        <f>D308+D309+D307+D310</f>
        <v>12479.3</v>
      </c>
      <c r="E306" s="110">
        <f>E308+E309+E307+E310</f>
        <v>12479.3</v>
      </c>
      <c r="F306" s="110">
        <f>IFERROR(E306/B306*100,0)</f>
        <v>100.000044874332</v>
      </c>
      <c r="G306" s="110">
        <f>IFERROR(E306/C306*100,0)</f>
        <v>100.00004487433199</v>
      </c>
      <c r="H306" s="110">
        <f t="shared" ref="H306:AE306" si="96">H308+H309+H307+H310</f>
        <v>967.399</v>
      </c>
      <c r="I306" s="110">
        <f t="shared" si="96"/>
        <v>967.4</v>
      </c>
      <c r="J306" s="110">
        <f t="shared" si="96"/>
        <v>3938.6030000000001</v>
      </c>
      <c r="K306" s="110">
        <f t="shared" si="96"/>
        <v>3938.6</v>
      </c>
      <c r="L306" s="110">
        <f t="shared" si="96"/>
        <v>1158.789</v>
      </c>
      <c r="M306" s="110">
        <f t="shared" si="96"/>
        <v>1158.79</v>
      </c>
      <c r="N306" s="110">
        <f t="shared" si="96"/>
        <v>1244.17</v>
      </c>
      <c r="O306" s="110">
        <f t="shared" si="96"/>
        <v>1244.17</v>
      </c>
      <c r="P306" s="110">
        <f t="shared" si="96"/>
        <v>2115.451</v>
      </c>
      <c r="Q306" s="110">
        <f t="shared" si="96"/>
        <v>2115.4499999999998</v>
      </c>
      <c r="R306" s="110">
        <f t="shared" si="96"/>
        <v>1238.0029999999999</v>
      </c>
      <c r="S306" s="110">
        <f t="shared" si="96"/>
        <v>1238.01</v>
      </c>
      <c r="T306" s="110">
        <f t="shared" si="96"/>
        <v>922.40300000000002</v>
      </c>
      <c r="U306" s="110">
        <f t="shared" si="96"/>
        <v>922.4</v>
      </c>
      <c r="V306" s="110">
        <f t="shared" si="96"/>
        <v>894.47640000000001</v>
      </c>
      <c r="W306" s="110">
        <f t="shared" si="96"/>
        <v>894.48</v>
      </c>
      <c r="X306" s="110">
        <f t="shared" si="96"/>
        <v>0</v>
      </c>
      <c r="Y306" s="110">
        <f t="shared" si="96"/>
        <v>0</v>
      </c>
      <c r="Z306" s="110">
        <f t="shared" si="96"/>
        <v>0</v>
      </c>
      <c r="AA306" s="110">
        <f t="shared" si="96"/>
        <v>0</v>
      </c>
      <c r="AB306" s="110">
        <f t="shared" si="96"/>
        <v>0</v>
      </c>
      <c r="AC306" s="110">
        <f t="shared" si="96"/>
        <v>0</v>
      </c>
      <c r="AD306" s="110">
        <f t="shared" si="96"/>
        <v>0</v>
      </c>
      <c r="AE306" s="110">
        <f t="shared" si="96"/>
        <v>0</v>
      </c>
      <c r="AF306" s="29"/>
      <c r="AG306" s="99">
        <f t="shared" si="46"/>
        <v>-4.5474735088646412E-13</v>
      </c>
    </row>
    <row r="307" spans="1:33" x14ac:dyDescent="0.3">
      <c r="A307" s="593" t="s">
        <v>169</v>
      </c>
      <c r="B307" s="594">
        <f>J307+L307+N307+P307+R307+T307+V307+X307+Z307+AB307+AD307+H307</f>
        <v>0</v>
      </c>
      <c r="C307" s="712">
        <f>SUM(H307)</f>
        <v>0</v>
      </c>
      <c r="D307" s="115">
        <f>E307</f>
        <v>0</v>
      </c>
      <c r="E307" s="114">
        <f>SUM(I307,K307,M307,O307,Q307,S307,U307,W307,Y307,AA307,AC307,AE307)</f>
        <v>0</v>
      </c>
      <c r="F307" s="113">
        <f>IFERROR(E307/B307*100,0)</f>
        <v>0</v>
      </c>
      <c r="G307" s="113">
        <f>IFERROR(E307/C307*100,0)</f>
        <v>0</v>
      </c>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29"/>
      <c r="AG307" s="99">
        <f t="shared" si="46"/>
        <v>0</v>
      </c>
    </row>
    <row r="308" spans="1:33" x14ac:dyDescent="0.3">
      <c r="A308" s="593" t="s">
        <v>32</v>
      </c>
      <c r="B308" s="594">
        <f>J308+L308+N308+P308+R308+T308+V308+X308+Z308+AB308+AD308+H308</f>
        <v>0</v>
      </c>
      <c r="C308" s="712">
        <f>SUM(H308)</f>
        <v>0</v>
      </c>
      <c r="D308" s="115">
        <f>E308</f>
        <v>0</v>
      </c>
      <c r="E308" s="114">
        <f>SUM(I308,K308,M308,O308,Q308,S308,U308,W308,Y308,AA308,AC308,AE308)</f>
        <v>0</v>
      </c>
      <c r="F308" s="113">
        <f>IFERROR(E308/B308*100,0)</f>
        <v>0</v>
      </c>
      <c r="G308" s="113">
        <f>IFERROR(E308/C308*100,0)</f>
        <v>0</v>
      </c>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29"/>
      <c r="AG308" s="99">
        <f t="shared" si="46"/>
        <v>0</v>
      </c>
    </row>
    <row r="309" spans="1:33" x14ac:dyDescent="0.3">
      <c r="A309" s="593" t="s">
        <v>33</v>
      </c>
      <c r="B309" s="594">
        <f>J309+L309+N309+P309+R309+T309+V309+X309+Z309+AB309+AD309+H309</f>
        <v>12479.294399999999</v>
      </c>
      <c r="C309" s="712">
        <f>H309+J309+L309+N309+P309+R309+T309+V309</f>
        <v>12479.294400000001</v>
      </c>
      <c r="D309" s="115">
        <f>E309</f>
        <v>12479.3</v>
      </c>
      <c r="E309" s="114">
        <f>SUM(I309,K309,M309,O309,Q309,S309,U309,W309,Y309,AA309,AC309,AE309)</f>
        <v>12479.3</v>
      </c>
      <c r="F309" s="113">
        <f>IFERROR(E309/B309*100,0)</f>
        <v>100.000044874332</v>
      </c>
      <c r="G309" s="113">
        <f>IFERROR(E309/C309*100,0)</f>
        <v>100.00004487433199</v>
      </c>
      <c r="H309" s="108">
        <v>967.399</v>
      </c>
      <c r="I309" s="108">
        <v>967.4</v>
      </c>
      <c r="J309" s="108">
        <v>3938.6030000000001</v>
      </c>
      <c r="K309" s="108">
        <v>3938.6</v>
      </c>
      <c r="L309" s="108">
        <v>1158.789</v>
      </c>
      <c r="M309" s="108">
        <v>1158.79</v>
      </c>
      <c r="N309" s="108">
        <v>1244.17</v>
      </c>
      <c r="O309" s="108">
        <v>1244.17</v>
      </c>
      <c r="P309" s="108">
        <v>2115.451</v>
      </c>
      <c r="Q309" s="108">
        <v>2115.4499999999998</v>
      </c>
      <c r="R309" s="108">
        <f>1348.003-110</f>
        <v>1238.0029999999999</v>
      </c>
      <c r="S309" s="108">
        <v>1238.01</v>
      </c>
      <c r="T309" s="108">
        <v>922.40300000000002</v>
      </c>
      <c r="U309" s="108">
        <v>922.4</v>
      </c>
      <c r="V309" s="108">
        <f>981.638-87.1616</f>
        <v>894.47640000000001</v>
      </c>
      <c r="W309" s="108">
        <v>894.48</v>
      </c>
      <c r="X309" s="108"/>
      <c r="Y309" s="108"/>
      <c r="Z309" s="108"/>
      <c r="AA309" s="108"/>
      <c r="AB309" s="108"/>
      <c r="AC309" s="108"/>
      <c r="AD309" s="108"/>
      <c r="AE309" s="108"/>
      <c r="AF309" s="29"/>
      <c r="AG309" s="99">
        <f t="shared" si="46"/>
        <v>-4.5474735088646412E-13</v>
      </c>
    </row>
    <row r="310" spans="1:33" x14ac:dyDescent="0.3">
      <c r="A310" s="593" t="s">
        <v>170</v>
      </c>
      <c r="B310" s="594"/>
      <c r="C310" s="712"/>
      <c r="D310" s="115"/>
      <c r="E310" s="114"/>
      <c r="F310" s="113"/>
      <c r="G310" s="113"/>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29"/>
      <c r="AG310" s="99">
        <f t="shared" si="46"/>
        <v>0</v>
      </c>
    </row>
    <row r="311" spans="1:33" ht="83.25" customHeight="1" x14ac:dyDescent="0.3">
      <c r="A311" s="95" t="s">
        <v>305</v>
      </c>
      <c r="B311" s="139"/>
      <c r="C311" s="140"/>
      <c r="D311" s="140"/>
      <c r="E311" s="140"/>
      <c r="F311" s="140"/>
      <c r="G311" s="140"/>
      <c r="H311" s="139"/>
      <c r="I311" s="139"/>
      <c r="J311" s="139"/>
      <c r="K311" s="139"/>
      <c r="L311" s="139"/>
      <c r="M311" s="139"/>
      <c r="N311" s="139"/>
      <c r="O311" s="139"/>
      <c r="P311" s="139"/>
      <c r="Q311" s="139"/>
      <c r="R311" s="139"/>
      <c r="S311" s="139"/>
      <c r="T311" s="139"/>
      <c r="U311" s="139"/>
      <c r="V311" s="139"/>
      <c r="W311" s="139"/>
      <c r="X311" s="139"/>
      <c r="Y311" s="139"/>
      <c r="Z311" s="139"/>
      <c r="AA311" s="139"/>
      <c r="AB311" s="139"/>
      <c r="AC311" s="139"/>
      <c r="AD311" s="139"/>
      <c r="AE311" s="139"/>
      <c r="AF311" s="98"/>
      <c r="AG311" s="99">
        <f t="shared" si="46"/>
        <v>0</v>
      </c>
    </row>
    <row r="312" spans="1:33" x14ac:dyDescent="0.3">
      <c r="A312" s="141" t="s">
        <v>31</v>
      </c>
      <c r="B312" s="101">
        <f>B313+B314+B315+B316</f>
        <v>281173.80541999999</v>
      </c>
      <c r="C312" s="101">
        <f>C313+C314+C315+C316</f>
        <v>281173.80541999999</v>
      </c>
      <c r="D312" s="101">
        <f>D313+D314+D315+D316</f>
        <v>276539.85809999995</v>
      </c>
      <c r="E312" s="101">
        <f>E313+E314+E315+E316</f>
        <v>276539.85809999995</v>
      </c>
      <c r="F312" s="104">
        <f>IFERROR(E312/B312*100,0)</f>
        <v>98.351927800287754</v>
      </c>
      <c r="G312" s="104">
        <f>IFERROR(E312/C312*100,0)</f>
        <v>98.351927800287754</v>
      </c>
      <c r="H312" s="101">
        <f t="shared" ref="H312:AE312" si="97">H313+H314+H315+H316</f>
        <v>15729.4</v>
      </c>
      <c r="I312" s="101">
        <f t="shared" si="97"/>
        <v>9416.6</v>
      </c>
      <c r="J312" s="101">
        <f t="shared" si="97"/>
        <v>28820.74</v>
      </c>
      <c r="K312" s="101">
        <f t="shared" si="97"/>
        <v>28921.500000000004</v>
      </c>
      <c r="L312" s="101">
        <f t="shared" si="97"/>
        <v>28307.33</v>
      </c>
      <c r="M312" s="101">
        <f t="shared" si="97"/>
        <v>29030.61</v>
      </c>
      <c r="N312" s="101">
        <f t="shared" si="97"/>
        <v>24174.88175</v>
      </c>
      <c r="O312" s="101">
        <f t="shared" si="97"/>
        <v>16432.27</v>
      </c>
      <c r="P312" s="101">
        <f t="shared" si="97"/>
        <v>27445.34362</v>
      </c>
      <c r="Q312" s="101">
        <f t="shared" si="97"/>
        <v>26912.510000000002</v>
      </c>
      <c r="R312" s="101">
        <f t="shared" si="97"/>
        <v>9477.4536000000007</v>
      </c>
      <c r="S312" s="101">
        <f t="shared" si="97"/>
        <v>13119.99</v>
      </c>
      <c r="T312" s="101">
        <f t="shared" si="97"/>
        <v>43000</v>
      </c>
      <c r="U312" s="101">
        <f t="shared" si="97"/>
        <v>42315.22</v>
      </c>
      <c r="V312" s="101">
        <f t="shared" si="97"/>
        <v>2569.4000000000005</v>
      </c>
      <c r="W312" s="101">
        <f t="shared" si="97"/>
        <v>2531.9358000000002</v>
      </c>
      <c r="X312" s="101">
        <f t="shared" si="97"/>
        <v>18918.016300000003</v>
      </c>
      <c r="Y312" s="101">
        <f t="shared" si="97"/>
        <v>13014.78</v>
      </c>
      <c r="Z312" s="101">
        <f t="shared" si="97"/>
        <v>33217.397400000002</v>
      </c>
      <c r="AA312" s="101">
        <f t="shared" si="97"/>
        <v>29911.1</v>
      </c>
      <c r="AB312" s="101">
        <f t="shared" si="97"/>
        <v>27129.891700000004</v>
      </c>
      <c r="AC312" s="101">
        <f t="shared" si="97"/>
        <v>19191.520000000004</v>
      </c>
      <c r="AD312" s="101">
        <f t="shared" si="97"/>
        <v>22383.95105</v>
      </c>
      <c r="AE312" s="101">
        <f t="shared" si="97"/>
        <v>45741.8223</v>
      </c>
      <c r="AF312" s="98"/>
      <c r="AG312" s="99">
        <f t="shared" si="46"/>
        <v>-5.0931703299283981E-11</v>
      </c>
    </row>
    <row r="313" spans="1:33" x14ac:dyDescent="0.3">
      <c r="A313" s="142" t="s">
        <v>169</v>
      </c>
      <c r="B313" s="104">
        <f>J313+L313+N313+P313+R313+T313+V313+X313+Z313+AB313+AD313+H313</f>
        <v>22900.000240000001</v>
      </c>
      <c r="C313" s="104">
        <f>SUM(H313+J313+L313+N313+P313+R313+T313+V313+X313+Z313+AB313+AD313)</f>
        <v>22900.000240000001</v>
      </c>
      <c r="D313" s="104">
        <f>E313</f>
        <v>22742.7166</v>
      </c>
      <c r="E313" s="104">
        <f>SUM(I313,K313,M313,O313,Q313,S313,U313,W313,Y313,AA313,AC313,AE313)</f>
        <v>22742.7166</v>
      </c>
      <c r="F313" s="104"/>
      <c r="G313" s="104"/>
      <c r="H313" s="104">
        <f>H319+H325</f>
        <v>1301.9000000000001</v>
      </c>
      <c r="I313" s="104">
        <f t="shared" ref="I313:AE316" si="98">I319+I325</f>
        <v>1301.9000000000001</v>
      </c>
      <c r="J313" s="104">
        <f t="shared" si="98"/>
        <v>2713.7</v>
      </c>
      <c r="K313" s="104">
        <f t="shared" si="98"/>
        <v>2713.7</v>
      </c>
      <c r="L313" s="104">
        <f t="shared" si="98"/>
        <v>2898.5</v>
      </c>
      <c r="M313" s="104">
        <f t="shared" si="98"/>
        <v>2898.5</v>
      </c>
      <c r="N313" s="104">
        <f t="shared" si="98"/>
        <v>1467.6667499999999</v>
      </c>
      <c r="O313" s="104">
        <f t="shared" si="98"/>
        <v>1325.81</v>
      </c>
      <c r="P313" s="104">
        <f t="shared" si="98"/>
        <v>2860.0432000000001</v>
      </c>
      <c r="Q313" s="104">
        <f t="shared" si="98"/>
        <v>2860.04</v>
      </c>
      <c r="R313" s="104">
        <f t="shared" si="98"/>
        <v>914.33019999999999</v>
      </c>
      <c r="S313" s="104">
        <f t="shared" si="98"/>
        <v>732.43</v>
      </c>
      <c r="T313" s="104">
        <f t="shared" si="98"/>
        <v>0</v>
      </c>
      <c r="U313" s="104">
        <f t="shared" si="98"/>
        <v>0</v>
      </c>
      <c r="V313" s="104">
        <f t="shared" si="98"/>
        <v>0</v>
      </c>
      <c r="W313" s="104">
        <f t="shared" si="98"/>
        <v>0</v>
      </c>
      <c r="X313" s="104">
        <f t="shared" si="98"/>
        <v>2324.6027999999997</v>
      </c>
      <c r="Y313" s="104">
        <f t="shared" si="98"/>
        <v>1438.6066000000001</v>
      </c>
      <c r="Z313" s="104">
        <f t="shared" si="98"/>
        <v>4295.6216999999997</v>
      </c>
      <c r="AA313" s="104">
        <f t="shared" si="98"/>
        <v>3128.6</v>
      </c>
      <c r="AB313" s="104">
        <f t="shared" si="98"/>
        <v>2846.4506999999999</v>
      </c>
      <c r="AC313" s="104">
        <f t="shared" si="98"/>
        <v>462.93</v>
      </c>
      <c r="AD313" s="104">
        <f t="shared" si="98"/>
        <v>1277.18489</v>
      </c>
      <c r="AE313" s="104">
        <f t="shared" si="98"/>
        <v>5880.2</v>
      </c>
      <c r="AF313" s="98"/>
      <c r="AG313" s="99">
        <f t="shared" si="46"/>
        <v>-1.8189894035458565E-12</v>
      </c>
    </row>
    <row r="314" spans="1:33" x14ac:dyDescent="0.3">
      <c r="A314" s="142" t="s">
        <v>32</v>
      </c>
      <c r="B314" s="104">
        <f>J314+L314+N314+P314+R314+T314+V314+X314+Z314+AB314+AD314+H314</f>
        <v>188476.00347</v>
      </c>
      <c r="C314" s="104">
        <f t="shared" ref="C314:C316" si="99">SUM(H314+J314+L314+N314+P314+R314+T314+V314+X314+Z314+AB314+AD314)</f>
        <v>188476.00347</v>
      </c>
      <c r="D314" s="104">
        <f>E314</f>
        <v>187798.9155</v>
      </c>
      <c r="E314" s="104">
        <f>SUM(I314,K314,M314,O314,Q314,S314,U314,W314,Y314,AA314,AC314,AE314)</f>
        <v>187798.9155</v>
      </c>
      <c r="F314" s="104"/>
      <c r="G314" s="104"/>
      <c r="H314" s="104">
        <f>H320+H326</f>
        <v>11954.5</v>
      </c>
      <c r="I314" s="104">
        <f t="shared" ref="I314:W314" si="100">I320+I326</f>
        <v>5641.7</v>
      </c>
      <c r="J314" s="104">
        <f t="shared" si="100"/>
        <v>22154.04</v>
      </c>
      <c r="K314" s="104">
        <f t="shared" si="100"/>
        <v>22254.800000000003</v>
      </c>
      <c r="L314" s="104">
        <f t="shared" si="100"/>
        <v>21802.27</v>
      </c>
      <c r="M314" s="104">
        <f t="shared" si="100"/>
        <v>22525.54</v>
      </c>
      <c r="N314" s="104">
        <f t="shared" si="100"/>
        <v>19588.616750000001</v>
      </c>
      <c r="O314" s="104">
        <f t="shared" si="100"/>
        <v>12314.810000000001</v>
      </c>
      <c r="P314" s="104">
        <f t="shared" si="100"/>
        <v>21473.895820000002</v>
      </c>
      <c r="Q314" s="104">
        <f t="shared" si="100"/>
        <v>20941.07</v>
      </c>
      <c r="R314" s="104">
        <f t="shared" si="100"/>
        <v>6570.1833999999999</v>
      </c>
      <c r="S314" s="104">
        <f t="shared" si="100"/>
        <v>10149.4</v>
      </c>
      <c r="T314" s="104">
        <f t="shared" si="100"/>
        <v>0</v>
      </c>
      <c r="U314" s="104">
        <f t="shared" si="100"/>
        <v>0</v>
      </c>
      <c r="V314" s="104">
        <f t="shared" si="100"/>
        <v>0</v>
      </c>
      <c r="W314" s="104">
        <f t="shared" si="100"/>
        <v>0</v>
      </c>
      <c r="X314" s="104">
        <f t="shared" si="98"/>
        <v>14426.157800000001</v>
      </c>
      <c r="Y314" s="104">
        <f t="shared" si="98"/>
        <v>11213.0512</v>
      </c>
      <c r="Z314" s="104">
        <f t="shared" si="98"/>
        <v>25733.922599999998</v>
      </c>
      <c r="AA314" s="104">
        <f t="shared" si="98"/>
        <v>25992.82</v>
      </c>
      <c r="AB314" s="104">
        <f t="shared" si="98"/>
        <v>24224.931900000003</v>
      </c>
      <c r="AC314" s="104">
        <f t="shared" si="98"/>
        <v>18536.010000000002</v>
      </c>
      <c r="AD314" s="104">
        <f t="shared" si="98"/>
        <v>20547.485199999999</v>
      </c>
      <c r="AE314" s="104">
        <f t="shared" si="98"/>
        <v>38229.7143</v>
      </c>
      <c r="AF314" s="98"/>
      <c r="AG314" s="99">
        <f t="shared" si="46"/>
        <v>0</v>
      </c>
    </row>
    <row r="315" spans="1:33" x14ac:dyDescent="0.3">
      <c r="A315" s="142" t="s">
        <v>33</v>
      </c>
      <c r="B315" s="594">
        <f>J315+L315+N315+P315+R315+T315+V315+X315+Z315+AB315+AD315+H315</f>
        <v>69797.80171</v>
      </c>
      <c r="C315" s="104">
        <f t="shared" si="99"/>
        <v>69797.80171</v>
      </c>
      <c r="D315" s="104">
        <f>E315</f>
        <v>65998.225999999995</v>
      </c>
      <c r="E315" s="104">
        <f>SUM(I315,K315,M315,O315,Q315,S315,U315,W315,Y315,AA315,AC315,AE315)</f>
        <v>65998.225999999995</v>
      </c>
      <c r="F315" s="104">
        <f>IFERROR(E315/B315*100,0)</f>
        <v>94.556310346582677</v>
      </c>
      <c r="G315" s="104">
        <f>IFERROR(E315/C315*100,0)</f>
        <v>94.556310346582677</v>
      </c>
      <c r="H315" s="104">
        <f>H321+H327</f>
        <v>2473</v>
      </c>
      <c r="I315" s="104">
        <f t="shared" si="98"/>
        <v>2473</v>
      </c>
      <c r="J315" s="104">
        <f t="shared" si="98"/>
        <v>3953</v>
      </c>
      <c r="K315" s="104">
        <f t="shared" si="98"/>
        <v>3953</v>
      </c>
      <c r="L315" s="104">
        <f t="shared" si="98"/>
        <v>3606.56</v>
      </c>
      <c r="M315" s="104">
        <f t="shared" si="98"/>
        <v>3606.57</v>
      </c>
      <c r="N315" s="104">
        <f t="shared" si="98"/>
        <v>3118.59825</v>
      </c>
      <c r="O315" s="104">
        <f t="shared" si="98"/>
        <v>2791.65</v>
      </c>
      <c r="P315" s="104">
        <f t="shared" si="98"/>
        <v>3111.4045999999998</v>
      </c>
      <c r="Q315" s="104">
        <f t="shared" si="98"/>
        <v>3111.4</v>
      </c>
      <c r="R315" s="104">
        <f t="shared" si="98"/>
        <v>1992.94</v>
      </c>
      <c r="S315" s="104">
        <f t="shared" si="98"/>
        <v>2238.1600000000003</v>
      </c>
      <c r="T315" s="104">
        <f t="shared" si="98"/>
        <v>43000</v>
      </c>
      <c r="U315" s="104">
        <f t="shared" si="98"/>
        <v>42315.22</v>
      </c>
      <c r="V315" s="104">
        <f t="shared" si="98"/>
        <v>2569.4000000000005</v>
      </c>
      <c r="W315" s="104">
        <f t="shared" si="98"/>
        <v>2531.9358000000002</v>
      </c>
      <c r="X315" s="104">
        <f t="shared" si="98"/>
        <v>2167.2556999999997</v>
      </c>
      <c r="Y315" s="104">
        <f t="shared" si="98"/>
        <v>363.12220000000002</v>
      </c>
      <c r="Z315" s="104">
        <f t="shared" si="98"/>
        <v>3187.8531000000003</v>
      </c>
      <c r="AA315" s="104">
        <f t="shared" si="98"/>
        <v>789.68</v>
      </c>
      <c r="AB315" s="104">
        <f t="shared" si="98"/>
        <v>58.509099999999989</v>
      </c>
      <c r="AC315" s="104">
        <f t="shared" si="98"/>
        <v>192.58</v>
      </c>
      <c r="AD315" s="104">
        <f t="shared" si="98"/>
        <v>559.28096000000005</v>
      </c>
      <c r="AE315" s="104">
        <f t="shared" si="98"/>
        <v>1631.9079999999999</v>
      </c>
      <c r="AF315" s="98"/>
      <c r="AG315" s="99">
        <f t="shared" si="46"/>
        <v>-5.2295945351943374E-12</v>
      </c>
    </row>
    <row r="316" spans="1:33" x14ac:dyDescent="0.3">
      <c r="A316" s="142" t="s">
        <v>170</v>
      </c>
      <c r="B316" s="104">
        <f>J316+L316+N316+P316+R316+T316+V316+X316+Z316+AB316+AD316+H316</f>
        <v>0</v>
      </c>
      <c r="C316" s="104">
        <f t="shared" si="99"/>
        <v>0</v>
      </c>
      <c r="D316" s="104">
        <f>E316</f>
        <v>0</v>
      </c>
      <c r="E316" s="104">
        <f>SUM(I316,K316,M316,O316,Q316,S316,U316,W316,Y316,AA316,AC316,AE316)</f>
        <v>0</v>
      </c>
      <c r="F316" s="104"/>
      <c r="G316" s="104"/>
      <c r="H316" s="104">
        <f>H322+H328</f>
        <v>0</v>
      </c>
      <c r="I316" s="104">
        <f t="shared" si="98"/>
        <v>0</v>
      </c>
      <c r="J316" s="104">
        <f t="shared" si="98"/>
        <v>0</v>
      </c>
      <c r="K316" s="104">
        <f t="shared" si="98"/>
        <v>0</v>
      </c>
      <c r="L316" s="104">
        <f t="shared" si="98"/>
        <v>0</v>
      </c>
      <c r="M316" s="104">
        <f t="shared" si="98"/>
        <v>0</v>
      </c>
      <c r="N316" s="104">
        <f t="shared" si="98"/>
        <v>0</v>
      </c>
      <c r="O316" s="104">
        <f t="shared" si="98"/>
        <v>0</v>
      </c>
      <c r="P316" s="104">
        <f t="shared" si="98"/>
        <v>0</v>
      </c>
      <c r="Q316" s="104">
        <f t="shared" si="98"/>
        <v>0</v>
      </c>
      <c r="R316" s="104">
        <f t="shared" si="98"/>
        <v>0</v>
      </c>
      <c r="S316" s="104">
        <f t="shared" si="98"/>
        <v>0</v>
      </c>
      <c r="T316" s="104">
        <f t="shared" si="98"/>
        <v>0</v>
      </c>
      <c r="U316" s="104">
        <f t="shared" si="98"/>
        <v>0</v>
      </c>
      <c r="V316" s="104">
        <f t="shared" si="98"/>
        <v>0</v>
      </c>
      <c r="W316" s="104">
        <f t="shared" si="98"/>
        <v>0</v>
      </c>
      <c r="X316" s="104">
        <f t="shared" si="98"/>
        <v>0</v>
      </c>
      <c r="Y316" s="104">
        <f t="shared" si="98"/>
        <v>0</v>
      </c>
      <c r="Z316" s="104">
        <f t="shared" si="98"/>
        <v>0</v>
      </c>
      <c r="AA316" s="104">
        <f t="shared" si="98"/>
        <v>0</v>
      </c>
      <c r="AB316" s="104">
        <f t="shared" si="98"/>
        <v>0</v>
      </c>
      <c r="AC316" s="104">
        <f t="shared" si="98"/>
        <v>0</v>
      </c>
      <c r="AD316" s="104">
        <f t="shared" si="98"/>
        <v>0</v>
      </c>
      <c r="AE316" s="104">
        <f t="shared" si="98"/>
        <v>0</v>
      </c>
      <c r="AF316" s="98"/>
      <c r="AG316" s="99">
        <f t="shared" si="46"/>
        <v>0</v>
      </c>
    </row>
    <row r="317" spans="1:33" ht="83.25" customHeight="1" x14ac:dyDescent="0.3">
      <c r="A317" s="713" t="s">
        <v>306</v>
      </c>
      <c r="B317" s="594"/>
      <c r="C317" s="107"/>
      <c r="D317" s="107"/>
      <c r="E317" s="107"/>
      <c r="F317" s="107"/>
      <c r="G317" s="107"/>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29"/>
      <c r="AG317" s="99">
        <f t="shared" si="46"/>
        <v>0</v>
      </c>
    </row>
    <row r="318" spans="1:33" x14ac:dyDescent="0.3">
      <c r="A318" s="590" t="s">
        <v>31</v>
      </c>
      <c r="B318" s="591">
        <f>B320+B321+B319+B322</f>
        <v>45992.800000000003</v>
      </c>
      <c r="C318" s="110">
        <f>C320+C321+C319+C322</f>
        <v>45992.800000000003</v>
      </c>
      <c r="D318" s="111">
        <f>D320+D321+D319+D322</f>
        <v>45270.555800000002</v>
      </c>
      <c r="E318" s="110">
        <f>E320+E321+E319+E322</f>
        <v>45270.555800000002</v>
      </c>
      <c r="F318" s="110">
        <f>IFERROR(E318/B318*100,0)</f>
        <v>98.429658120401456</v>
      </c>
      <c r="G318" s="110">
        <f>IFERROR(E318/C318*100,0)</f>
        <v>98.429658120401456</v>
      </c>
      <c r="H318" s="110">
        <f t="shared" ref="H318:AE318" si="101">H320+H321+H319+H322</f>
        <v>0</v>
      </c>
      <c r="I318" s="110">
        <f t="shared" si="101"/>
        <v>0</v>
      </c>
      <c r="J318" s="110">
        <f t="shared" si="101"/>
        <v>0</v>
      </c>
      <c r="K318" s="110">
        <f t="shared" si="101"/>
        <v>0</v>
      </c>
      <c r="L318" s="110">
        <f t="shared" si="101"/>
        <v>0</v>
      </c>
      <c r="M318" s="110">
        <f t="shared" si="101"/>
        <v>0</v>
      </c>
      <c r="N318" s="110">
        <f t="shared" si="101"/>
        <v>0</v>
      </c>
      <c r="O318" s="110">
        <f t="shared" si="101"/>
        <v>0</v>
      </c>
      <c r="P318" s="110">
        <f t="shared" si="101"/>
        <v>0</v>
      </c>
      <c r="Q318" s="110">
        <f t="shared" si="101"/>
        <v>0</v>
      </c>
      <c r="R318" s="110">
        <f t="shared" si="101"/>
        <v>423.4</v>
      </c>
      <c r="S318" s="110">
        <f t="shared" si="101"/>
        <v>423.4</v>
      </c>
      <c r="T318" s="110">
        <f t="shared" si="101"/>
        <v>43000</v>
      </c>
      <c r="U318" s="110">
        <f t="shared" si="101"/>
        <v>42315.22</v>
      </c>
      <c r="V318" s="110">
        <f t="shared" si="101"/>
        <v>2569.4000000000005</v>
      </c>
      <c r="W318" s="110">
        <f t="shared" si="101"/>
        <v>2531.9358000000002</v>
      </c>
      <c r="X318" s="110">
        <f t="shared" si="101"/>
        <v>0</v>
      </c>
      <c r="Y318" s="110">
        <f t="shared" si="101"/>
        <v>0</v>
      </c>
      <c r="Z318" s="110">
        <f t="shared" si="101"/>
        <v>0</v>
      </c>
      <c r="AA318" s="110">
        <f t="shared" si="101"/>
        <v>0</v>
      </c>
      <c r="AB318" s="110">
        <f t="shared" si="101"/>
        <v>0</v>
      </c>
      <c r="AC318" s="110">
        <f t="shared" si="101"/>
        <v>0</v>
      </c>
      <c r="AD318" s="110">
        <f t="shared" si="101"/>
        <v>0</v>
      </c>
      <c r="AE318" s="110">
        <f t="shared" si="101"/>
        <v>0</v>
      </c>
      <c r="AF318" s="29"/>
      <c r="AG318" s="99">
        <f t="shared" si="46"/>
        <v>9.0949470177292824E-13</v>
      </c>
    </row>
    <row r="319" spans="1:33" x14ac:dyDescent="0.3">
      <c r="A319" s="593" t="s">
        <v>169</v>
      </c>
      <c r="B319" s="594">
        <f>J319+L319+N319+P319+R319+T319+V319+X319+Z319+AB319+AD319+H319</f>
        <v>0</v>
      </c>
      <c r="C319" s="114">
        <f>SUM(H319)</f>
        <v>0</v>
      </c>
      <c r="D319" s="115">
        <f>E319</f>
        <v>0</v>
      </c>
      <c r="E319" s="114">
        <f>SUM(I319,K319,M319,O319,Q319,S319,U319,W319,Y319,AA319,AC319,AE319)</f>
        <v>0</v>
      </c>
      <c r="F319" s="113">
        <f>IFERROR(E319/B319*100,0)</f>
        <v>0</v>
      </c>
      <c r="G319" s="113">
        <f>IFERROR(E319/C319*100,0)</f>
        <v>0</v>
      </c>
      <c r="H319" s="108"/>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29"/>
      <c r="AG319" s="99">
        <f t="shared" si="46"/>
        <v>0</v>
      </c>
    </row>
    <row r="320" spans="1:33" x14ac:dyDescent="0.3">
      <c r="A320" s="593" t="s">
        <v>32</v>
      </c>
      <c r="B320" s="594">
        <f>J320+L320+N320+P320+R320+T320+V320+X320+Z320+AB320+AD320+H320</f>
        <v>0</v>
      </c>
      <c r="C320" s="114">
        <f>SUM(H320)</f>
        <v>0</v>
      </c>
      <c r="D320" s="115">
        <f>E320</f>
        <v>0</v>
      </c>
      <c r="E320" s="114">
        <f>SUM(I320,K320,M320,O320,Q320,S320,U320,W320,Y320,AA320,AC320,AE320)</f>
        <v>0</v>
      </c>
      <c r="F320" s="113">
        <f>IFERROR(E320/B320*100,0)</f>
        <v>0</v>
      </c>
      <c r="G320" s="113">
        <f>IFERROR(E320/C320*100,0)</f>
        <v>0</v>
      </c>
      <c r="H320" s="108"/>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29"/>
      <c r="AG320" s="99">
        <f t="shared" si="46"/>
        <v>0</v>
      </c>
    </row>
    <row r="321" spans="1:42" x14ac:dyDescent="0.3">
      <c r="A321" s="593" t="s">
        <v>33</v>
      </c>
      <c r="B321" s="594">
        <f>J321+L321+N321+P321+R321+T321+V321+X321+Z321+AB321+AD321+H321</f>
        <v>45992.800000000003</v>
      </c>
      <c r="C321" s="114">
        <f>H321+J321+L321+N321+P321+R321+T321+V321</f>
        <v>45992.800000000003</v>
      </c>
      <c r="D321" s="115">
        <f>E321</f>
        <v>45270.555800000002</v>
      </c>
      <c r="E321" s="114">
        <f>SUM(I321,K321,M321,O321,Q321,S321,U321,W321,Y321,AA321,AC321,AE321)</f>
        <v>45270.555800000002</v>
      </c>
      <c r="F321" s="113">
        <f>IFERROR(E321/B321*100,0)</f>
        <v>98.429658120401456</v>
      </c>
      <c r="G321" s="113">
        <f>IFERROR(E321/C321*100,0)</f>
        <v>98.429658120401456</v>
      </c>
      <c r="H321" s="108"/>
      <c r="I321" s="108"/>
      <c r="J321" s="108"/>
      <c r="K321" s="108"/>
      <c r="L321" s="108"/>
      <c r="M321" s="108"/>
      <c r="N321" s="108"/>
      <c r="O321" s="108"/>
      <c r="P321" s="108"/>
      <c r="Q321" s="108"/>
      <c r="R321" s="108">
        <v>423.4</v>
      </c>
      <c r="S321" s="108">
        <v>423.4</v>
      </c>
      <c r="T321" s="108">
        <v>43000</v>
      </c>
      <c r="U321" s="108">
        <f>43000-684.78</f>
        <v>42315.22</v>
      </c>
      <c r="V321" s="108">
        <f>2992.8+423.4-846.8</f>
        <v>2569.4000000000005</v>
      </c>
      <c r="W321" s="108">
        <v>2531.9358000000002</v>
      </c>
      <c r="X321" s="108"/>
      <c r="Y321" s="108"/>
      <c r="Z321" s="108"/>
      <c r="AA321" s="108"/>
      <c r="AB321" s="108"/>
      <c r="AC321" s="108"/>
      <c r="AD321" s="108"/>
      <c r="AE321" s="108"/>
      <c r="AF321" s="29"/>
      <c r="AG321" s="99">
        <f t="shared" si="46"/>
        <v>9.0949470177292824E-13</v>
      </c>
    </row>
    <row r="322" spans="1:42" x14ac:dyDescent="0.3">
      <c r="A322" s="593" t="s">
        <v>170</v>
      </c>
      <c r="B322" s="594"/>
      <c r="C322" s="114"/>
      <c r="D322" s="115"/>
      <c r="E322" s="114"/>
      <c r="F322" s="113"/>
      <c r="G322" s="113"/>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29"/>
      <c r="AG322" s="99">
        <f t="shared" si="46"/>
        <v>0</v>
      </c>
    </row>
    <row r="323" spans="1:42" s="94" customFormat="1" ht="61.5" customHeight="1" x14ac:dyDescent="0.3">
      <c r="A323" s="596" t="s">
        <v>307</v>
      </c>
      <c r="B323" s="591"/>
      <c r="C323" s="128"/>
      <c r="D323" s="128"/>
      <c r="E323" s="128"/>
      <c r="F323" s="128"/>
      <c r="G323" s="128"/>
      <c r="H323" s="208"/>
      <c r="I323" s="208"/>
      <c r="J323" s="208"/>
      <c r="K323" s="208"/>
      <c r="L323" s="208"/>
      <c r="M323" s="208"/>
      <c r="N323" s="208"/>
      <c r="O323" s="208"/>
      <c r="P323" s="208"/>
      <c r="Q323" s="208"/>
      <c r="R323" s="208"/>
      <c r="S323" s="208"/>
      <c r="T323" s="208"/>
      <c r="U323" s="208"/>
      <c r="V323" s="208"/>
      <c r="W323" s="208"/>
      <c r="X323" s="208"/>
      <c r="Y323" s="208"/>
      <c r="Z323" s="208"/>
      <c r="AA323" s="208"/>
      <c r="AB323" s="208"/>
      <c r="AC323" s="208"/>
      <c r="AD323" s="208"/>
      <c r="AE323" s="208"/>
      <c r="AF323" s="209"/>
      <c r="AG323" s="210">
        <f t="shared" si="46"/>
        <v>0</v>
      </c>
    </row>
    <row r="324" spans="1:42" s="94" customFormat="1" x14ac:dyDescent="0.3">
      <c r="A324" s="590" t="s">
        <v>31</v>
      </c>
      <c r="B324" s="591">
        <f>B326+B327+B325+B328</f>
        <v>235181.00541999997</v>
      </c>
      <c r="C324" s="110">
        <f>C326+C327+C325+C328</f>
        <v>97032.351749999987</v>
      </c>
      <c r="D324" s="111">
        <f>D326+D327+D325+D328</f>
        <v>231269.30229999998</v>
      </c>
      <c r="E324" s="110">
        <f>E326+E327+E325+E328</f>
        <v>231269.30229999998</v>
      </c>
      <c r="F324" s="110">
        <f>IFERROR(E324/B324*100,0)</f>
        <v>98.336726593623396</v>
      </c>
      <c r="G324" s="110">
        <f>IFERROR(E324/C324*100,0)</f>
        <v>238.3424683922494</v>
      </c>
      <c r="H324" s="110">
        <f t="shared" ref="H324:AE324" si="102">H326+H327+H325+H328</f>
        <v>15729.4</v>
      </c>
      <c r="I324" s="110">
        <f t="shared" si="102"/>
        <v>9416.6</v>
      </c>
      <c r="J324" s="110">
        <f t="shared" si="102"/>
        <v>28820.74</v>
      </c>
      <c r="K324" s="110">
        <f t="shared" si="102"/>
        <v>28921.500000000004</v>
      </c>
      <c r="L324" s="110">
        <f t="shared" si="102"/>
        <v>28307.33</v>
      </c>
      <c r="M324" s="110">
        <f t="shared" si="102"/>
        <v>29030.61</v>
      </c>
      <c r="N324" s="110">
        <f t="shared" si="102"/>
        <v>24174.88175</v>
      </c>
      <c r="O324" s="110">
        <f t="shared" si="102"/>
        <v>16432.27</v>
      </c>
      <c r="P324" s="110">
        <f t="shared" si="102"/>
        <v>27445.34362</v>
      </c>
      <c r="Q324" s="110">
        <f t="shared" si="102"/>
        <v>26912.510000000002</v>
      </c>
      <c r="R324" s="110">
        <f t="shared" si="102"/>
        <v>9054.0535999999993</v>
      </c>
      <c r="S324" s="110">
        <f t="shared" si="102"/>
        <v>12696.59</v>
      </c>
      <c r="T324" s="110">
        <f t="shared" si="102"/>
        <v>0</v>
      </c>
      <c r="U324" s="110">
        <f t="shared" si="102"/>
        <v>0</v>
      </c>
      <c r="V324" s="110">
        <f t="shared" si="102"/>
        <v>0</v>
      </c>
      <c r="W324" s="110">
        <f t="shared" si="102"/>
        <v>0</v>
      </c>
      <c r="X324" s="110">
        <f t="shared" si="102"/>
        <v>18918.016300000003</v>
      </c>
      <c r="Y324" s="110">
        <f t="shared" si="102"/>
        <v>13014.779999999999</v>
      </c>
      <c r="Z324" s="110">
        <f t="shared" si="102"/>
        <v>33217.397400000002</v>
      </c>
      <c r="AA324" s="110">
        <f t="shared" si="102"/>
        <v>29911.1</v>
      </c>
      <c r="AB324" s="110">
        <f t="shared" si="102"/>
        <v>27129.891700000004</v>
      </c>
      <c r="AC324" s="110">
        <f t="shared" si="102"/>
        <v>19191.520000000004</v>
      </c>
      <c r="AD324" s="110">
        <f t="shared" si="102"/>
        <v>22383.95105</v>
      </c>
      <c r="AE324" s="110">
        <f t="shared" si="102"/>
        <v>45741.8223</v>
      </c>
      <c r="AF324" s="209"/>
      <c r="AG324" s="210">
        <f t="shared" si="46"/>
        <v>-3.637978807091713E-11</v>
      </c>
    </row>
    <row r="325" spans="1:42" s="94" customFormat="1" x14ac:dyDescent="0.3">
      <c r="A325" s="590" t="s">
        <v>169</v>
      </c>
      <c r="B325" s="591">
        <f>J325+L325+N325+P325+R325+T325+V325+X325+Z325+AB325+AD325+H325</f>
        <v>22900.000240000001</v>
      </c>
      <c r="C325" s="211">
        <f>H325+J325+L325+N325</f>
        <v>8381.7667500000007</v>
      </c>
      <c r="D325" s="212">
        <f>E325</f>
        <v>22742.7166</v>
      </c>
      <c r="E325" s="211">
        <f>SUM(I325,K325,M325,O325,Q325,S325,U325,W325,Y325,AA325,AC325,AE325)</f>
        <v>22742.7166</v>
      </c>
      <c r="F325" s="110">
        <f>IFERROR(E325/B325*100,0)</f>
        <v>99.313171884927456</v>
      </c>
      <c r="G325" s="110">
        <f>IFERROR(E325/C325*100,0)</f>
        <v>271.33559401423332</v>
      </c>
      <c r="H325" s="208">
        <f>H331+H337+H343</f>
        <v>1301.9000000000001</v>
      </c>
      <c r="I325" s="208">
        <f t="shared" ref="I325:AE328" si="103">I331+I337+I343</f>
        <v>1301.9000000000001</v>
      </c>
      <c r="J325" s="208">
        <f t="shared" si="103"/>
        <v>2713.7</v>
      </c>
      <c r="K325" s="208">
        <f t="shared" si="103"/>
        <v>2713.7</v>
      </c>
      <c r="L325" s="208">
        <f t="shared" si="103"/>
        <v>2898.5</v>
      </c>
      <c r="M325" s="208">
        <f t="shared" si="103"/>
        <v>2898.5</v>
      </c>
      <c r="N325" s="208">
        <f t="shared" si="103"/>
        <v>1467.6667499999999</v>
      </c>
      <c r="O325" s="208">
        <f t="shared" si="103"/>
        <v>1325.81</v>
      </c>
      <c r="P325" s="208">
        <f t="shared" si="103"/>
        <v>2860.0432000000001</v>
      </c>
      <c r="Q325" s="208">
        <f t="shared" si="103"/>
        <v>2860.04</v>
      </c>
      <c r="R325" s="208">
        <f t="shared" si="103"/>
        <v>914.33019999999999</v>
      </c>
      <c r="S325" s="208">
        <f t="shared" si="103"/>
        <v>732.43</v>
      </c>
      <c r="T325" s="208">
        <f t="shared" si="103"/>
        <v>0</v>
      </c>
      <c r="U325" s="208">
        <f t="shared" si="103"/>
        <v>0</v>
      </c>
      <c r="V325" s="208">
        <f t="shared" si="103"/>
        <v>0</v>
      </c>
      <c r="W325" s="208">
        <f t="shared" si="103"/>
        <v>0</v>
      </c>
      <c r="X325" s="208">
        <f t="shared" si="103"/>
        <v>2324.6027999999997</v>
      </c>
      <c r="Y325" s="208">
        <f t="shared" si="103"/>
        <v>1438.6066000000001</v>
      </c>
      <c r="Z325" s="208">
        <f t="shared" si="103"/>
        <v>4295.6216999999997</v>
      </c>
      <c r="AA325" s="208">
        <f t="shared" si="103"/>
        <v>3128.6</v>
      </c>
      <c r="AB325" s="208">
        <f t="shared" si="103"/>
        <v>2846.4506999999999</v>
      </c>
      <c r="AC325" s="208">
        <f t="shared" si="103"/>
        <v>462.93</v>
      </c>
      <c r="AD325" s="208">
        <f t="shared" si="103"/>
        <v>1277.18489</v>
      </c>
      <c r="AE325" s="208">
        <f t="shared" si="103"/>
        <v>5880.2</v>
      </c>
      <c r="AF325" s="209"/>
      <c r="AG325" s="210">
        <f t="shared" si="46"/>
        <v>-1.8189894035458565E-12</v>
      </c>
    </row>
    <row r="326" spans="1:42" s="94" customFormat="1" x14ac:dyDescent="0.3">
      <c r="A326" s="590" t="s">
        <v>32</v>
      </c>
      <c r="B326" s="591">
        <f>J326+L326+N326+P326+R326+T326+V326+X326+Z326+AB326+AD326+H326</f>
        <v>188476.00347</v>
      </c>
      <c r="C326" s="211">
        <f>H326+J326+L326+N326</f>
        <v>75499.426749999999</v>
      </c>
      <c r="D326" s="212">
        <f>E326</f>
        <v>187798.9155</v>
      </c>
      <c r="E326" s="211">
        <f>SUM(I326,K326,M326,O326,Q326,S326,U326,W326,Y326,AA326,AC326,AE326)</f>
        <v>187798.9155</v>
      </c>
      <c r="F326" s="110">
        <f>IFERROR(E326/B326*100,0)</f>
        <v>99.640756405306647</v>
      </c>
      <c r="G326" s="110">
        <f>IFERROR(E326/C326*100,0)</f>
        <v>248.74217405895735</v>
      </c>
      <c r="H326" s="208">
        <f>H332+H338+H344</f>
        <v>11954.5</v>
      </c>
      <c r="I326" s="208">
        <f t="shared" ref="I326:W326" si="104">I332+I338+I344</f>
        <v>5641.7</v>
      </c>
      <c r="J326" s="208">
        <f t="shared" si="104"/>
        <v>22154.04</v>
      </c>
      <c r="K326" s="208">
        <f t="shared" si="104"/>
        <v>22254.800000000003</v>
      </c>
      <c r="L326" s="208">
        <f t="shared" si="104"/>
        <v>21802.27</v>
      </c>
      <c r="M326" s="208">
        <f t="shared" si="104"/>
        <v>22525.54</v>
      </c>
      <c r="N326" s="208">
        <f t="shared" si="104"/>
        <v>19588.616750000001</v>
      </c>
      <c r="O326" s="208">
        <f t="shared" si="104"/>
        <v>12314.810000000001</v>
      </c>
      <c r="P326" s="208">
        <f t="shared" si="104"/>
        <v>21473.895820000002</v>
      </c>
      <c r="Q326" s="208">
        <f t="shared" si="104"/>
        <v>20941.07</v>
      </c>
      <c r="R326" s="208">
        <f t="shared" si="104"/>
        <v>6570.1833999999999</v>
      </c>
      <c r="S326" s="208">
        <f t="shared" si="104"/>
        <v>10149.4</v>
      </c>
      <c r="T326" s="208">
        <f t="shared" si="104"/>
        <v>0</v>
      </c>
      <c r="U326" s="208">
        <f t="shared" si="104"/>
        <v>0</v>
      </c>
      <c r="V326" s="208">
        <f t="shared" si="104"/>
        <v>0</v>
      </c>
      <c r="W326" s="208">
        <f t="shared" si="104"/>
        <v>0</v>
      </c>
      <c r="X326" s="208">
        <f t="shared" si="103"/>
        <v>14426.157800000001</v>
      </c>
      <c r="Y326" s="208">
        <f t="shared" si="103"/>
        <v>11213.0512</v>
      </c>
      <c r="Z326" s="208">
        <f t="shared" si="103"/>
        <v>25733.922599999998</v>
      </c>
      <c r="AA326" s="208">
        <f t="shared" si="103"/>
        <v>25992.82</v>
      </c>
      <c r="AB326" s="208">
        <f t="shared" si="103"/>
        <v>24224.931900000003</v>
      </c>
      <c r="AC326" s="208">
        <f t="shared" si="103"/>
        <v>18536.010000000002</v>
      </c>
      <c r="AD326" s="208">
        <f t="shared" si="103"/>
        <v>20547.485199999999</v>
      </c>
      <c r="AE326" s="208">
        <f t="shared" si="103"/>
        <v>38229.7143</v>
      </c>
      <c r="AF326" s="209"/>
      <c r="AG326" s="210">
        <f t="shared" si="46"/>
        <v>0</v>
      </c>
    </row>
    <row r="327" spans="1:42" s="94" customFormat="1" x14ac:dyDescent="0.3">
      <c r="A327" s="590" t="s">
        <v>33</v>
      </c>
      <c r="B327" s="591">
        <f>J327+L327+N327+P327+R327+T327+V327+X327+Z327+AB327+AD327+H327</f>
        <v>23805.001709999997</v>
      </c>
      <c r="C327" s="211">
        <f>H327+J327+L327+N327</f>
        <v>13151.15825</v>
      </c>
      <c r="D327" s="212">
        <f>E327</f>
        <v>20727.6702</v>
      </c>
      <c r="E327" s="211">
        <f>SUM(I327,K327,M327,O327,Q327,S327,U327,W327,Y327,AA327,AC327,AE327)</f>
        <v>20727.6702</v>
      </c>
      <c r="F327" s="110">
        <f>IFERROR(E327/B327*100,0)</f>
        <v>87.07275240939272</v>
      </c>
      <c r="G327" s="110">
        <f>IFERROR(E327/C327*100,0)</f>
        <v>157.61098608938113</v>
      </c>
      <c r="H327" s="208">
        <f>H333+H339+H345</f>
        <v>2473</v>
      </c>
      <c r="I327" s="208">
        <f t="shared" si="103"/>
        <v>2473</v>
      </c>
      <c r="J327" s="208">
        <f t="shared" si="103"/>
        <v>3953</v>
      </c>
      <c r="K327" s="208">
        <f t="shared" si="103"/>
        <v>3953</v>
      </c>
      <c r="L327" s="208">
        <f t="shared" si="103"/>
        <v>3606.56</v>
      </c>
      <c r="M327" s="208">
        <f t="shared" si="103"/>
        <v>3606.57</v>
      </c>
      <c r="N327" s="208">
        <f t="shared" si="103"/>
        <v>3118.59825</v>
      </c>
      <c r="O327" s="208">
        <f t="shared" si="103"/>
        <v>2791.65</v>
      </c>
      <c r="P327" s="208">
        <f t="shared" si="103"/>
        <v>3111.4045999999998</v>
      </c>
      <c r="Q327" s="208">
        <f t="shared" si="103"/>
        <v>3111.4</v>
      </c>
      <c r="R327" s="208">
        <f t="shared" si="103"/>
        <v>1569.54</v>
      </c>
      <c r="S327" s="208">
        <f t="shared" si="103"/>
        <v>1814.7600000000002</v>
      </c>
      <c r="T327" s="208">
        <f t="shared" si="103"/>
        <v>0</v>
      </c>
      <c r="U327" s="208">
        <f t="shared" si="103"/>
        <v>0</v>
      </c>
      <c r="V327" s="208">
        <f t="shared" si="103"/>
        <v>0</v>
      </c>
      <c r="W327" s="208">
        <f t="shared" si="103"/>
        <v>0</v>
      </c>
      <c r="X327" s="208">
        <f t="shared" si="103"/>
        <v>2167.2556999999997</v>
      </c>
      <c r="Y327" s="208">
        <f t="shared" si="103"/>
        <v>363.12220000000002</v>
      </c>
      <c r="Z327" s="208">
        <f t="shared" si="103"/>
        <v>3187.8531000000003</v>
      </c>
      <c r="AA327" s="208">
        <f t="shared" si="103"/>
        <v>789.68</v>
      </c>
      <c r="AB327" s="208">
        <f t="shared" si="103"/>
        <v>58.509099999999989</v>
      </c>
      <c r="AC327" s="208">
        <f t="shared" si="103"/>
        <v>192.58</v>
      </c>
      <c r="AD327" s="208">
        <f t="shared" si="103"/>
        <v>559.28096000000005</v>
      </c>
      <c r="AE327" s="208">
        <f t="shared" si="103"/>
        <v>1631.9079999999999</v>
      </c>
      <c r="AF327" s="209"/>
      <c r="AG327" s="210">
        <f t="shared" si="46"/>
        <v>-3.4106051316484809E-12</v>
      </c>
    </row>
    <row r="328" spans="1:42" s="94" customFormat="1" x14ac:dyDescent="0.3">
      <c r="A328" s="590" t="s">
        <v>170</v>
      </c>
      <c r="B328" s="591"/>
      <c r="C328" s="211"/>
      <c r="D328" s="212"/>
      <c r="E328" s="211"/>
      <c r="F328" s="110"/>
      <c r="G328" s="110"/>
      <c r="H328" s="208">
        <f>H334+H340+H346</f>
        <v>0</v>
      </c>
      <c r="I328" s="208">
        <f t="shared" si="103"/>
        <v>0</v>
      </c>
      <c r="J328" s="208">
        <f t="shared" si="103"/>
        <v>0</v>
      </c>
      <c r="K328" s="208">
        <f t="shared" si="103"/>
        <v>0</v>
      </c>
      <c r="L328" s="208">
        <f t="shared" si="103"/>
        <v>0</v>
      </c>
      <c r="M328" s="208">
        <f t="shared" si="103"/>
        <v>0</v>
      </c>
      <c r="N328" s="208">
        <f t="shared" si="103"/>
        <v>0</v>
      </c>
      <c r="O328" s="208">
        <f t="shared" si="103"/>
        <v>0</v>
      </c>
      <c r="P328" s="208">
        <f t="shared" si="103"/>
        <v>0</v>
      </c>
      <c r="Q328" s="208">
        <f t="shared" si="103"/>
        <v>0</v>
      </c>
      <c r="R328" s="208">
        <f t="shared" si="103"/>
        <v>0</v>
      </c>
      <c r="S328" s="208">
        <f t="shared" si="103"/>
        <v>0</v>
      </c>
      <c r="T328" s="208">
        <f t="shared" si="103"/>
        <v>0</v>
      </c>
      <c r="U328" s="208">
        <f t="shared" si="103"/>
        <v>0</v>
      </c>
      <c r="V328" s="208">
        <f t="shared" si="103"/>
        <v>0</v>
      </c>
      <c r="W328" s="208">
        <f t="shared" si="103"/>
        <v>0</v>
      </c>
      <c r="X328" s="208">
        <f t="shared" si="103"/>
        <v>0</v>
      </c>
      <c r="Y328" s="208">
        <f t="shared" si="103"/>
        <v>0</v>
      </c>
      <c r="Z328" s="208">
        <f t="shared" si="103"/>
        <v>0</v>
      </c>
      <c r="AA328" s="208">
        <f t="shared" si="103"/>
        <v>0</v>
      </c>
      <c r="AB328" s="208">
        <f t="shared" si="103"/>
        <v>0</v>
      </c>
      <c r="AC328" s="208">
        <f t="shared" si="103"/>
        <v>0</v>
      </c>
      <c r="AD328" s="208">
        <f t="shared" si="103"/>
        <v>0</v>
      </c>
      <c r="AE328" s="208">
        <f t="shared" si="103"/>
        <v>0</v>
      </c>
      <c r="AF328" s="209"/>
      <c r="AG328" s="210">
        <f t="shared" si="46"/>
        <v>0</v>
      </c>
    </row>
    <row r="329" spans="1:42" ht="61.5" customHeight="1" x14ac:dyDescent="0.3">
      <c r="A329" s="713" t="s">
        <v>308</v>
      </c>
      <c r="B329" s="594"/>
      <c r="C329" s="107"/>
      <c r="D329" s="107"/>
      <c r="E329" s="107"/>
      <c r="F329" s="107"/>
      <c r="G329" s="107"/>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29"/>
      <c r="AG329" s="99">
        <f t="shared" si="46"/>
        <v>0</v>
      </c>
    </row>
    <row r="330" spans="1:42" x14ac:dyDescent="0.3">
      <c r="A330" s="590" t="s">
        <v>31</v>
      </c>
      <c r="B330" s="591">
        <f>B332+B333+B331+B334</f>
        <v>63030.2048</v>
      </c>
      <c r="C330" s="110">
        <f>C332+C333+C331+C334</f>
        <v>63030.204800000007</v>
      </c>
      <c r="D330" s="111">
        <f>D332+D333+D331+D334</f>
        <v>62597.276400000002</v>
      </c>
      <c r="E330" s="110">
        <f>E332+E333+E331+E334</f>
        <v>62597.276400000002</v>
      </c>
      <c r="F330" s="110">
        <f>IFERROR(E330/B330*100,0)</f>
        <v>99.313141371864944</v>
      </c>
      <c r="G330" s="110">
        <f>IFERROR(E330/C330*100,0)</f>
        <v>99.31314137186493</v>
      </c>
      <c r="H330" s="110">
        <f t="shared" ref="H330:AE330" si="105">H332+H333+H331+H334</f>
        <v>3583.5</v>
      </c>
      <c r="I330" s="110">
        <f t="shared" si="105"/>
        <v>3583.5</v>
      </c>
      <c r="J330" s="110">
        <f t="shared" si="105"/>
        <v>7469.0999999999995</v>
      </c>
      <c r="K330" s="110">
        <f t="shared" si="105"/>
        <v>7469.0999999999995</v>
      </c>
      <c r="L330" s="110">
        <f t="shared" si="105"/>
        <v>7977.76</v>
      </c>
      <c r="M330" s="110">
        <f t="shared" si="105"/>
        <v>7977.7699999999995</v>
      </c>
      <c r="N330" s="110">
        <f t="shared" si="105"/>
        <v>6494.36175</v>
      </c>
      <c r="O330" s="110">
        <f t="shared" si="105"/>
        <v>3649.23</v>
      </c>
      <c r="P330" s="110">
        <f t="shared" si="105"/>
        <v>5464.7921999999999</v>
      </c>
      <c r="Q330" s="110">
        <f t="shared" si="105"/>
        <v>7629.5</v>
      </c>
      <c r="R330" s="110">
        <f t="shared" si="105"/>
        <v>2469.1446000000001</v>
      </c>
      <c r="S330" s="110">
        <f t="shared" si="105"/>
        <v>2258.44</v>
      </c>
      <c r="T330" s="110">
        <f t="shared" si="105"/>
        <v>0</v>
      </c>
      <c r="U330" s="110">
        <f t="shared" si="105"/>
        <v>0</v>
      </c>
      <c r="V330" s="110">
        <f t="shared" si="105"/>
        <v>0</v>
      </c>
      <c r="W330" s="110">
        <f t="shared" si="105"/>
        <v>0</v>
      </c>
      <c r="X330" s="110">
        <f t="shared" si="105"/>
        <v>6382.0150999999996</v>
      </c>
      <c r="Y330" s="110">
        <f t="shared" si="105"/>
        <v>3959.6211000000003</v>
      </c>
      <c r="Z330" s="110">
        <f t="shared" si="105"/>
        <v>11850.937399999999</v>
      </c>
      <c r="AA330" s="110">
        <f t="shared" si="105"/>
        <v>8611.19</v>
      </c>
      <c r="AB330" s="110">
        <f t="shared" si="105"/>
        <v>7200.5637000000006</v>
      </c>
      <c r="AC330" s="110">
        <f t="shared" si="105"/>
        <v>1799.93</v>
      </c>
      <c r="AD330" s="110">
        <f t="shared" si="105"/>
        <v>4138.0300499999994</v>
      </c>
      <c r="AE330" s="110">
        <f t="shared" si="105"/>
        <v>15658.995299999999</v>
      </c>
      <c r="AF330" s="29"/>
      <c r="AG330" s="99">
        <f t="shared" si="46"/>
        <v>0</v>
      </c>
    </row>
    <row r="331" spans="1:42" x14ac:dyDescent="0.3">
      <c r="A331" s="593" t="s">
        <v>169</v>
      </c>
      <c r="B331" s="594">
        <f>J331+L331+N331+P331+R331+T331+V331+X331+Z331+AB331+AD331+H331</f>
        <v>22900.000240000001</v>
      </c>
      <c r="C331" s="114">
        <f>H331+J331+L331+N331+P331+R331+X331+Z331+AB331+AD331</f>
        <v>22900.000240000001</v>
      </c>
      <c r="D331" s="115">
        <f>E331</f>
        <v>22742.7166</v>
      </c>
      <c r="E331" s="114">
        <f>SUM(I331,K331,M331,O331,Q331,S331,U331,W331,Y331,AA331,AC331,AE331)</f>
        <v>22742.7166</v>
      </c>
      <c r="F331" s="113">
        <f>IFERROR(E331/B331*100,0)</f>
        <v>99.313171884927456</v>
      </c>
      <c r="G331" s="113">
        <f>IFERROR(E331/C331*100,0)</f>
        <v>99.313171884927456</v>
      </c>
      <c r="H331" s="108">
        <v>1301.9000000000001</v>
      </c>
      <c r="I331" s="108">
        <v>1301.9000000000001</v>
      </c>
      <c r="J331" s="108">
        <v>2713.7</v>
      </c>
      <c r="K331" s="108">
        <v>2713.7</v>
      </c>
      <c r="L331" s="108">
        <v>2898.5</v>
      </c>
      <c r="M331" s="108">
        <v>2898.5</v>
      </c>
      <c r="N331" s="108">
        <f>2772.97675-148.08-1157.23</f>
        <v>1467.6667499999999</v>
      </c>
      <c r="O331" s="108">
        <v>1325.81</v>
      </c>
      <c r="P331" s="108">
        <v>2860.0432000000001</v>
      </c>
      <c r="Q331" s="108">
        <v>2860.04</v>
      </c>
      <c r="R331" s="108">
        <v>914.33019999999999</v>
      </c>
      <c r="S331" s="108">
        <v>732.43</v>
      </c>
      <c r="T331" s="108"/>
      <c r="U331" s="108"/>
      <c r="V331" s="108"/>
      <c r="W331" s="108"/>
      <c r="X331" s="108">
        <f>2028.7749+148.08+1157.23-1009.4821</f>
        <v>2324.6027999999997</v>
      </c>
      <c r="Y331" s="108">
        <v>1438.6066000000001</v>
      </c>
      <c r="Z331" s="108">
        <f>1077+3218.6217</f>
        <v>4295.6216999999997</v>
      </c>
      <c r="AA331" s="108">
        <v>3128.6</v>
      </c>
      <c r="AB331" s="108">
        <v>2846.4506999999999</v>
      </c>
      <c r="AC331" s="108">
        <v>462.93</v>
      </c>
      <c r="AD331" s="108">
        <f>2660.50489+768+241.48-2392.8</f>
        <v>1277.18489</v>
      </c>
      <c r="AE331" s="108">
        <v>5880.2</v>
      </c>
      <c r="AF331" s="29"/>
      <c r="AG331" s="99">
        <f t="shared" si="46"/>
        <v>-1.8189894035458565E-12</v>
      </c>
    </row>
    <row r="332" spans="1:42" x14ac:dyDescent="0.3">
      <c r="A332" s="593" t="s">
        <v>32</v>
      </c>
      <c r="B332" s="594">
        <f>J332+L332+N332+P332+R332+T332+V332+X332+Z332+AB332+AD332+H332</f>
        <v>34350.002849999997</v>
      </c>
      <c r="C332" s="114">
        <f t="shared" ref="C332:C333" si="106">H332+J332+L332+N332+P332+R332+X332+Z332+AB332+AD332</f>
        <v>34350.002850000004</v>
      </c>
      <c r="D332" s="115">
        <f>E332</f>
        <v>34114.067600000002</v>
      </c>
      <c r="E332" s="114">
        <f>SUM(I332,K332,M332,O332,Q332,S332,U332,W332,Y332,AA332,AC332,AE332)</f>
        <v>34114.067600000002</v>
      </c>
      <c r="F332" s="113">
        <f>IFERROR(E332/B332*100,0)</f>
        <v>99.313143433989566</v>
      </c>
      <c r="G332" s="113">
        <f>IFERROR(E332/C332*100,0)</f>
        <v>99.313143433989552</v>
      </c>
      <c r="H332" s="108">
        <v>1953</v>
      </c>
      <c r="I332" s="108">
        <v>1953</v>
      </c>
      <c r="J332" s="108">
        <v>4070.4</v>
      </c>
      <c r="K332" s="108">
        <v>4070.4</v>
      </c>
      <c r="L332" s="108">
        <v>4347.7</v>
      </c>
      <c r="M332" s="108">
        <v>4347.7</v>
      </c>
      <c r="N332" s="108">
        <f>4146.31675+218.78</f>
        <v>4365.0967499999997</v>
      </c>
      <c r="O332" s="108">
        <v>1988.77</v>
      </c>
      <c r="P332" s="108">
        <f>4356.0644-2164.72</f>
        <v>2191.3444000000004</v>
      </c>
      <c r="Q332" s="108">
        <v>4356.0600000000004</v>
      </c>
      <c r="R332" s="108">
        <f>1525.4544+218.78-437.56</f>
        <v>1306.6744000000001</v>
      </c>
      <c r="S332" s="108">
        <v>1032.6500000000001</v>
      </c>
      <c r="T332" s="108">
        <v>0</v>
      </c>
      <c r="U332" s="108"/>
      <c r="V332" s="108">
        <v>0</v>
      </c>
      <c r="W332" s="108"/>
      <c r="X332" s="108">
        <f>3182.58+3078.7633-1557.38-1231.8067</f>
        <v>3472.1566000000003</v>
      </c>
      <c r="Y332" s="108">
        <v>2157.8923</v>
      </c>
      <c r="Z332" s="108">
        <f>1231.8067+4814.6559</f>
        <v>6046.4625999999998</v>
      </c>
      <c r="AA332" s="108">
        <v>4692.91</v>
      </c>
      <c r="AB332" s="108">
        <v>4295.6039000000001</v>
      </c>
      <c r="AC332" s="108">
        <v>1144.42</v>
      </c>
      <c r="AD332" s="108">
        <f>2164.72+3726.1442-3589.3</f>
        <v>2301.5641999999998</v>
      </c>
      <c r="AE332" s="108">
        <v>8370.2652999999991</v>
      </c>
      <c r="AF332" s="29"/>
      <c r="AG332" s="99">
        <f t="shared" si="46"/>
        <v>-7.2759576141834259E-12</v>
      </c>
    </row>
    <row r="333" spans="1:42" x14ac:dyDescent="0.3">
      <c r="A333" s="593" t="s">
        <v>33</v>
      </c>
      <c r="B333" s="594">
        <f>J333+L333+N333+P333+R333+T333+V333+X333+Z333+AB333+AD333+H333</f>
        <v>5780.2017100000003</v>
      </c>
      <c r="C333" s="114">
        <f t="shared" si="106"/>
        <v>5780.2017100000003</v>
      </c>
      <c r="D333" s="115">
        <f>E333</f>
        <v>5740.4922000000006</v>
      </c>
      <c r="E333" s="114">
        <f>SUM(I333,K333,M333,O333,Q333,S333,U333,W333,Y333,AA333,AC333,AE333)</f>
        <v>5740.4922000000006</v>
      </c>
      <c r="F333" s="113">
        <f>IFERROR(E333/B333*100,0)</f>
        <v>99.313008230641842</v>
      </c>
      <c r="G333" s="113">
        <f>IFERROR(E333/C333*100,0)</f>
        <v>99.313008230641842</v>
      </c>
      <c r="H333" s="108">
        <v>328.6</v>
      </c>
      <c r="I333" s="108">
        <v>328.6</v>
      </c>
      <c r="J333" s="108">
        <v>685</v>
      </c>
      <c r="K333" s="108">
        <v>685</v>
      </c>
      <c r="L333" s="108">
        <v>731.56</v>
      </c>
      <c r="M333" s="108">
        <v>731.57</v>
      </c>
      <c r="N333" s="108">
        <f>736.01825-74.42</f>
        <v>661.59825000000001</v>
      </c>
      <c r="O333" s="108">
        <v>334.65</v>
      </c>
      <c r="P333" s="108">
        <f>769.2946-355.89</f>
        <v>413.40459999999996</v>
      </c>
      <c r="Q333" s="108">
        <v>413.4</v>
      </c>
      <c r="R333" s="108">
        <v>248.14</v>
      </c>
      <c r="S333" s="108">
        <v>493.36</v>
      </c>
      <c r="T333" s="108"/>
      <c r="U333" s="108"/>
      <c r="V333" s="108"/>
      <c r="W333" s="108"/>
      <c r="X333" s="108">
        <f>532.7027+74.42+355.89-377.757</f>
        <v>585.25569999999993</v>
      </c>
      <c r="Y333" s="108">
        <v>363.12220000000002</v>
      </c>
      <c r="Z333" s="108">
        <f>356.4+774.6961+377.757</f>
        <v>1508.8531</v>
      </c>
      <c r="AA333" s="108">
        <v>789.68</v>
      </c>
      <c r="AB333" s="108">
        <f>662.4091-603.9</f>
        <v>58.509099999999989</v>
      </c>
      <c r="AC333" s="108">
        <v>192.58</v>
      </c>
      <c r="AD333" s="108">
        <f>19.97+539.31096</f>
        <v>559.28096000000005</v>
      </c>
      <c r="AE333" s="108">
        <v>1408.53</v>
      </c>
      <c r="AF333" s="29"/>
      <c r="AG333" s="99">
        <f t="shared" si="46"/>
        <v>0</v>
      </c>
    </row>
    <row r="334" spans="1:42" x14ac:dyDescent="0.3">
      <c r="A334" s="112" t="s">
        <v>170</v>
      </c>
      <c r="B334" s="113"/>
      <c r="C334" s="114"/>
      <c r="D334" s="115"/>
      <c r="E334" s="114"/>
      <c r="F334" s="113"/>
      <c r="G334" s="113"/>
      <c r="H334" s="108"/>
      <c r="I334" s="108"/>
      <c r="J334" s="108"/>
      <c r="K334" s="108"/>
      <c r="L334" s="108"/>
      <c r="M334" s="108"/>
      <c r="N334" s="108"/>
      <c r="O334" s="108"/>
      <c r="P334" s="108"/>
      <c r="Q334" s="108"/>
      <c r="R334" s="108"/>
      <c r="S334" s="108"/>
      <c r="T334" s="108"/>
      <c r="U334" s="108"/>
      <c r="V334" s="108"/>
      <c r="W334" s="108"/>
      <c r="X334" s="108"/>
      <c r="Y334" s="108"/>
      <c r="Z334" s="108"/>
      <c r="AA334" s="108"/>
      <c r="AB334" s="108"/>
      <c r="AC334" s="108"/>
      <c r="AD334" s="108"/>
      <c r="AE334" s="108"/>
      <c r="AF334" s="29"/>
      <c r="AG334" s="99">
        <f t="shared" si="46"/>
        <v>0</v>
      </c>
    </row>
    <row r="335" spans="1:42" ht="39.75" customHeight="1" x14ac:dyDescent="0.3">
      <c r="A335" s="713" t="s">
        <v>309</v>
      </c>
      <c r="B335" s="594"/>
      <c r="C335" s="602"/>
      <c r="D335" s="602"/>
      <c r="E335" s="602"/>
      <c r="F335" s="602"/>
      <c r="G335" s="602"/>
      <c r="H335" s="499"/>
      <c r="I335" s="499"/>
      <c r="J335" s="499"/>
      <c r="K335" s="499"/>
      <c r="L335" s="499"/>
      <c r="M335" s="499"/>
      <c r="N335" s="499"/>
      <c r="O335" s="499"/>
      <c r="P335" s="499"/>
      <c r="Q335" s="499"/>
      <c r="R335" s="499"/>
      <c r="S335" s="499"/>
      <c r="T335" s="499"/>
      <c r="U335" s="499"/>
      <c r="V335" s="499"/>
      <c r="W335" s="499"/>
      <c r="X335" s="499"/>
      <c r="Y335" s="499"/>
      <c r="Z335" s="499"/>
      <c r="AA335" s="499"/>
      <c r="AB335" s="499"/>
      <c r="AC335" s="499"/>
      <c r="AD335" s="499"/>
      <c r="AE335" s="499"/>
      <c r="AF335" s="587"/>
      <c r="AG335" s="588">
        <f t="shared" si="46"/>
        <v>0</v>
      </c>
      <c r="AH335" s="589"/>
      <c r="AI335" s="589"/>
      <c r="AJ335" s="589"/>
      <c r="AK335" s="589"/>
      <c r="AL335" s="589"/>
      <c r="AM335" s="589"/>
      <c r="AN335" s="589"/>
      <c r="AO335" s="589"/>
      <c r="AP335" s="589"/>
    </row>
    <row r="336" spans="1:42" x14ac:dyDescent="0.3">
      <c r="A336" s="590" t="s">
        <v>31</v>
      </c>
      <c r="B336" s="591">
        <f>B338+B339+B337+B340</f>
        <v>18024.8</v>
      </c>
      <c r="C336" s="591">
        <f>C338+C339+C337+C340</f>
        <v>18024.8</v>
      </c>
      <c r="D336" s="714">
        <f>D338+D339+D337+D340</f>
        <v>14987.178</v>
      </c>
      <c r="E336" s="591">
        <f>E338+E339+E337+E340</f>
        <v>14987.178</v>
      </c>
      <c r="F336" s="591">
        <f>IFERROR(E336/B336*100,0)</f>
        <v>83.147541165505316</v>
      </c>
      <c r="G336" s="591">
        <f>IFERROR(E336/C336*100,0)</f>
        <v>83.147541165505316</v>
      </c>
      <c r="H336" s="591">
        <f t="shared" ref="H336:AE336" si="107">H338+H339+H337+H340</f>
        <v>2144.4</v>
      </c>
      <c r="I336" s="591">
        <f t="shared" si="107"/>
        <v>2144.4</v>
      </c>
      <c r="J336" s="591">
        <f t="shared" si="107"/>
        <v>3268</v>
      </c>
      <c r="K336" s="591">
        <f t="shared" si="107"/>
        <v>3268</v>
      </c>
      <c r="L336" s="591">
        <f t="shared" si="107"/>
        <v>2875</v>
      </c>
      <c r="M336" s="591">
        <f t="shared" si="107"/>
        <v>2875</v>
      </c>
      <c r="N336" s="591">
        <f t="shared" si="107"/>
        <v>2457</v>
      </c>
      <c r="O336" s="591">
        <f t="shared" si="107"/>
        <v>2457</v>
      </c>
      <c r="P336" s="591">
        <f t="shared" si="107"/>
        <v>2698</v>
      </c>
      <c r="Q336" s="591">
        <f t="shared" si="107"/>
        <v>2698</v>
      </c>
      <c r="R336" s="591">
        <f t="shared" si="107"/>
        <v>1321.4</v>
      </c>
      <c r="S336" s="591">
        <f t="shared" si="107"/>
        <v>1321.4</v>
      </c>
      <c r="T336" s="591">
        <f t="shared" si="107"/>
        <v>0</v>
      </c>
      <c r="U336" s="591">
        <f t="shared" si="107"/>
        <v>0</v>
      </c>
      <c r="V336" s="591">
        <f t="shared" si="107"/>
        <v>0</v>
      </c>
      <c r="W336" s="591">
        <f t="shared" si="107"/>
        <v>0</v>
      </c>
      <c r="X336" s="591">
        <f t="shared" si="107"/>
        <v>1582</v>
      </c>
      <c r="Y336" s="591">
        <f t="shared" si="107"/>
        <v>0</v>
      </c>
      <c r="Z336" s="591">
        <f t="shared" si="107"/>
        <v>1679</v>
      </c>
      <c r="AA336" s="591">
        <f t="shared" si="107"/>
        <v>0</v>
      </c>
      <c r="AB336" s="591">
        <f t="shared" si="107"/>
        <v>0</v>
      </c>
      <c r="AC336" s="591">
        <f t="shared" si="107"/>
        <v>0</v>
      </c>
      <c r="AD336" s="591">
        <f t="shared" si="107"/>
        <v>0</v>
      </c>
      <c r="AE336" s="591">
        <f t="shared" si="107"/>
        <v>223.37799999999999</v>
      </c>
      <c r="AF336" s="587"/>
      <c r="AG336" s="588">
        <f t="shared" si="46"/>
        <v>-4.5474735088646412E-13</v>
      </c>
      <c r="AH336" s="589"/>
      <c r="AI336" s="589"/>
      <c r="AJ336" s="589"/>
      <c r="AK336" s="589"/>
      <c r="AL336" s="589"/>
      <c r="AM336" s="589"/>
      <c r="AN336" s="589"/>
      <c r="AO336" s="589"/>
      <c r="AP336" s="589"/>
    </row>
    <row r="337" spans="1:42" x14ac:dyDescent="0.3">
      <c r="A337" s="593" t="s">
        <v>169</v>
      </c>
      <c r="B337" s="594">
        <f>J337+L337+N337+P337+R337+T337+V337+X337+Z337+AB337+AD337+H337</f>
        <v>0</v>
      </c>
      <c r="C337" s="712">
        <f>SUM(H337)</f>
        <v>0</v>
      </c>
      <c r="D337" s="715">
        <f>E337</f>
        <v>0</v>
      </c>
      <c r="E337" s="712">
        <f>SUM(I337,K337,M337,O337,Q337,S337,U337,W337,Y337,AA337,AC337,AE337)</f>
        <v>0</v>
      </c>
      <c r="F337" s="594">
        <f>IFERROR(E337/B337*100,0)</f>
        <v>0</v>
      </c>
      <c r="G337" s="594">
        <f>IFERROR(E337/C337*100,0)</f>
        <v>0</v>
      </c>
      <c r="H337" s="499"/>
      <c r="I337" s="499"/>
      <c r="J337" s="499"/>
      <c r="K337" s="499"/>
      <c r="L337" s="499"/>
      <c r="M337" s="499"/>
      <c r="N337" s="499"/>
      <c r="O337" s="499"/>
      <c r="P337" s="499"/>
      <c r="Q337" s="499"/>
      <c r="R337" s="499"/>
      <c r="S337" s="499"/>
      <c r="T337" s="499"/>
      <c r="U337" s="499"/>
      <c r="V337" s="499"/>
      <c r="W337" s="499"/>
      <c r="X337" s="499"/>
      <c r="Y337" s="499"/>
      <c r="Z337" s="499"/>
      <c r="AA337" s="499"/>
      <c r="AB337" s="499"/>
      <c r="AC337" s="499"/>
      <c r="AD337" s="499"/>
      <c r="AE337" s="499"/>
      <c r="AF337" s="587"/>
      <c r="AG337" s="588">
        <f t="shared" si="46"/>
        <v>0</v>
      </c>
      <c r="AH337" s="589"/>
      <c r="AI337" s="589"/>
      <c r="AJ337" s="589"/>
      <c r="AK337" s="589"/>
      <c r="AL337" s="589"/>
      <c r="AM337" s="589"/>
      <c r="AN337" s="589"/>
      <c r="AO337" s="589"/>
      <c r="AP337" s="589"/>
    </row>
    <row r="338" spans="1:42" x14ac:dyDescent="0.3">
      <c r="A338" s="593" t="s">
        <v>32</v>
      </c>
      <c r="B338" s="594">
        <f>J338+L338+N338+P338+R338+T338+V338+X338+Z338+AB338+AD338+H338</f>
        <v>0</v>
      </c>
      <c r="C338" s="712">
        <f>SUM(H338)</f>
        <v>0</v>
      </c>
      <c r="D338" s="715">
        <f>E338</f>
        <v>0</v>
      </c>
      <c r="E338" s="712">
        <f>SUM(I338,K338,M338,O338,Q338,S338,U338,W338,Y338,AA338,AC338,AE338)</f>
        <v>0</v>
      </c>
      <c r="F338" s="594">
        <f>IFERROR(E338/B338*100,0)</f>
        <v>0</v>
      </c>
      <c r="G338" s="594">
        <f>IFERROR(E338/C338*100,0)</f>
        <v>0</v>
      </c>
      <c r="H338" s="499"/>
      <c r="I338" s="499"/>
      <c r="J338" s="499"/>
      <c r="K338" s="499"/>
      <c r="L338" s="499"/>
      <c r="M338" s="499"/>
      <c r="N338" s="499"/>
      <c r="O338" s="499"/>
      <c r="P338" s="499"/>
      <c r="Q338" s="499"/>
      <c r="R338" s="499"/>
      <c r="S338" s="499"/>
      <c r="T338" s="499"/>
      <c r="U338" s="499"/>
      <c r="V338" s="499"/>
      <c r="W338" s="499"/>
      <c r="X338" s="499"/>
      <c r="Y338" s="499"/>
      <c r="Z338" s="499"/>
      <c r="AA338" s="499"/>
      <c r="AB338" s="499"/>
      <c r="AC338" s="499"/>
      <c r="AD338" s="499"/>
      <c r="AE338" s="499"/>
      <c r="AF338" s="587"/>
      <c r="AG338" s="588">
        <f t="shared" si="46"/>
        <v>0</v>
      </c>
      <c r="AH338" s="589"/>
      <c r="AI338" s="589"/>
      <c r="AJ338" s="589"/>
      <c r="AK338" s="589"/>
      <c r="AL338" s="589"/>
      <c r="AM338" s="589"/>
      <c r="AN338" s="589"/>
      <c r="AO338" s="589"/>
      <c r="AP338" s="589"/>
    </row>
    <row r="339" spans="1:42" x14ac:dyDescent="0.3">
      <c r="A339" s="593" t="s">
        <v>33</v>
      </c>
      <c r="B339" s="594">
        <f>J339+L339+N339+P339+R339+T339+V339+X339+Z339+AB339+AD339+H339</f>
        <v>18024.8</v>
      </c>
      <c r="C339" s="712">
        <f>H339+J339+L339+N339+P339+R339+X339+Z339+AB339+AD339</f>
        <v>18024.8</v>
      </c>
      <c r="D339" s="715">
        <f>E339</f>
        <v>14987.178</v>
      </c>
      <c r="E339" s="712">
        <f>SUM(I339,K339,M339,O339,Q339,S339,U339,W339,Y339,AA339,AC339,AE339)</f>
        <v>14987.178</v>
      </c>
      <c r="F339" s="594">
        <f>IFERROR(E339/B339*100,0)</f>
        <v>83.147541165505316</v>
      </c>
      <c r="G339" s="594">
        <f>IFERROR(E339/C339*100,0)</f>
        <v>83.147541165505316</v>
      </c>
      <c r="H339" s="499">
        <v>2144.4</v>
      </c>
      <c r="I339" s="499">
        <v>2144.4</v>
      </c>
      <c r="J339" s="499">
        <v>3268</v>
      </c>
      <c r="K339" s="499">
        <v>3268</v>
      </c>
      <c r="L339" s="499">
        <v>2875</v>
      </c>
      <c r="M339" s="499">
        <v>2875</v>
      </c>
      <c r="N339" s="499">
        <v>2457</v>
      </c>
      <c r="O339" s="499">
        <v>2457</v>
      </c>
      <c r="P339" s="499">
        <v>2698</v>
      </c>
      <c r="Q339" s="499">
        <v>2698</v>
      </c>
      <c r="R339" s="499">
        <v>1321.4</v>
      </c>
      <c r="S339" s="499">
        <v>1321.4</v>
      </c>
      <c r="T339" s="499"/>
      <c r="U339" s="499"/>
      <c r="V339" s="499">
        <v>0</v>
      </c>
      <c r="W339" s="499"/>
      <c r="X339" s="499">
        <v>1582</v>
      </c>
      <c r="Y339" s="499"/>
      <c r="Z339" s="499">
        <f>2815-1136</f>
        <v>1679</v>
      </c>
      <c r="AA339" s="499"/>
      <c r="AB339" s="499"/>
      <c r="AC339" s="499"/>
      <c r="AD339" s="499"/>
      <c r="AE339" s="499">
        <v>223.37799999999999</v>
      </c>
      <c r="AF339" s="587"/>
      <c r="AG339" s="588">
        <f t="shared" si="46"/>
        <v>-4.5474735088646412E-13</v>
      </c>
      <c r="AH339" s="589"/>
      <c r="AI339" s="589"/>
      <c r="AJ339" s="589"/>
      <c r="AK339" s="589"/>
      <c r="AL339" s="589"/>
      <c r="AM339" s="589"/>
      <c r="AN339" s="589"/>
      <c r="AO339" s="589"/>
      <c r="AP339" s="589"/>
    </row>
    <row r="340" spans="1:42" x14ac:dyDescent="0.3">
      <c r="A340" s="593" t="s">
        <v>170</v>
      </c>
      <c r="B340" s="594"/>
      <c r="C340" s="712"/>
      <c r="D340" s="715"/>
      <c r="E340" s="712"/>
      <c r="F340" s="594"/>
      <c r="G340" s="594"/>
      <c r="H340" s="499"/>
      <c r="I340" s="499"/>
      <c r="J340" s="499"/>
      <c r="K340" s="499"/>
      <c r="L340" s="499"/>
      <c r="M340" s="499"/>
      <c r="N340" s="499"/>
      <c r="O340" s="499"/>
      <c r="P340" s="499"/>
      <c r="Q340" s="499"/>
      <c r="R340" s="499"/>
      <c r="S340" s="499"/>
      <c r="T340" s="499"/>
      <c r="U340" s="499"/>
      <c r="V340" s="499"/>
      <c r="W340" s="499"/>
      <c r="X340" s="499"/>
      <c r="Y340" s="499"/>
      <c r="Z340" s="499"/>
      <c r="AA340" s="499"/>
      <c r="AB340" s="499"/>
      <c r="AC340" s="499"/>
      <c r="AD340" s="499"/>
      <c r="AE340" s="499"/>
      <c r="AF340" s="587"/>
      <c r="AG340" s="588">
        <f t="shared" si="46"/>
        <v>0</v>
      </c>
      <c r="AH340" s="589"/>
      <c r="AI340" s="589"/>
      <c r="AJ340" s="589"/>
      <c r="AK340" s="589"/>
      <c r="AL340" s="589"/>
      <c r="AM340" s="589"/>
      <c r="AN340" s="589"/>
      <c r="AO340" s="589"/>
      <c r="AP340" s="589"/>
    </row>
    <row r="341" spans="1:42" ht="133.5" customHeight="1" x14ac:dyDescent="0.3">
      <c r="A341" s="713" t="s">
        <v>310</v>
      </c>
      <c r="B341" s="594"/>
      <c r="C341" s="602"/>
      <c r="D341" s="602"/>
      <c r="E341" s="602"/>
      <c r="F341" s="602"/>
      <c r="G341" s="602"/>
      <c r="H341" s="499"/>
      <c r="I341" s="499"/>
      <c r="J341" s="499"/>
      <c r="K341" s="499"/>
      <c r="L341" s="499"/>
      <c r="M341" s="499"/>
      <c r="N341" s="499"/>
      <c r="O341" s="499"/>
      <c r="P341" s="499"/>
      <c r="Q341" s="499"/>
      <c r="R341" s="499"/>
      <c r="S341" s="499"/>
      <c r="T341" s="499"/>
      <c r="U341" s="499"/>
      <c r="V341" s="499"/>
      <c r="W341" s="499"/>
      <c r="X341" s="499"/>
      <c r="Y341" s="499"/>
      <c r="Z341" s="499"/>
      <c r="AA341" s="499"/>
      <c r="AB341" s="499"/>
      <c r="AC341" s="499"/>
      <c r="AD341" s="499"/>
      <c r="AE341" s="499"/>
      <c r="AF341" s="587"/>
      <c r="AG341" s="588">
        <f t="shared" si="46"/>
        <v>0</v>
      </c>
      <c r="AH341" s="589"/>
      <c r="AI341" s="589"/>
      <c r="AJ341" s="589"/>
      <c r="AK341" s="589"/>
      <c r="AL341" s="589"/>
      <c r="AM341" s="589"/>
      <c r="AN341" s="589"/>
      <c r="AO341" s="589"/>
      <c r="AP341" s="589"/>
    </row>
    <row r="342" spans="1:42" x14ac:dyDescent="0.3">
      <c r="A342" s="590" t="s">
        <v>31</v>
      </c>
      <c r="B342" s="591">
        <f>B344+B345+B343+B346</f>
        <v>154126.00062000001</v>
      </c>
      <c r="C342" s="591">
        <f>C344+C345+C343+C346</f>
        <v>154126.00062000001</v>
      </c>
      <c r="D342" s="714">
        <f>D344+D345+D343+D346</f>
        <v>153684.84789999999</v>
      </c>
      <c r="E342" s="591">
        <f>E344+E345+E343+E346</f>
        <v>153684.84789999999</v>
      </c>
      <c r="F342" s="591">
        <f>IFERROR(E342/B342*100,0)</f>
        <v>99.713771383007796</v>
      </c>
      <c r="G342" s="591">
        <f>IFERROR(E342/C342*100,0)</f>
        <v>99.713771383007796</v>
      </c>
      <c r="H342" s="591">
        <f t="shared" ref="H342:AE342" si="108">H344+H345+H343+H346</f>
        <v>10001.5</v>
      </c>
      <c r="I342" s="591">
        <f t="shared" si="108"/>
        <v>3688.7</v>
      </c>
      <c r="J342" s="591">
        <f t="shared" si="108"/>
        <v>18083.64</v>
      </c>
      <c r="K342" s="591">
        <f t="shared" si="108"/>
        <v>18184.400000000001</v>
      </c>
      <c r="L342" s="591">
        <f t="shared" si="108"/>
        <v>17454.57</v>
      </c>
      <c r="M342" s="591">
        <f t="shared" si="108"/>
        <v>18177.84</v>
      </c>
      <c r="N342" s="591">
        <f t="shared" si="108"/>
        <v>15223.52</v>
      </c>
      <c r="O342" s="591">
        <f t="shared" si="108"/>
        <v>10326.040000000001</v>
      </c>
      <c r="P342" s="591">
        <f t="shared" si="108"/>
        <v>19282.55142</v>
      </c>
      <c r="Q342" s="591">
        <f t="shared" si="108"/>
        <v>16585.009999999998</v>
      </c>
      <c r="R342" s="591">
        <f t="shared" si="108"/>
        <v>5263.509</v>
      </c>
      <c r="S342" s="591">
        <f t="shared" si="108"/>
        <v>9116.75</v>
      </c>
      <c r="T342" s="591">
        <f t="shared" si="108"/>
        <v>0</v>
      </c>
      <c r="U342" s="591">
        <f t="shared" si="108"/>
        <v>0</v>
      </c>
      <c r="V342" s="591">
        <f t="shared" si="108"/>
        <v>0</v>
      </c>
      <c r="W342" s="591">
        <f t="shared" si="108"/>
        <v>0</v>
      </c>
      <c r="X342" s="591">
        <f t="shared" si="108"/>
        <v>10954.001200000001</v>
      </c>
      <c r="Y342" s="591">
        <f t="shared" si="108"/>
        <v>9055.1589000000004</v>
      </c>
      <c r="Z342" s="591">
        <f t="shared" si="108"/>
        <v>19687.46</v>
      </c>
      <c r="AA342" s="591">
        <f t="shared" si="108"/>
        <v>21299.91</v>
      </c>
      <c r="AB342" s="591">
        <f t="shared" si="108"/>
        <v>19929.328000000001</v>
      </c>
      <c r="AC342" s="591">
        <f t="shared" si="108"/>
        <v>17391.59</v>
      </c>
      <c r="AD342" s="591">
        <f t="shared" si="108"/>
        <v>18245.920999999998</v>
      </c>
      <c r="AE342" s="591">
        <f t="shared" si="108"/>
        <v>29859.449000000001</v>
      </c>
      <c r="AF342" s="587"/>
      <c r="AG342" s="588">
        <f t="shared" si="46"/>
        <v>0</v>
      </c>
      <c r="AH342" s="589"/>
      <c r="AI342" s="589"/>
      <c r="AJ342" s="589"/>
      <c r="AK342" s="589"/>
      <c r="AL342" s="589"/>
      <c r="AM342" s="589"/>
      <c r="AN342" s="589"/>
      <c r="AO342" s="589"/>
      <c r="AP342" s="589"/>
    </row>
    <row r="343" spans="1:42" x14ac:dyDescent="0.3">
      <c r="A343" s="593" t="s">
        <v>169</v>
      </c>
      <c r="B343" s="594">
        <f>J343+L343+N343+P343+R343+T343+V343+X343+Z343+AB343+AD343+H343</f>
        <v>0</v>
      </c>
      <c r="C343" s="712">
        <f>SUM(H343)</f>
        <v>0</v>
      </c>
      <c r="D343" s="715">
        <f>E343</f>
        <v>0</v>
      </c>
      <c r="E343" s="712">
        <f>SUM(I343,K343,M343,O343,Q343,S343,U343,W343,Y343,AA343,AC343,AE343)</f>
        <v>0</v>
      </c>
      <c r="F343" s="594">
        <f>IFERROR(E343/B343*100,0)</f>
        <v>0</v>
      </c>
      <c r="G343" s="594">
        <f>IFERROR(E343/C343*100,0)</f>
        <v>0</v>
      </c>
      <c r="H343" s="499"/>
      <c r="I343" s="499"/>
      <c r="J343" s="499"/>
      <c r="K343" s="499"/>
      <c r="L343" s="499"/>
      <c r="M343" s="499"/>
      <c r="N343" s="499"/>
      <c r="O343" s="499"/>
      <c r="P343" s="499"/>
      <c r="Q343" s="499"/>
      <c r="R343" s="499"/>
      <c r="S343" s="499"/>
      <c r="T343" s="499"/>
      <c r="U343" s="499"/>
      <c r="V343" s="499"/>
      <c r="W343" s="499"/>
      <c r="X343" s="499"/>
      <c r="Y343" s="499"/>
      <c r="Z343" s="499"/>
      <c r="AA343" s="499"/>
      <c r="AB343" s="499"/>
      <c r="AC343" s="499"/>
      <c r="AD343" s="499"/>
      <c r="AE343" s="499"/>
      <c r="AF343" s="587"/>
      <c r="AG343" s="588">
        <f t="shared" si="46"/>
        <v>0</v>
      </c>
      <c r="AH343" s="589"/>
      <c r="AI343" s="589"/>
      <c r="AJ343" s="589"/>
      <c r="AK343" s="589"/>
      <c r="AL343" s="589"/>
      <c r="AM343" s="589"/>
      <c r="AN343" s="589"/>
      <c r="AO343" s="589"/>
      <c r="AP343" s="589"/>
    </row>
    <row r="344" spans="1:42" s="654" customFormat="1" ht="36" customHeight="1" x14ac:dyDescent="0.3">
      <c r="A344" s="593" t="s">
        <v>32</v>
      </c>
      <c r="B344" s="594">
        <f>J344+L344+N344+P344+R344+T344+V344+X344+Z344+AB344+AD344+H344</f>
        <v>154126.00062000001</v>
      </c>
      <c r="C344" s="712">
        <f>H344+J344+L344+N344+P344+R344+X344+Z344+AB344+AD344</f>
        <v>154126.00062000001</v>
      </c>
      <c r="D344" s="715">
        <f>E344</f>
        <v>153684.84789999999</v>
      </c>
      <c r="E344" s="712">
        <f>SUM(I344,K344,M344,O344,Q344,S344,U344,W344,Y344,AA344,AC344,AE344)</f>
        <v>153684.84789999999</v>
      </c>
      <c r="F344" s="594">
        <f>IFERROR(E344/B344*100,0)</f>
        <v>99.713771383007796</v>
      </c>
      <c r="G344" s="594">
        <f>IFERROR(E344/C344*100,0)</f>
        <v>99.713771383007796</v>
      </c>
      <c r="H344" s="499">
        <v>10001.5</v>
      </c>
      <c r="I344" s="499">
        <v>3688.7</v>
      </c>
      <c r="J344" s="499">
        <v>18083.64</v>
      </c>
      <c r="K344" s="499">
        <v>18184.400000000001</v>
      </c>
      <c r="L344" s="499">
        <v>17454.57</v>
      </c>
      <c r="M344" s="499">
        <v>18177.84</v>
      </c>
      <c r="N344" s="499">
        <v>15223.52</v>
      </c>
      <c r="O344" s="499">
        <v>10326.040000000001</v>
      </c>
      <c r="P344" s="499">
        <v>19282.55142</v>
      </c>
      <c r="Q344" s="499">
        <v>16585.009999999998</v>
      </c>
      <c r="R344" s="499">
        <v>5263.509</v>
      </c>
      <c r="S344" s="499">
        <v>9116.75</v>
      </c>
      <c r="T344" s="499">
        <v>0</v>
      </c>
      <c r="U344" s="499"/>
      <c r="V344" s="499"/>
      <c r="W344" s="499"/>
      <c r="X344" s="499">
        <f>10953.995-2082.99+2082.9962</f>
        <v>10954.001200000001</v>
      </c>
      <c r="Y344" s="499">
        <v>9055.1589000000004</v>
      </c>
      <c r="Z344" s="499">
        <v>19687.46</v>
      </c>
      <c r="AA344" s="499">
        <v>21299.91</v>
      </c>
      <c r="AB344" s="499">
        <v>19929.328000000001</v>
      </c>
      <c r="AC344" s="499">
        <v>17391.59</v>
      </c>
      <c r="AD344" s="499">
        <v>18245.920999999998</v>
      </c>
      <c r="AE344" s="499">
        <v>29859.449000000001</v>
      </c>
      <c r="AF344" s="716" t="s">
        <v>495</v>
      </c>
      <c r="AG344" s="588">
        <f t="shared" si="46"/>
        <v>0</v>
      </c>
      <c r="AH344" s="717">
        <f>C344-E344</f>
        <v>441.15272000001278</v>
      </c>
      <c r="AI344" s="589"/>
      <c r="AJ344" s="589"/>
      <c r="AK344" s="589"/>
      <c r="AL344" s="589"/>
      <c r="AM344" s="589"/>
      <c r="AN344" s="589"/>
      <c r="AO344" s="589"/>
      <c r="AP344" s="589"/>
    </row>
    <row r="345" spans="1:42" x14ac:dyDescent="0.3">
      <c r="A345" s="112" t="s">
        <v>33</v>
      </c>
      <c r="B345" s="594">
        <f>J345+L345+N345+P345+R345+T345+V345+X345+Z345+AB345+AD345+H345</f>
        <v>0</v>
      </c>
      <c r="C345" s="114">
        <f>SUM(H345)</f>
        <v>0</v>
      </c>
      <c r="D345" s="115">
        <f>E345</f>
        <v>0</v>
      </c>
      <c r="E345" s="114">
        <f>SUM(I345,K345,M345,O345,Q345,S345,U345,W345,Y345,AA345,AC345,AE345)</f>
        <v>0</v>
      </c>
      <c r="F345" s="113">
        <f>IFERROR(E345/B345*100,0)</f>
        <v>0</v>
      </c>
      <c r="G345" s="113">
        <f>IFERROR(E345/C345*100,0)</f>
        <v>0</v>
      </c>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29"/>
      <c r="AG345" s="99">
        <f t="shared" si="46"/>
        <v>0</v>
      </c>
    </row>
    <row r="346" spans="1:42" x14ac:dyDescent="0.3">
      <c r="A346" s="112" t="s">
        <v>170</v>
      </c>
      <c r="B346" s="113"/>
      <c r="C346" s="114"/>
      <c r="D346" s="115"/>
      <c r="E346" s="114"/>
      <c r="F346" s="113"/>
      <c r="G346" s="113"/>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29"/>
      <c r="AG346" s="99">
        <f t="shared" si="46"/>
        <v>0</v>
      </c>
    </row>
    <row r="347" spans="1:42" ht="50.25" customHeight="1" x14ac:dyDescent="0.3">
      <c r="A347" s="95" t="s">
        <v>311</v>
      </c>
      <c r="B347" s="139"/>
      <c r="C347" s="140"/>
      <c r="D347" s="140"/>
      <c r="E347" s="140"/>
      <c r="F347" s="140"/>
      <c r="G347" s="140"/>
      <c r="H347" s="139"/>
      <c r="I347" s="139"/>
      <c r="J347" s="139"/>
      <c r="K347" s="139"/>
      <c r="L347" s="139"/>
      <c r="M347" s="139"/>
      <c r="N347" s="139"/>
      <c r="O347" s="139"/>
      <c r="P347" s="139"/>
      <c r="Q347" s="139"/>
      <c r="R347" s="139"/>
      <c r="S347" s="139"/>
      <c r="T347" s="139"/>
      <c r="U347" s="139"/>
      <c r="V347" s="139"/>
      <c r="W347" s="139"/>
      <c r="X347" s="139"/>
      <c r="Y347" s="139"/>
      <c r="Z347" s="139"/>
      <c r="AA347" s="139"/>
      <c r="AB347" s="139"/>
      <c r="AC347" s="139"/>
      <c r="AD347" s="139"/>
      <c r="AE347" s="139"/>
      <c r="AF347" s="98"/>
      <c r="AG347" s="99">
        <f t="shared" si="46"/>
        <v>0</v>
      </c>
    </row>
    <row r="348" spans="1:42" x14ac:dyDescent="0.3">
      <c r="A348" s="141" t="s">
        <v>31</v>
      </c>
      <c r="B348" s="101">
        <f>B349+B350+B351+B352</f>
        <v>4534.2</v>
      </c>
      <c r="C348" s="101">
        <f>C349+C350+C351+C352</f>
        <v>4534.2</v>
      </c>
      <c r="D348" s="101">
        <f>D349+D350+D351+D352</f>
        <v>2189</v>
      </c>
      <c r="E348" s="101">
        <f>E349+E350+E351+E352</f>
        <v>2189</v>
      </c>
      <c r="F348" s="104">
        <f>IFERROR(E348/B348*100,0)</f>
        <v>48.2775351770985</v>
      </c>
      <c r="G348" s="104">
        <f>IFERROR(E348/C348*100,0)</f>
        <v>48.2775351770985</v>
      </c>
      <c r="H348" s="101">
        <f t="shared" ref="H348:AE348" si="109">H349+H350+H351+H352</f>
        <v>0</v>
      </c>
      <c r="I348" s="101">
        <f t="shared" si="109"/>
        <v>0</v>
      </c>
      <c r="J348" s="101">
        <f t="shared" si="109"/>
        <v>0</v>
      </c>
      <c r="K348" s="101">
        <f t="shared" si="109"/>
        <v>0</v>
      </c>
      <c r="L348" s="101">
        <f t="shared" si="109"/>
        <v>1829</v>
      </c>
      <c r="M348" s="101">
        <f t="shared" si="109"/>
        <v>824</v>
      </c>
      <c r="N348" s="101">
        <f t="shared" si="109"/>
        <v>0</v>
      </c>
      <c r="O348" s="101">
        <f t="shared" si="109"/>
        <v>725</v>
      </c>
      <c r="P348" s="101">
        <f t="shared" si="109"/>
        <v>0</v>
      </c>
      <c r="Q348" s="101">
        <f t="shared" si="109"/>
        <v>0</v>
      </c>
      <c r="R348" s="101">
        <f t="shared" si="109"/>
        <v>0</v>
      </c>
      <c r="S348" s="101">
        <f t="shared" si="109"/>
        <v>0</v>
      </c>
      <c r="T348" s="101">
        <f t="shared" si="109"/>
        <v>0</v>
      </c>
      <c r="U348" s="101">
        <f t="shared" si="109"/>
        <v>0</v>
      </c>
      <c r="V348" s="101">
        <f t="shared" si="109"/>
        <v>360</v>
      </c>
      <c r="W348" s="101">
        <f t="shared" si="109"/>
        <v>360</v>
      </c>
      <c r="X348" s="101">
        <f t="shared" si="109"/>
        <v>0</v>
      </c>
      <c r="Y348" s="101">
        <f t="shared" si="109"/>
        <v>280</v>
      </c>
      <c r="Z348" s="101">
        <f t="shared" si="109"/>
        <v>0</v>
      </c>
      <c r="AA348" s="101">
        <f t="shared" si="109"/>
        <v>0</v>
      </c>
      <c r="AB348" s="101">
        <f t="shared" si="109"/>
        <v>0</v>
      </c>
      <c r="AC348" s="101">
        <f t="shared" si="109"/>
        <v>0</v>
      </c>
      <c r="AD348" s="101">
        <f t="shared" si="109"/>
        <v>2345.1999999999998</v>
      </c>
      <c r="AE348" s="101">
        <f t="shared" si="109"/>
        <v>0</v>
      </c>
      <c r="AF348" s="98"/>
      <c r="AG348" s="99">
        <f t="shared" si="46"/>
        <v>0</v>
      </c>
    </row>
    <row r="349" spans="1:42" x14ac:dyDescent="0.3">
      <c r="A349" s="142" t="s">
        <v>169</v>
      </c>
      <c r="B349" s="104">
        <f t="shared" ref="B349:E352" si="110">B355+B361</f>
        <v>0</v>
      </c>
      <c r="C349" s="104">
        <f>C355+C361</f>
        <v>0</v>
      </c>
      <c r="D349" s="104">
        <f t="shared" si="110"/>
        <v>0</v>
      </c>
      <c r="E349" s="104">
        <f t="shared" si="110"/>
        <v>0</v>
      </c>
      <c r="F349" s="104"/>
      <c r="G349" s="104"/>
      <c r="H349" s="104">
        <f t="shared" ref="H349:AE352" si="111">H355+H361</f>
        <v>0</v>
      </c>
      <c r="I349" s="104">
        <f t="shared" si="111"/>
        <v>0</v>
      </c>
      <c r="J349" s="104">
        <f t="shared" si="111"/>
        <v>0</v>
      </c>
      <c r="K349" s="104">
        <f t="shared" si="111"/>
        <v>0</v>
      </c>
      <c r="L349" s="104">
        <f t="shared" si="111"/>
        <v>0</v>
      </c>
      <c r="M349" s="104">
        <f t="shared" si="111"/>
        <v>0</v>
      </c>
      <c r="N349" s="104">
        <f t="shared" si="111"/>
        <v>0</v>
      </c>
      <c r="O349" s="104">
        <f t="shared" si="111"/>
        <v>0</v>
      </c>
      <c r="P349" s="104">
        <f t="shared" si="111"/>
        <v>0</v>
      </c>
      <c r="Q349" s="104">
        <f t="shared" si="111"/>
        <v>0</v>
      </c>
      <c r="R349" s="104">
        <f t="shared" si="111"/>
        <v>0</v>
      </c>
      <c r="S349" s="104">
        <f t="shared" si="111"/>
        <v>0</v>
      </c>
      <c r="T349" s="104">
        <f t="shared" si="111"/>
        <v>0</v>
      </c>
      <c r="U349" s="104">
        <f t="shared" si="111"/>
        <v>0</v>
      </c>
      <c r="V349" s="104">
        <f t="shared" si="111"/>
        <v>0</v>
      </c>
      <c r="W349" s="104">
        <f t="shared" si="111"/>
        <v>0</v>
      </c>
      <c r="X349" s="104">
        <f t="shared" si="111"/>
        <v>0</v>
      </c>
      <c r="Y349" s="104">
        <f>Y355+Y361</f>
        <v>0</v>
      </c>
      <c r="Z349" s="104">
        <f t="shared" ref="Z349:AE349" si="112">Z355+Z361</f>
        <v>0</v>
      </c>
      <c r="AA349" s="104">
        <f t="shared" si="112"/>
        <v>0</v>
      </c>
      <c r="AB349" s="104">
        <f t="shared" si="112"/>
        <v>0</v>
      </c>
      <c r="AC349" s="104">
        <f t="shared" si="112"/>
        <v>0</v>
      </c>
      <c r="AD349" s="104">
        <f t="shared" si="112"/>
        <v>0</v>
      </c>
      <c r="AE349" s="104">
        <f t="shared" si="112"/>
        <v>0</v>
      </c>
      <c r="AF349" s="98"/>
      <c r="AG349" s="99">
        <f t="shared" si="46"/>
        <v>0</v>
      </c>
    </row>
    <row r="350" spans="1:42" x14ac:dyDescent="0.3">
      <c r="A350" s="142" t="s">
        <v>32</v>
      </c>
      <c r="B350" s="104">
        <f t="shared" si="110"/>
        <v>2189</v>
      </c>
      <c r="C350" s="104">
        <f>C356+C362</f>
        <v>2189</v>
      </c>
      <c r="D350" s="104">
        <f t="shared" si="110"/>
        <v>2189</v>
      </c>
      <c r="E350" s="104">
        <f t="shared" si="110"/>
        <v>2189</v>
      </c>
      <c r="F350" s="104"/>
      <c r="G350" s="104"/>
      <c r="H350" s="104">
        <f t="shared" si="111"/>
        <v>0</v>
      </c>
      <c r="I350" s="104">
        <f t="shared" si="111"/>
        <v>0</v>
      </c>
      <c r="J350" s="104">
        <f t="shared" si="111"/>
        <v>0</v>
      </c>
      <c r="K350" s="104">
        <f t="shared" si="111"/>
        <v>0</v>
      </c>
      <c r="L350" s="104">
        <f t="shared" si="111"/>
        <v>1829</v>
      </c>
      <c r="M350" s="104">
        <f t="shared" si="111"/>
        <v>824</v>
      </c>
      <c r="N350" s="104">
        <f t="shared" si="111"/>
        <v>0</v>
      </c>
      <c r="O350" s="104">
        <f t="shared" si="111"/>
        <v>725</v>
      </c>
      <c r="P350" s="104">
        <f t="shared" si="111"/>
        <v>0</v>
      </c>
      <c r="Q350" s="104">
        <f t="shared" si="111"/>
        <v>0</v>
      </c>
      <c r="R350" s="104">
        <f t="shared" si="111"/>
        <v>0</v>
      </c>
      <c r="S350" s="104">
        <f t="shared" si="111"/>
        <v>0</v>
      </c>
      <c r="T350" s="104">
        <f t="shared" si="111"/>
        <v>0</v>
      </c>
      <c r="U350" s="104">
        <f t="shared" si="111"/>
        <v>0</v>
      </c>
      <c r="V350" s="104">
        <f t="shared" si="111"/>
        <v>360</v>
      </c>
      <c r="W350" s="104">
        <f t="shared" si="111"/>
        <v>360</v>
      </c>
      <c r="X350" s="104">
        <f t="shared" si="111"/>
        <v>0</v>
      </c>
      <c r="Y350" s="104">
        <f t="shared" si="111"/>
        <v>280</v>
      </c>
      <c r="Z350" s="104">
        <f t="shared" si="111"/>
        <v>0</v>
      </c>
      <c r="AA350" s="104">
        <f t="shared" si="111"/>
        <v>0</v>
      </c>
      <c r="AB350" s="104">
        <f t="shared" si="111"/>
        <v>0</v>
      </c>
      <c r="AC350" s="104">
        <f t="shared" si="111"/>
        <v>0</v>
      </c>
      <c r="AD350" s="104">
        <f t="shared" si="111"/>
        <v>0</v>
      </c>
      <c r="AE350" s="104">
        <f t="shared" si="111"/>
        <v>0</v>
      </c>
      <c r="AF350" s="98"/>
      <c r="AG350" s="99">
        <f t="shared" si="46"/>
        <v>0</v>
      </c>
    </row>
    <row r="351" spans="1:42" x14ac:dyDescent="0.3">
      <c r="A351" s="142" t="s">
        <v>33</v>
      </c>
      <c r="B351" s="104">
        <f>B357+B363</f>
        <v>2345.1999999999998</v>
      </c>
      <c r="C351" s="104">
        <f>C357+C363</f>
        <v>2345.1999999999998</v>
      </c>
      <c r="D351" s="104">
        <f t="shared" si="110"/>
        <v>0</v>
      </c>
      <c r="E351" s="104">
        <f t="shared" si="110"/>
        <v>0</v>
      </c>
      <c r="F351" s="104">
        <f>IFERROR(E351/B351*100,0)</f>
        <v>0</v>
      </c>
      <c r="G351" s="104">
        <f>IFERROR(E351/C351*100,0)</f>
        <v>0</v>
      </c>
      <c r="H351" s="104">
        <f t="shared" si="111"/>
        <v>0</v>
      </c>
      <c r="I351" s="104">
        <f t="shared" si="111"/>
        <v>0</v>
      </c>
      <c r="J351" s="104">
        <f t="shared" si="111"/>
        <v>0</v>
      </c>
      <c r="K351" s="104">
        <f t="shared" si="111"/>
        <v>0</v>
      </c>
      <c r="L351" s="104">
        <f t="shared" si="111"/>
        <v>0</v>
      </c>
      <c r="M351" s="104">
        <f t="shared" si="111"/>
        <v>0</v>
      </c>
      <c r="N351" s="104">
        <f t="shared" si="111"/>
        <v>0</v>
      </c>
      <c r="O351" s="104">
        <f t="shared" si="111"/>
        <v>0</v>
      </c>
      <c r="P351" s="104">
        <f t="shared" si="111"/>
        <v>0</v>
      </c>
      <c r="Q351" s="104">
        <f t="shared" si="111"/>
        <v>0</v>
      </c>
      <c r="R351" s="104">
        <f t="shared" si="111"/>
        <v>0</v>
      </c>
      <c r="S351" s="104">
        <f t="shared" si="111"/>
        <v>0</v>
      </c>
      <c r="T351" s="104">
        <f t="shared" si="111"/>
        <v>0</v>
      </c>
      <c r="U351" s="104">
        <f t="shared" si="111"/>
        <v>0</v>
      </c>
      <c r="V351" s="104">
        <f t="shared" si="111"/>
        <v>0</v>
      </c>
      <c r="W351" s="104">
        <f t="shared" si="111"/>
        <v>0</v>
      </c>
      <c r="X351" s="104">
        <f t="shared" si="111"/>
        <v>0</v>
      </c>
      <c r="Y351" s="104">
        <f t="shared" si="111"/>
        <v>0</v>
      </c>
      <c r="Z351" s="104">
        <f t="shared" si="111"/>
        <v>0</v>
      </c>
      <c r="AA351" s="104">
        <f t="shared" si="111"/>
        <v>0</v>
      </c>
      <c r="AB351" s="104">
        <f t="shared" si="111"/>
        <v>0</v>
      </c>
      <c r="AC351" s="104">
        <f t="shared" si="111"/>
        <v>0</v>
      </c>
      <c r="AD351" s="104">
        <f t="shared" si="111"/>
        <v>2345.1999999999998</v>
      </c>
      <c r="AE351" s="104">
        <f t="shared" si="111"/>
        <v>0</v>
      </c>
      <c r="AF351" s="98"/>
      <c r="AG351" s="99">
        <f t="shared" si="46"/>
        <v>0</v>
      </c>
    </row>
    <row r="352" spans="1:42" x14ac:dyDescent="0.3">
      <c r="A352" s="142" t="s">
        <v>170</v>
      </c>
      <c r="B352" s="104">
        <f t="shared" si="110"/>
        <v>0</v>
      </c>
      <c r="C352" s="104">
        <f t="shared" si="110"/>
        <v>0</v>
      </c>
      <c r="D352" s="104">
        <f t="shared" si="110"/>
        <v>0</v>
      </c>
      <c r="E352" s="104">
        <f t="shared" si="110"/>
        <v>0</v>
      </c>
      <c r="F352" s="104"/>
      <c r="G352" s="104"/>
      <c r="H352" s="104">
        <f t="shared" si="111"/>
        <v>0</v>
      </c>
      <c r="I352" s="104">
        <f t="shared" si="111"/>
        <v>0</v>
      </c>
      <c r="J352" s="104">
        <f t="shared" si="111"/>
        <v>0</v>
      </c>
      <c r="K352" s="104">
        <f t="shared" si="111"/>
        <v>0</v>
      </c>
      <c r="L352" s="104">
        <f t="shared" si="111"/>
        <v>0</v>
      </c>
      <c r="M352" s="104">
        <f t="shared" si="111"/>
        <v>0</v>
      </c>
      <c r="N352" s="104">
        <f t="shared" si="111"/>
        <v>0</v>
      </c>
      <c r="O352" s="104">
        <f t="shared" si="111"/>
        <v>0</v>
      </c>
      <c r="P352" s="104">
        <f t="shared" si="111"/>
        <v>0</v>
      </c>
      <c r="Q352" s="104">
        <f t="shared" si="111"/>
        <v>0</v>
      </c>
      <c r="R352" s="104">
        <f t="shared" si="111"/>
        <v>0</v>
      </c>
      <c r="S352" s="104">
        <f t="shared" si="111"/>
        <v>0</v>
      </c>
      <c r="T352" s="104">
        <f t="shared" si="111"/>
        <v>0</v>
      </c>
      <c r="U352" s="104">
        <f t="shared" si="111"/>
        <v>0</v>
      </c>
      <c r="V352" s="104">
        <f t="shared" si="111"/>
        <v>0</v>
      </c>
      <c r="W352" s="104">
        <f t="shared" si="111"/>
        <v>0</v>
      </c>
      <c r="X352" s="104">
        <f t="shared" si="111"/>
        <v>0</v>
      </c>
      <c r="Y352" s="104">
        <f t="shared" si="111"/>
        <v>0</v>
      </c>
      <c r="Z352" s="104">
        <f t="shared" si="111"/>
        <v>0</v>
      </c>
      <c r="AA352" s="104">
        <f t="shared" si="111"/>
        <v>0</v>
      </c>
      <c r="AB352" s="104">
        <f t="shared" si="111"/>
        <v>0</v>
      </c>
      <c r="AC352" s="104">
        <f t="shared" si="111"/>
        <v>0</v>
      </c>
      <c r="AD352" s="104">
        <f t="shared" si="111"/>
        <v>0</v>
      </c>
      <c r="AE352" s="104">
        <f t="shared" si="111"/>
        <v>0</v>
      </c>
      <c r="AF352" s="98"/>
      <c r="AG352" s="99">
        <f t="shared" si="46"/>
        <v>0</v>
      </c>
    </row>
    <row r="353" spans="1:33" ht="40.5" customHeight="1" x14ac:dyDescent="0.3">
      <c r="A353" s="713" t="s">
        <v>312</v>
      </c>
      <c r="B353" s="106"/>
      <c r="C353" s="107"/>
      <c r="D353" s="107"/>
      <c r="E353" s="107"/>
      <c r="F353" s="107"/>
      <c r="G353" s="107"/>
      <c r="H353" s="108"/>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29"/>
      <c r="AG353" s="99">
        <f t="shared" si="46"/>
        <v>0</v>
      </c>
    </row>
    <row r="354" spans="1:33" x14ac:dyDescent="0.3">
      <c r="A354" s="109" t="s">
        <v>31</v>
      </c>
      <c r="B354" s="110">
        <f>B356+B357+B355+B358</f>
        <v>2189</v>
      </c>
      <c r="C354" s="110">
        <f>C356+C357+C355+C358</f>
        <v>2189</v>
      </c>
      <c r="D354" s="111">
        <f>D356+D357+D355+D358</f>
        <v>2189</v>
      </c>
      <c r="E354" s="110">
        <f>E356+E357+E355+E358</f>
        <v>2189</v>
      </c>
      <c r="F354" s="110">
        <f>IFERROR(E354/B354*100,0)</f>
        <v>100</v>
      </c>
      <c r="G354" s="110">
        <f>IFERROR(E354/C354*100,0)</f>
        <v>100</v>
      </c>
      <c r="H354" s="110">
        <f t="shared" ref="H354:AE354" si="113">H356+H357+H355+H358</f>
        <v>0</v>
      </c>
      <c r="I354" s="110">
        <f t="shared" si="113"/>
        <v>0</v>
      </c>
      <c r="J354" s="110">
        <f t="shared" si="113"/>
        <v>0</v>
      </c>
      <c r="K354" s="110">
        <f t="shared" si="113"/>
        <v>0</v>
      </c>
      <c r="L354" s="110">
        <f t="shared" si="113"/>
        <v>1829</v>
      </c>
      <c r="M354" s="110">
        <f t="shared" si="113"/>
        <v>824</v>
      </c>
      <c r="N354" s="110">
        <f t="shared" si="113"/>
        <v>0</v>
      </c>
      <c r="O354" s="110">
        <f t="shared" si="113"/>
        <v>725</v>
      </c>
      <c r="P354" s="110">
        <f t="shared" si="113"/>
        <v>0</v>
      </c>
      <c r="Q354" s="110">
        <f t="shared" si="113"/>
        <v>0</v>
      </c>
      <c r="R354" s="110">
        <f t="shared" si="113"/>
        <v>0</v>
      </c>
      <c r="S354" s="110">
        <f t="shared" si="113"/>
        <v>0</v>
      </c>
      <c r="T354" s="110">
        <f t="shared" si="113"/>
        <v>0</v>
      </c>
      <c r="U354" s="110">
        <f t="shared" si="113"/>
        <v>0</v>
      </c>
      <c r="V354" s="110">
        <f t="shared" si="113"/>
        <v>360</v>
      </c>
      <c r="W354" s="110">
        <f t="shared" si="113"/>
        <v>360</v>
      </c>
      <c r="X354" s="110">
        <f t="shared" si="113"/>
        <v>0</v>
      </c>
      <c r="Y354" s="110">
        <f t="shared" si="113"/>
        <v>280</v>
      </c>
      <c r="Z354" s="110">
        <f t="shared" si="113"/>
        <v>0</v>
      </c>
      <c r="AA354" s="110">
        <f t="shared" si="113"/>
        <v>0</v>
      </c>
      <c r="AB354" s="110">
        <f t="shared" si="113"/>
        <v>0</v>
      </c>
      <c r="AC354" s="110">
        <f t="shared" si="113"/>
        <v>0</v>
      </c>
      <c r="AD354" s="110">
        <f t="shared" si="113"/>
        <v>0</v>
      </c>
      <c r="AE354" s="110">
        <f t="shared" si="113"/>
        <v>0</v>
      </c>
      <c r="AF354" s="29"/>
      <c r="AG354" s="99">
        <f t="shared" si="46"/>
        <v>0</v>
      </c>
    </row>
    <row r="355" spans="1:33" x14ac:dyDescent="0.3">
      <c r="A355" s="112" t="s">
        <v>169</v>
      </c>
      <c r="B355" s="113">
        <f>J355+L355+N355+P355+R355+T355+V355+X355+Z355+AB355+AD355+H355</f>
        <v>0</v>
      </c>
      <c r="C355" s="114">
        <f>SUM(H355)</f>
        <v>0</v>
      </c>
      <c r="D355" s="115">
        <f>E355</f>
        <v>0</v>
      </c>
      <c r="E355" s="114">
        <f>SUM(I355,K355,M355,O355,Q355,S355,U355,W355,Y355,AA355,AC355,AE355)</f>
        <v>0</v>
      </c>
      <c r="F355" s="113">
        <f>IFERROR(E355/B355*100,0)</f>
        <v>0</v>
      </c>
      <c r="G355" s="113">
        <f>IFERROR(E355/C355*100,0)</f>
        <v>0</v>
      </c>
      <c r="H355" s="108"/>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29"/>
      <c r="AG355" s="99">
        <f t="shared" si="46"/>
        <v>0</v>
      </c>
    </row>
    <row r="356" spans="1:33" x14ac:dyDescent="0.3">
      <c r="A356" s="112" t="s">
        <v>32</v>
      </c>
      <c r="B356" s="594">
        <f>J356+L356+N356+P356+R356+T356+V356+X356+Z356+AB356+AD356+H356</f>
        <v>2189</v>
      </c>
      <c r="C356" s="114">
        <f>H356+J356+L356+N356+V356</f>
        <v>2189</v>
      </c>
      <c r="D356" s="115">
        <f>E356</f>
        <v>2189</v>
      </c>
      <c r="E356" s="114">
        <f>SUM(I356,K356,M356,O356,Q356,S356,U356,W356,Y356,AA356,AC356,AE356)</f>
        <v>2189</v>
      </c>
      <c r="F356" s="113">
        <f>IFERROR(E356/B356*100,0)</f>
        <v>100</v>
      </c>
      <c r="G356" s="113">
        <f>IFERROR(E356/C356*100,0)</f>
        <v>100</v>
      </c>
      <c r="H356" s="108"/>
      <c r="I356" s="108"/>
      <c r="J356" s="108"/>
      <c r="K356" s="108"/>
      <c r="L356" s="108">
        <v>1829</v>
      </c>
      <c r="M356" s="108">
        <v>824</v>
      </c>
      <c r="N356" s="108"/>
      <c r="O356" s="108">
        <v>725</v>
      </c>
      <c r="P356" s="108"/>
      <c r="Q356" s="108"/>
      <c r="R356" s="108"/>
      <c r="S356" s="108"/>
      <c r="T356" s="108"/>
      <c r="U356" s="108"/>
      <c r="V356" s="108">
        <v>360</v>
      </c>
      <c r="W356" s="108">
        <v>360</v>
      </c>
      <c r="X356" s="108"/>
      <c r="Y356" s="108">
        <v>280</v>
      </c>
      <c r="Z356" s="108"/>
      <c r="AA356" s="108"/>
      <c r="AB356" s="108"/>
      <c r="AC356" s="108"/>
      <c r="AD356" s="108"/>
      <c r="AE356" s="108"/>
      <c r="AF356" s="29"/>
      <c r="AG356" s="99">
        <f t="shared" si="46"/>
        <v>0</v>
      </c>
    </row>
    <row r="357" spans="1:33" x14ac:dyDescent="0.3">
      <c r="A357" s="112" t="s">
        <v>33</v>
      </c>
      <c r="B357" s="113">
        <f>J357+L357+N357+P357+R357+T357+V357+X357+Z357+AB357+AD357+H357</f>
        <v>0</v>
      </c>
      <c r="C357" s="114">
        <f>SUM(H357)</f>
        <v>0</v>
      </c>
      <c r="D357" s="115">
        <f>E357</f>
        <v>0</v>
      </c>
      <c r="E357" s="114">
        <f>SUM(I357,K357,M357,O357,Q357,S357,U357,W357,Y357,AA357,AC357,AE357)</f>
        <v>0</v>
      </c>
      <c r="F357" s="113">
        <f>IFERROR(E357/B357*100,0)</f>
        <v>0</v>
      </c>
      <c r="G357" s="113">
        <f>IFERROR(E357/C357*100,0)</f>
        <v>0</v>
      </c>
      <c r="H357" s="108"/>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29"/>
      <c r="AG357" s="99">
        <f t="shared" si="46"/>
        <v>0</v>
      </c>
    </row>
    <row r="358" spans="1:33" x14ac:dyDescent="0.3">
      <c r="A358" s="112" t="s">
        <v>170</v>
      </c>
      <c r="B358" s="113"/>
      <c r="C358" s="114"/>
      <c r="D358" s="115"/>
      <c r="E358" s="114"/>
      <c r="F358" s="113"/>
      <c r="G358" s="113"/>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29"/>
      <c r="AG358" s="99">
        <f t="shared" si="46"/>
        <v>0</v>
      </c>
    </row>
    <row r="359" spans="1:33" ht="40.5" customHeight="1" x14ac:dyDescent="0.3">
      <c r="A359" s="713" t="s">
        <v>530</v>
      </c>
      <c r="B359" s="106"/>
      <c r="C359" s="107"/>
      <c r="D359" s="107"/>
      <c r="E359" s="107"/>
      <c r="F359" s="107"/>
      <c r="G359" s="107"/>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29"/>
      <c r="AG359" s="99">
        <f t="shared" si="46"/>
        <v>0</v>
      </c>
    </row>
    <row r="360" spans="1:33" x14ac:dyDescent="0.3">
      <c r="A360" s="109" t="s">
        <v>31</v>
      </c>
      <c r="B360" s="110">
        <f>B362+B363+B361+B364</f>
        <v>2345.1999999999998</v>
      </c>
      <c r="C360" s="110">
        <f>C362+C363+C361+C364</f>
        <v>2345.1999999999998</v>
      </c>
      <c r="D360" s="111">
        <f>D362+D363+D361+D364</f>
        <v>0</v>
      </c>
      <c r="E360" s="110">
        <f>E362+E363+E361+E364</f>
        <v>0</v>
      </c>
      <c r="F360" s="110">
        <f>IFERROR(E360/B360*100,0)</f>
        <v>0</v>
      </c>
      <c r="G360" s="110">
        <f>IFERROR(E360/C360*100,0)</f>
        <v>0</v>
      </c>
      <c r="H360" s="110">
        <f t="shared" ref="H360:AE360" si="114">H362+H363+H361+H364</f>
        <v>0</v>
      </c>
      <c r="I360" s="110">
        <f t="shared" si="114"/>
        <v>0</v>
      </c>
      <c r="J360" s="110">
        <f t="shared" si="114"/>
        <v>0</v>
      </c>
      <c r="K360" s="110">
        <f t="shared" si="114"/>
        <v>0</v>
      </c>
      <c r="L360" s="110">
        <f t="shared" si="114"/>
        <v>0</v>
      </c>
      <c r="M360" s="110">
        <f t="shared" si="114"/>
        <v>0</v>
      </c>
      <c r="N360" s="110">
        <f t="shared" si="114"/>
        <v>0</v>
      </c>
      <c r="O360" s="110">
        <f t="shared" si="114"/>
        <v>0</v>
      </c>
      <c r="P360" s="110">
        <f t="shared" si="114"/>
        <v>0</v>
      </c>
      <c r="Q360" s="110">
        <f t="shared" si="114"/>
        <v>0</v>
      </c>
      <c r="R360" s="110">
        <f t="shared" si="114"/>
        <v>0</v>
      </c>
      <c r="S360" s="110">
        <f t="shared" si="114"/>
        <v>0</v>
      </c>
      <c r="T360" s="110">
        <f t="shared" si="114"/>
        <v>0</v>
      </c>
      <c r="U360" s="110">
        <f t="shared" si="114"/>
        <v>0</v>
      </c>
      <c r="V360" s="110">
        <f t="shared" si="114"/>
        <v>0</v>
      </c>
      <c r="W360" s="110">
        <f t="shared" si="114"/>
        <v>0</v>
      </c>
      <c r="X360" s="110">
        <f t="shared" si="114"/>
        <v>0</v>
      </c>
      <c r="Y360" s="110">
        <f t="shared" si="114"/>
        <v>0</v>
      </c>
      <c r="Z360" s="110">
        <f t="shared" si="114"/>
        <v>0</v>
      </c>
      <c r="AA360" s="110">
        <f t="shared" si="114"/>
        <v>0</v>
      </c>
      <c r="AB360" s="110">
        <f t="shared" si="114"/>
        <v>0</v>
      </c>
      <c r="AC360" s="110">
        <f t="shared" si="114"/>
        <v>0</v>
      </c>
      <c r="AD360" s="110">
        <f t="shared" si="114"/>
        <v>2345.1999999999998</v>
      </c>
      <c r="AE360" s="110">
        <f t="shared" si="114"/>
        <v>0</v>
      </c>
      <c r="AF360" s="29"/>
      <c r="AG360" s="99">
        <f t="shared" si="46"/>
        <v>0</v>
      </c>
    </row>
    <row r="361" spans="1:33" x14ac:dyDescent="0.3">
      <c r="A361" s="112" t="s">
        <v>169</v>
      </c>
      <c r="B361" s="113">
        <f>J361+L361+N361+P361+R361+T361+V361+X361+Z361+AB361+AD361+H361</f>
        <v>0</v>
      </c>
      <c r="C361" s="114">
        <f>SUM(H361)</f>
        <v>0</v>
      </c>
      <c r="D361" s="115">
        <f>E361</f>
        <v>0</v>
      </c>
      <c r="E361" s="114">
        <f>SUM(I361,K361,M361,O361,Q361,S361,U361,W361,Y361,AA361,AC361,AE361)</f>
        <v>0</v>
      </c>
      <c r="F361" s="113">
        <f>IFERROR(E361/B361*100,0)</f>
        <v>0</v>
      </c>
      <c r="G361" s="113">
        <f>IFERROR(E361/C361*100,0)</f>
        <v>0</v>
      </c>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29"/>
      <c r="AG361" s="99">
        <f t="shared" si="46"/>
        <v>0</v>
      </c>
    </row>
    <row r="362" spans="1:33" x14ac:dyDescent="0.3">
      <c r="A362" s="112" t="s">
        <v>32</v>
      </c>
      <c r="B362" s="113">
        <f>J362+L362+N362+P362+R362+T362+V362+X362+Z362+AB362+AD362+H362</f>
        <v>0</v>
      </c>
      <c r="C362" s="114">
        <f>SUM(H362)</f>
        <v>0</v>
      </c>
      <c r="D362" s="115">
        <f>E362</f>
        <v>0</v>
      </c>
      <c r="E362" s="114">
        <f>SUM(I362,K362,M362,O362,Q362,S362,U362,W362,Y362,AA362,AC362,AE362)</f>
        <v>0</v>
      </c>
      <c r="F362" s="113">
        <f>IFERROR(E362/B362*100,0)</f>
        <v>0</v>
      </c>
      <c r="G362" s="113">
        <f>IFERROR(E362/C362*100,0)</f>
        <v>0</v>
      </c>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29"/>
      <c r="AG362" s="99">
        <f t="shared" si="46"/>
        <v>0</v>
      </c>
    </row>
    <row r="363" spans="1:33" x14ac:dyDescent="0.3">
      <c r="A363" s="112" t="s">
        <v>33</v>
      </c>
      <c r="B363" s="594">
        <f>J363+L363+N363+P363+R363+T363+V363+X363+Z363+AB363+AD363+H363</f>
        <v>2345.1999999999998</v>
      </c>
      <c r="C363" s="114">
        <f>B363</f>
        <v>2345.1999999999998</v>
      </c>
      <c r="D363" s="115">
        <f>E363</f>
        <v>0</v>
      </c>
      <c r="E363" s="114">
        <f>SUM(I363,K363,M363,O363,Q363,S363,U363,W363,Y363,AA363,AC363,AE363)</f>
        <v>0</v>
      </c>
      <c r="F363" s="113">
        <f>IFERROR(E363/B363*100,0)</f>
        <v>0</v>
      </c>
      <c r="G363" s="113">
        <f>IFERROR(E363/C363*100,0)</f>
        <v>0</v>
      </c>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v>2345.1999999999998</v>
      </c>
      <c r="AE363" s="108"/>
      <c r="AF363" s="29"/>
      <c r="AG363" s="99">
        <f t="shared" si="46"/>
        <v>0</v>
      </c>
    </row>
    <row r="364" spans="1:33" x14ac:dyDescent="0.3">
      <c r="A364" s="112" t="s">
        <v>170</v>
      </c>
      <c r="B364" s="113"/>
      <c r="C364" s="114"/>
      <c r="D364" s="115"/>
      <c r="E364" s="114"/>
      <c r="F364" s="113"/>
      <c r="G364" s="113"/>
      <c r="H364" s="108"/>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29"/>
      <c r="AG364" s="99">
        <f t="shared" si="46"/>
        <v>0</v>
      </c>
    </row>
    <row r="365" spans="1:33" x14ac:dyDescent="0.3">
      <c r="A365" s="144" t="s">
        <v>217</v>
      </c>
      <c r="B365" s="145">
        <f>B366+B367+B368+B369</f>
        <v>4415527.80473</v>
      </c>
      <c r="C365" s="145">
        <f>C366+C367+C368+C369</f>
        <v>4415527.80473</v>
      </c>
      <c r="D365" s="764">
        <f>D366+D367+D368</f>
        <v>3947819.1620500004</v>
      </c>
      <c r="E365" s="764">
        <f>E366+E367+E368</f>
        <v>3947819.1620500004</v>
      </c>
      <c r="F365" s="764">
        <f t="shared" ref="F365:F379" si="115">IFERROR(E365/B365*100,0)</f>
        <v>89.407639055539846</v>
      </c>
      <c r="G365" s="764">
        <f t="shared" ref="G365:G379" si="116">IFERROR(E365/C365*100,0)</f>
        <v>89.407639055539846</v>
      </c>
      <c r="H365" s="764">
        <f t="shared" ref="H365:AE365" si="117">H366+H367+H368+H369</f>
        <v>256559.95856999996</v>
      </c>
      <c r="I365" s="764">
        <f t="shared" si="117"/>
        <v>109716.07</v>
      </c>
      <c r="J365" s="764">
        <f t="shared" si="117"/>
        <v>339311.63225000002</v>
      </c>
      <c r="K365" s="764">
        <f t="shared" si="117"/>
        <v>311065.93700000003</v>
      </c>
      <c r="L365" s="764">
        <f t="shared" si="117"/>
        <v>296759.43852999998</v>
      </c>
      <c r="M365" s="764">
        <f t="shared" si="117"/>
        <v>256481.06800000003</v>
      </c>
      <c r="N365" s="764">
        <f t="shared" si="117"/>
        <v>339404.32707</v>
      </c>
      <c r="O365" s="764">
        <f t="shared" si="117"/>
        <v>267967.36999999994</v>
      </c>
      <c r="P365" s="764">
        <f t="shared" si="117"/>
        <v>507771.02786999999</v>
      </c>
      <c r="Q365" s="764">
        <f t="shared" si="117"/>
        <v>493295</v>
      </c>
      <c r="R365" s="764">
        <f t="shared" si="117"/>
        <v>269674.65116000007</v>
      </c>
      <c r="S365" s="764">
        <f t="shared" si="117"/>
        <v>279519.17</v>
      </c>
      <c r="T365" s="764">
        <f t="shared" si="117"/>
        <v>254353.40096</v>
      </c>
      <c r="U365" s="764">
        <f t="shared" si="117"/>
        <v>218963.1</v>
      </c>
      <c r="V365" s="764">
        <f t="shared" si="117"/>
        <v>139384.13066999998</v>
      </c>
      <c r="W365" s="764">
        <f t="shared" si="117"/>
        <v>146537.82579999999</v>
      </c>
      <c r="X365" s="145">
        <f t="shared" si="117"/>
        <v>244393.46157000001</v>
      </c>
      <c r="Y365" s="145">
        <f t="shared" si="117"/>
        <v>208140.77095000001</v>
      </c>
      <c r="Z365" s="145">
        <f t="shared" si="117"/>
        <v>230138.92366999999</v>
      </c>
      <c r="AA365" s="145">
        <f t="shared" si="117"/>
        <v>332150.46999999997</v>
      </c>
      <c r="AB365" s="764">
        <f t="shared" si="117"/>
        <v>810273.57759999996</v>
      </c>
      <c r="AC365" s="764">
        <f t="shared" si="117"/>
        <v>234527.27299999999</v>
      </c>
      <c r="AD365" s="764">
        <f t="shared" si="117"/>
        <v>727503.27481000009</v>
      </c>
      <c r="AE365" s="145">
        <f t="shared" si="117"/>
        <v>1109324.6173</v>
      </c>
      <c r="AF365" s="145"/>
      <c r="AG365" s="99">
        <f>B365-H365-J365-L365-N365-P365-R365-T365-V365-X365-Z365-AB365-AD365</f>
        <v>0</v>
      </c>
    </row>
    <row r="366" spans="1:33" x14ac:dyDescent="0.3">
      <c r="A366" s="146" t="s">
        <v>169</v>
      </c>
      <c r="B366" s="147">
        <f t="shared" ref="B366:E368" si="118">B13+B25+B32+B62+B86+B142+B163+B177+B189+B202+B220+B250+B270+B282+B289+B313+B349</f>
        <v>317712.80427000008</v>
      </c>
      <c r="C366" s="761">
        <f t="shared" si="118"/>
        <v>317712.80427000002</v>
      </c>
      <c r="D366" s="761">
        <f t="shared" si="118"/>
        <v>316807.96989999997</v>
      </c>
      <c r="E366" s="761">
        <f t="shared" si="118"/>
        <v>316807.96989999997</v>
      </c>
      <c r="F366" s="761">
        <f t="shared" si="115"/>
        <v>99.715203681488646</v>
      </c>
      <c r="G366" s="761">
        <f t="shared" si="116"/>
        <v>99.715203681488674</v>
      </c>
      <c r="H366" s="761">
        <f t="shared" ref="H366:AE366" si="119">H13+H25+H32+H62+H86+H142+H163+H177+H189+H202+H220+H250+H270+H282+H289+H313+H349</f>
        <v>5333.3166899999997</v>
      </c>
      <c r="I366" s="761">
        <f t="shared" si="119"/>
        <v>5314.2000000000007</v>
      </c>
      <c r="J366" s="761">
        <f t="shared" si="119"/>
        <v>6720.4683500000001</v>
      </c>
      <c r="K366" s="761">
        <f t="shared" si="119"/>
        <v>6685.9</v>
      </c>
      <c r="L366" s="761">
        <f t="shared" si="119"/>
        <v>7167.7951299999995</v>
      </c>
      <c r="M366" s="761">
        <f t="shared" si="119"/>
        <v>7158.7599999999993</v>
      </c>
      <c r="N366" s="761">
        <f t="shared" si="119"/>
        <v>13664.77334</v>
      </c>
      <c r="O366" s="761">
        <f t="shared" si="119"/>
        <v>13401.96</v>
      </c>
      <c r="P366" s="761">
        <f t="shared" si="119"/>
        <v>16590.47003</v>
      </c>
      <c r="Q366" s="761">
        <f t="shared" si="119"/>
        <v>13168.080000000002</v>
      </c>
      <c r="R366" s="761">
        <f t="shared" si="119"/>
        <v>11018.56862</v>
      </c>
      <c r="S366" s="761">
        <f t="shared" si="119"/>
        <v>14422.36</v>
      </c>
      <c r="T366" s="761">
        <f t="shared" si="119"/>
        <v>522.71104000000003</v>
      </c>
      <c r="U366" s="761">
        <f t="shared" si="119"/>
        <v>2000.31</v>
      </c>
      <c r="V366" s="761">
        <f t="shared" si="119"/>
        <v>1895.63165</v>
      </c>
      <c r="W366" s="761">
        <f t="shared" si="119"/>
        <v>418.6</v>
      </c>
      <c r="X366" s="147">
        <f>X13+X25+X32+X62+X86+X142+X163+X177+X189+X202+X220+X250+X270+X282+X289+X313+X349</f>
        <v>34809.304449999996</v>
      </c>
      <c r="Y366" s="147">
        <f>Y13+Y25+Y32+Y62+Y86+Y142+Y163+Y177+Y189+Y202+Y220+Y250+Y270+Y282+Y289+Y313+Y349</f>
        <v>29335.6999</v>
      </c>
      <c r="Z366" s="147">
        <f t="shared" si="119"/>
        <v>13781.048769999999</v>
      </c>
      <c r="AA366" s="147">
        <f t="shared" si="119"/>
        <v>11343.26</v>
      </c>
      <c r="AB366" s="147">
        <f t="shared" si="119"/>
        <v>202319.90664</v>
      </c>
      <c r="AC366" s="147">
        <f t="shared" si="119"/>
        <v>8556.02</v>
      </c>
      <c r="AD366" s="147">
        <f t="shared" si="119"/>
        <v>3888.8095600000006</v>
      </c>
      <c r="AE366" s="147">
        <f t="shared" si="119"/>
        <v>205002.82</v>
      </c>
      <c r="AF366" s="147"/>
      <c r="AG366" s="99">
        <f t="shared" si="46"/>
        <v>8.0945028457790613E-11</v>
      </c>
    </row>
    <row r="367" spans="1:33" x14ac:dyDescent="0.3">
      <c r="A367" s="146" t="s">
        <v>32</v>
      </c>
      <c r="B367" s="147">
        <f t="shared" si="118"/>
        <v>2931377.1861099997</v>
      </c>
      <c r="C367" s="147">
        <f t="shared" si="118"/>
        <v>2931377.1861100001</v>
      </c>
      <c r="D367" s="147">
        <f t="shared" si="118"/>
        <v>2840572.9821000006</v>
      </c>
      <c r="E367" s="147">
        <f t="shared" si="118"/>
        <v>2840572.9821000006</v>
      </c>
      <c r="F367" s="147">
        <f t="shared" si="115"/>
        <v>96.902336402143519</v>
      </c>
      <c r="G367" s="147">
        <f t="shared" si="116"/>
        <v>96.902336402143504</v>
      </c>
      <c r="H367" s="147">
        <f t="shared" ref="H367:AE367" si="120">H14+H26+H33+H63+H87+H143+H164+H178+H190+H203+H221+H251+H271+H283+H290+H314+H350</f>
        <v>181751.87999999998</v>
      </c>
      <c r="I367" s="147">
        <f t="shared" si="120"/>
        <v>39614.799999999996</v>
      </c>
      <c r="J367" s="147">
        <f t="shared" si="120"/>
        <v>240581.75979000004</v>
      </c>
      <c r="K367" s="147">
        <f t="shared" si="120"/>
        <v>212218.7</v>
      </c>
      <c r="L367" s="147">
        <f t="shared" si="120"/>
        <v>218397.58578999998</v>
      </c>
      <c r="M367" s="147">
        <f t="shared" si="120"/>
        <v>177509.57</v>
      </c>
      <c r="N367" s="147">
        <f t="shared" si="120"/>
        <v>255004.07253999996</v>
      </c>
      <c r="O367" s="147">
        <f t="shared" si="120"/>
        <v>185180.93999999997</v>
      </c>
      <c r="P367" s="147">
        <f t="shared" si="120"/>
        <v>410492.72397999995</v>
      </c>
      <c r="Q367" s="147">
        <f t="shared" si="120"/>
        <v>409959.89</v>
      </c>
      <c r="R367" s="147">
        <f t="shared" si="120"/>
        <v>192872.18741000001</v>
      </c>
      <c r="S367" s="147">
        <f t="shared" si="120"/>
        <v>197320.8</v>
      </c>
      <c r="T367" s="147">
        <f t="shared" si="120"/>
        <v>163476.86179</v>
      </c>
      <c r="U367" s="147">
        <f t="shared" si="120"/>
        <v>134601.06</v>
      </c>
      <c r="V367" s="147">
        <f t="shared" si="120"/>
        <v>96815.13579</v>
      </c>
      <c r="W367" s="147">
        <f t="shared" si="120"/>
        <v>103564.48</v>
      </c>
      <c r="X367" s="147">
        <f>X14+X26+X33+X63+X87+X143+X164+X178+X190+X203+X221+X251+X271+X283+X290+X314+X350</f>
        <v>163436.85382000002</v>
      </c>
      <c r="Y367" s="147">
        <f t="shared" si="120"/>
        <v>139053.49779999998</v>
      </c>
      <c r="Z367" s="147">
        <f t="shared" si="120"/>
        <v>146596.81212000002</v>
      </c>
      <c r="AA367" s="147">
        <f t="shared" si="120"/>
        <v>251340.56000000003</v>
      </c>
      <c r="AB367" s="147">
        <f t="shared" si="120"/>
        <v>510630.68592000002</v>
      </c>
      <c r="AC367" s="147">
        <f t="shared" si="120"/>
        <v>180920.2</v>
      </c>
      <c r="AD367" s="147">
        <f>AD14+AD26+AD33+AD63+AD87+AD143+AD164+AD178+AD190+AD203+AD221+AD251+AD271+AD283+AD290+AD314+AD350</f>
        <v>351320.62716000003</v>
      </c>
      <c r="AE367" s="147">
        <f t="shared" si="120"/>
        <v>809288.48430000001</v>
      </c>
      <c r="AF367" s="147"/>
      <c r="AG367" s="99">
        <f t="shared" si="46"/>
        <v>0</v>
      </c>
    </row>
    <row r="368" spans="1:33" x14ac:dyDescent="0.3">
      <c r="A368" s="146" t="s">
        <v>33</v>
      </c>
      <c r="B368" s="761">
        <f t="shared" si="118"/>
        <v>824779.30434999999</v>
      </c>
      <c r="C368" s="761">
        <f t="shared" si="118"/>
        <v>824779.30434999999</v>
      </c>
      <c r="D368" s="147">
        <f t="shared" si="118"/>
        <v>790438.21004999988</v>
      </c>
      <c r="E368" s="147">
        <f t="shared" si="118"/>
        <v>790438.21004999988</v>
      </c>
      <c r="F368" s="147">
        <f t="shared" si="115"/>
        <v>95.83632929210512</v>
      </c>
      <c r="G368" s="147">
        <f>IFERROR(E368/C368*100,0)</f>
        <v>95.83632929210512</v>
      </c>
      <c r="H368" s="147">
        <f t="shared" ref="H368:AE368" si="121">H15+H27+H34+H64+H88+H144+H165+H179+H191+H204+H222+H252+H272+H284+H291+H315+H351</f>
        <v>69474.761879999991</v>
      </c>
      <c r="I368" s="147">
        <f t="shared" si="121"/>
        <v>64787.07</v>
      </c>
      <c r="J368" s="147">
        <f t="shared" si="121"/>
        <v>92009.404110000003</v>
      </c>
      <c r="K368" s="147">
        <f t="shared" si="121"/>
        <v>92161.337</v>
      </c>
      <c r="L368" s="147">
        <f t="shared" si="121"/>
        <v>67964.057610000003</v>
      </c>
      <c r="M368" s="147">
        <f t="shared" si="121"/>
        <v>68582.738000000012</v>
      </c>
      <c r="N368" s="147">
        <f t="shared" si="121"/>
        <v>66624.481190000006</v>
      </c>
      <c r="O368" s="147">
        <f t="shared" si="121"/>
        <v>65273.469999999994</v>
      </c>
      <c r="P368" s="147">
        <f t="shared" si="121"/>
        <v>74987.833859999999</v>
      </c>
      <c r="Q368" s="147">
        <f t="shared" si="121"/>
        <v>64467.03</v>
      </c>
      <c r="R368" s="147">
        <f t="shared" si="121"/>
        <v>63084.055130000001</v>
      </c>
      <c r="S368" s="147">
        <f t="shared" si="121"/>
        <v>65076.170000000006</v>
      </c>
      <c r="T368" s="147">
        <f t="shared" si="121"/>
        <v>90353.828130000009</v>
      </c>
      <c r="U368" s="147">
        <f t="shared" si="121"/>
        <v>82361.73000000001</v>
      </c>
      <c r="V368" s="147">
        <f t="shared" si="121"/>
        <v>40673.363229999995</v>
      </c>
      <c r="W368" s="147">
        <f t="shared" si="121"/>
        <v>42554.745799999997</v>
      </c>
      <c r="X368" s="147">
        <f t="shared" si="121"/>
        <v>44846.133300000001</v>
      </c>
      <c r="Y368" s="147">
        <f t="shared" si="121"/>
        <v>38631.903249999996</v>
      </c>
      <c r="Z368" s="147">
        <f t="shared" si="121"/>
        <v>67283.562779999993</v>
      </c>
      <c r="AA368" s="147">
        <f t="shared" si="121"/>
        <v>66807.649999999994</v>
      </c>
      <c r="AB368" s="147">
        <f t="shared" si="121"/>
        <v>87265.045039999997</v>
      </c>
      <c r="AC368" s="147">
        <f t="shared" si="121"/>
        <v>45051.053</v>
      </c>
      <c r="AD368" s="147">
        <f t="shared" si="121"/>
        <v>60212.778090000007</v>
      </c>
      <c r="AE368" s="147">
        <f t="shared" si="121"/>
        <v>94683.312999999995</v>
      </c>
      <c r="AF368" s="147"/>
      <c r="AG368" s="99">
        <f t="shared" si="46"/>
        <v>0</v>
      </c>
    </row>
    <row r="369" spans="1:33" x14ac:dyDescent="0.3">
      <c r="A369" s="148" t="s">
        <v>170</v>
      </c>
      <c r="B369" s="761">
        <f>H369+J369+L369+N369+P369+R369+T369+V369+X369+AB369+AD369+Z369</f>
        <v>341658.51</v>
      </c>
      <c r="C369" s="147">
        <f>C16+C28+C65+C89+C145+C166+C180+C192+C205+C223+C253+C273+C285+C292+C316+C352+C41</f>
        <v>341658.51</v>
      </c>
      <c r="D369" s="147">
        <f>D16+D28+D35+D65+D89+D145+D166+D180+D192+D205+D223+D253+D273+D285+D292+D316+D352</f>
        <v>19869.510000000002</v>
      </c>
      <c r="E369" s="147">
        <f>E16+E28+E35+E65+E89+E145+E166+E180+E192+E205+E223+E253+E273+E285+E292+E316+E352</f>
        <v>19869.510000000002</v>
      </c>
      <c r="F369" s="147">
        <f t="shared" si="115"/>
        <v>5.815605178398747</v>
      </c>
      <c r="G369" s="147">
        <f t="shared" si="116"/>
        <v>5.815605178398747</v>
      </c>
      <c r="H369" s="147">
        <f>H16+H28+H35+H65+H89+H145+H166+H180+H192+H205+H223+H253+H273+H285+H292+H316+H352</f>
        <v>0</v>
      </c>
      <c r="I369" s="147">
        <f t="shared" ref="I369:AE369" si="122">I16+I28+I35+I65+I89+I145+I166+I180+I192+I205+I223+I253+I273+I285+I292+I316+I352</f>
        <v>0</v>
      </c>
      <c r="J369" s="147">
        <f t="shared" si="122"/>
        <v>0</v>
      </c>
      <c r="K369" s="147">
        <f t="shared" si="122"/>
        <v>0</v>
      </c>
      <c r="L369" s="147">
        <f t="shared" si="122"/>
        <v>3230</v>
      </c>
      <c r="M369" s="147">
        <f t="shared" si="122"/>
        <v>3230</v>
      </c>
      <c r="N369" s="147">
        <f t="shared" si="122"/>
        <v>4111</v>
      </c>
      <c r="O369" s="147">
        <f t="shared" si="122"/>
        <v>4111</v>
      </c>
      <c r="P369" s="147">
        <f t="shared" si="122"/>
        <v>5700</v>
      </c>
      <c r="Q369" s="147">
        <f t="shared" si="122"/>
        <v>5700</v>
      </c>
      <c r="R369" s="147">
        <f t="shared" si="122"/>
        <v>2699.84</v>
      </c>
      <c r="S369" s="147">
        <f t="shared" si="122"/>
        <v>2699.84</v>
      </c>
      <c r="T369" s="147">
        <f t="shared" si="122"/>
        <v>0</v>
      </c>
      <c r="U369" s="147">
        <f t="shared" si="122"/>
        <v>0</v>
      </c>
      <c r="V369" s="147">
        <f t="shared" si="122"/>
        <v>0</v>
      </c>
      <c r="W369" s="147">
        <f t="shared" si="122"/>
        <v>0</v>
      </c>
      <c r="X369" s="147">
        <f t="shared" si="122"/>
        <v>1301.17</v>
      </c>
      <c r="Y369" s="147">
        <f t="shared" si="122"/>
        <v>1119.67</v>
      </c>
      <c r="Z369" s="147">
        <f t="shared" si="122"/>
        <v>2477.5</v>
      </c>
      <c r="AA369" s="147">
        <f t="shared" si="122"/>
        <v>2659</v>
      </c>
      <c r="AB369" s="147">
        <f t="shared" si="122"/>
        <v>10057.94</v>
      </c>
      <c r="AC369" s="147">
        <f t="shared" si="122"/>
        <v>0</v>
      </c>
      <c r="AD369" s="147">
        <f t="shared" si="122"/>
        <v>312081.06</v>
      </c>
      <c r="AE369" s="147">
        <f t="shared" si="122"/>
        <v>350</v>
      </c>
      <c r="AF369" s="147"/>
      <c r="AG369" s="99">
        <f t="shared" si="46"/>
        <v>0</v>
      </c>
    </row>
    <row r="370" spans="1:33" ht="37.5" x14ac:dyDescent="0.3">
      <c r="A370" s="144" t="s">
        <v>218</v>
      </c>
      <c r="B370" s="145">
        <f>B371+B372+B373+B374</f>
        <v>1029108.6343400001</v>
      </c>
      <c r="C370" s="145">
        <f>C371+C372+C373+C374</f>
        <v>1029108.6343400001</v>
      </c>
      <c r="D370" s="145">
        <f>D371+D372+D373</f>
        <v>643107.61330000008</v>
      </c>
      <c r="E370" s="145">
        <f>E371+E372+E373</f>
        <v>643107.61330000008</v>
      </c>
      <c r="F370" s="145">
        <f t="shared" si="115"/>
        <v>62.491712909633236</v>
      </c>
      <c r="G370" s="145">
        <f t="shared" si="116"/>
        <v>62.491712909633236</v>
      </c>
      <c r="H370" s="145">
        <f t="shared" ref="H370:AE370" si="123">H371+H372+H373+H374</f>
        <v>2</v>
      </c>
      <c r="I370" s="145">
        <f t="shared" si="123"/>
        <v>2</v>
      </c>
      <c r="J370" s="145">
        <f t="shared" si="123"/>
        <v>262.52300000000002</v>
      </c>
      <c r="K370" s="145">
        <f t="shared" si="123"/>
        <v>262.57</v>
      </c>
      <c r="L370" s="145">
        <f t="shared" si="123"/>
        <v>178.89000000000001</v>
      </c>
      <c r="M370" s="145">
        <f t="shared" si="123"/>
        <v>178.05799999999999</v>
      </c>
      <c r="N370" s="145">
        <f t="shared" si="123"/>
        <v>92.240000000000009</v>
      </c>
      <c r="O370" s="145">
        <f t="shared" si="123"/>
        <v>24.48</v>
      </c>
      <c r="P370" s="145">
        <f t="shared" si="123"/>
        <v>176.8364</v>
      </c>
      <c r="Q370" s="145">
        <f t="shared" si="123"/>
        <v>176.84</v>
      </c>
      <c r="R370" s="145">
        <f t="shared" si="123"/>
        <v>306.64823000000001</v>
      </c>
      <c r="S370" s="145">
        <f t="shared" si="123"/>
        <v>321.96000000000004</v>
      </c>
      <c r="T370" s="145">
        <f t="shared" si="123"/>
        <v>1.03</v>
      </c>
      <c r="U370" s="145">
        <f t="shared" si="123"/>
        <v>1.34</v>
      </c>
      <c r="V370" s="145">
        <f t="shared" si="123"/>
        <v>32.380000000000003</v>
      </c>
      <c r="W370" s="145">
        <f t="shared" si="123"/>
        <v>32.380000000000003</v>
      </c>
      <c r="X370" s="145">
        <f t="shared" si="123"/>
        <v>48747.13723</v>
      </c>
      <c r="Y370" s="145">
        <f t="shared" si="123"/>
        <v>48781.565299999995</v>
      </c>
      <c r="Z370" s="145">
        <f t="shared" si="123"/>
        <v>98.613230000000001</v>
      </c>
      <c r="AA370" s="145">
        <f t="shared" si="123"/>
        <v>27.580000000000002</v>
      </c>
      <c r="AB370" s="145">
        <f t="shared" si="123"/>
        <v>497765.45224999997</v>
      </c>
      <c r="AC370" s="145">
        <f t="shared" si="123"/>
        <v>64.45</v>
      </c>
      <c r="AD370" s="145">
        <f t="shared" si="123"/>
        <v>481444.88400000008</v>
      </c>
      <c r="AE370" s="145">
        <f t="shared" si="123"/>
        <v>593234.39000000013</v>
      </c>
      <c r="AF370" s="145"/>
      <c r="AG370" s="99">
        <f t="shared" si="46"/>
        <v>0</v>
      </c>
    </row>
    <row r="371" spans="1:33" x14ac:dyDescent="0.3">
      <c r="A371" s="146" t="s">
        <v>169</v>
      </c>
      <c r="B371" s="147">
        <f t="shared" ref="B371:E374" si="124">B13+B25+B177+B189+B270+B282</f>
        <v>211047.60403000002</v>
      </c>
      <c r="C371" s="147">
        <f t="shared" si="124"/>
        <v>211047.60403000002</v>
      </c>
      <c r="D371" s="147">
        <f t="shared" si="124"/>
        <v>211047.16329999999</v>
      </c>
      <c r="E371" s="147">
        <f t="shared" si="124"/>
        <v>211047.16329999999</v>
      </c>
      <c r="F371" s="147">
        <f t="shared" si="115"/>
        <v>99.999791170337119</v>
      </c>
      <c r="G371" s="147">
        <f t="shared" si="116"/>
        <v>99.999791170337119</v>
      </c>
      <c r="H371" s="147">
        <f t="shared" ref="H371:AE371" si="125">H13+H25+H177+H189+H270+H282</f>
        <v>0</v>
      </c>
      <c r="I371" s="147">
        <f t="shared" si="125"/>
        <v>0</v>
      </c>
      <c r="J371" s="147">
        <f t="shared" si="125"/>
        <v>47.78</v>
      </c>
      <c r="K371" s="147">
        <f t="shared" si="125"/>
        <v>47.9</v>
      </c>
      <c r="L371" s="147">
        <f t="shared" si="125"/>
        <v>65.98</v>
      </c>
      <c r="M371" s="147">
        <f t="shared" si="125"/>
        <v>65.86</v>
      </c>
      <c r="N371" s="147">
        <f t="shared" si="125"/>
        <v>35.630000000000003</v>
      </c>
      <c r="O371" s="147">
        <f t="shared" si="125"/>
        <v>9.15</v>
      </c>
      <c r="P371" s="147">
        <f t="shared" si="125"/>
        <v>68.342010000000002</v>
      </c>
      <c r="Q371" s="147">
        <f t="shared" si="125"/>
        <v>68.34</v>
      </c>
      <c r="R371" s="147">
        <f t="shared" si="125"/>
        <v>79.260000000000005</v>
      </c>
      <c r="S371" s="147">
        <f t="shared" si="125"/>
        <v>85.43</v>
      </c>
      <c r="T371" s="147">
        <f t="shared" si="125"/>
        <v>0</v>
      </c>
      <c r="U371" s="147">
        <f t="shared" si="125"/>
        <v>0.31</v>
      </c>
      <c r="V371" s="147">
        <f t="shared" si="125"/>
        <v>32.28</v>
      </c>
      <c r="W371" s="147">
        <f t="shared" si="125"/>
        <v>32.28</v>
      </c>
      <c r="X371" s="147">
        <f t="shared" si="125"/>
        <v>19721.560000000001</v>
      </c>
      <c r="Y371" s="147">
        <f t="shared" si="125"/>
        <v>19734.793300000001</v>
      </c>
      <c r="Z371" s="147">
        <f t="shared" si="125"/>
        <v>38.03</v>
      </c>
      <c r="AA371" s="147">
        <f t="shared" si="125"/>
        <v>10.65</v>
      </c>
      <c r="AB371" s="147">
        <f t="shared" si="125"/>
        <v>190924.43202000004</v>
      </c>
      <c r="AC371" s="147">
        <f t="shared" si="125"/>
        <v>24.91</v>
      </c>
      <c r="AD371" s="147">
        <f t="shared" si="125"/>
        <v>34.31</v>
      </c>
      <c r="AE371" s="147">
        <f t="shared" si="125"/>
        <v>190967.54</v>
      </c>
      <c r="AF371" s="147"/>
      <c r="AG371" s="99">
        <f t="shared" si="46"/>
        <v>-3.1434410630026832E-11</v>
      </c>
    </row>
    <row r="372" spans="1:33" x14ac:dyDescent="0.3">
      <c r="A372" s="146" t="s">
        <v>32</v>
      </c>
      <c r="B372" s="147">
        <f t="shared" si="124"/>
        <v>425412.79531000007</v>
      </c>
      <c r="C372" s="147">
        <f t="shared" si="124"/>
        <v>425412.79531000007</v>
      </c>
      <c r="D372" s="147">
        <f t="shared" si="124"/>
        <v>367630.81200000003</v>
      </c>
      <c r="E372" s="147">
        <f t="shared" si="124"/>
        <v>367630.81200000003</v>
      </c>
      <c r="F372" s="147">
        <f t="shared" si="115"/>
        <v>86.417431739942359</v>
      </c>
      <c r="G372" s="147">
        <f t="shared" si="116"/>
        <v>86.417431739942359</v>
      </c>
      <c r="H372" s="147">
        <f t="shared" ref="H372:AE372" si="126">H14+H26+H178+H190+H271+H283</f>
        <v>0</v>
      </c>
      <c r="I372" s="147">
        <f t="shared" si="126"/>
        <v>0</v>
      </c>
      <c r="J372" s="147">
        <f t="shared" si="126"/>
        <v>74.73</v>
      </c>
      <c r="K372" s="147">
        <f t="shared" si="126"/>
        <v>74.7</v>
      </c>
      <c r="L372" s="147">
        <f t="shared" si="126"/>
        <v>103.2</v>
      </c>
      <c r="M372" s="147">
        <f t="shared" si="126"/>
        <v>103.21</v>
      </c>
      <c r="N372" s="147">
        <f t="shared" si="126"/>
        <v>55.68</v>
      </c>
      <c r="O372" s="147">
        <f t="shared" si="126"/>
        <v>14.34</v>
      </c>
      <c r="P372" s="147">
        <f t="shared" si="126"/>
        <v>106.77439</v>
      </c>
      <c r="Q372" s="147">
        <f t="shared" si="126"/>
        <v>106.77</v>
      </c>
      <c r="R372" s="147">
        <f t="shared" si="126"/>
        <v>124.08023</v>
      </c>
      <c r="S372" s="147">
        <f t="shared" si="126"/>
        <v>134.25</v>
      </c>
      <c r="T372" s="147">
        <f t="shared" si="126"/>
        <v>0</v>
      </c>
      <c r="U372" s="147">
        <f t="shared" si="126"/>
        <v>0</v>
      </c>
      <c r="V372" s="147">
        <f t="shared" si="126"/>
        <v>0.1</v>
      </c>
      <c r="W372" s="147">
        <f t="shared" si="126"/>
        <v>0.1</v>
      </c>
      <c r="X372" s="147">
        <f t="shared" si="126"/>
        <v>24156.97723</v>
      </c>
      <c r="Y372" s="147">
        <f t="shared" si="126"/>
        <v>24177.642</v>
      </c>
      <c r="Z372" s="147">
        <f t="shared" si="126"/>
        <v>59.413229999999992</v>
      </c>
      <c r="AA372" s="147">
        <f t="shared" si="126"/>
        <v>16.66</v>
      </c>
      <c r="AB372" s="147">
        <f t="shared" si="126"/>
        <v>246914.66022999998</v>
      </c>
      <c r="AC372" s="147">
        <f t="shared" si="126"/>
        <v>38.96</v>
      </c>
      <c r="AD372" s="147">
        <f t="shared" si="126"/>
        <v>153817.18000000005</v>
      </c>
      <c r="AE372" s="147">
        <f t="shared" si="126"/>
        <v>342964.18000000005</v>
      </c>
      <c r="AF372" s="147"/>
      <c r="AG372" s="99">
        <f t="shared" si="46"/>
        <v>0</v>
      </c>
    </row>
    <row r="373" spans="1:33" x14ac:dyDescent="0.3">
      <c r="A373" s="146" t="s">
        <v>33</v>
      </c>
      <c r="B373" s="147">
        <f t="shared" si="124"/>
        <v>70859.235000000001</v>
      </c>
      <c r="C373" s="147">
        <f t="shared" si="124"/>
        <v>70859.235000000001</v>
      </c>
      <c r="D373" s="147">
        <f t="shared" si="124"/>
        <v>64429.638000000006</v>
      </c>
      <c r="E373" s="147">
        <f t="shared" si="124"/>
        <v>64429.638000000006</v>
      </c>
      <c r="F373" s="147">
        <f t="shared" si="115"/>
        <v>90.926239889550047</v>
      </c>
      <c r="G373" s="147">
        <f t="shared" si="116"/>
        <v>90.926239889550047</v>
      </c>
      <c r="H373" s="147">
        <f t="shared" ref="H373:AE373" si="127">H15+H27+H179+H191+H272+H284</f>
        <v>2</v>
      </c>
      <c r="I373" s="147">
        <f t="shared" si="127"/>
        <v>2</v>
      </c>
      <c r="J373" s="147">
        <f t="shared" si="127"/>
        <v>140.01300000000001</v>
      </c>
      <c r="K373" s="147">
        <f t="shared" si="127"/>
        <v>139.97</v>
      </c>
      <c r="L373" s="147">
        <f t="shared" si="127"/>
        <v>9.7100000000000009</v>
      </c>
      <c r="M373" s="147">
        <f t="shared" si="127"/>
        <v>8.9879999999999995</v>
      </c>
      <c r="N373" s="147">
        <f t="shared" si="127"/>
        <v>0.93</v>
      </c>
      <c r="O373" s="147">
        <f t="shared" si="127"/>
        <v>0.99</v>
      </c>
      <c r="P373" s="147">
        <f t="shared" si="127"/>
        <v>1.72</v>
      </c>
      <c r="Q373" s="147">
        <f t="shared" si="127"/>
        <v>1.73</v>
      </c>
      <c r="R373" s="147">
        <f t="shared" si="127"/>
        <v>103.30800000000001</v>
      </c>
      <c r="S373" s="147">
        <f t="shared" si="127"/>
        <v>102.28</v>
      </c>
      <c r="T373" s="147">
        <f t="shared" si="127"/>
        <v>1.03</v>
      </c>
      <c r="U373" s="147">
        <f t="shared" si="127"/>
        <v>1.03</v>
      </c>
      <c r="V373" s="147">
        <f t="shared" si="127"/>
        <v>0</v>
      </c>
      <c r="W373" s="147">
        <f t="shared" si="127"/>
        <v>0</v>
      </c>
      <c r="X373" s="147">
        <f t="shared" si="127"/>
        <v>4868.6000000000004</v>
      </c>
      <c r="Y373" s="147">
        <f t="shared" si="127"/>
        <v>4869.13</v>
      </c>
      <c r="Z373" s="147">
        <f t="shared" si="127"/>
        <v>1.17</v>
      </c>
      <c r="AA373" s="147">
        <f t="shared" si="127"/>
        <v>0.27</v>
      </c>
      <c r="AB373" s="147">
        <f t="shared" si="127"/>
        <v>49868.42</v>
      </c>
      <c r="AC373" s="147">
        <f t="shared" si="127"/>
        <v>0.57999999999999996</v>
      </c>
      <c r="AD373" s="147">
        <f t="shared" si="127"/>
        <v>15862.334000000003</v>
      </c>
      <c r="AE373" s="147">
        <f t="shared" si="127"/>
        <v>59302.67</v>
      </c>
      <c r="AF373" s="147"/>
      <c r="AG373" s="99">
        <f t="shared" ref="AG373:AG384" si="128">B373-H373-J373-L373-N373-P373-R373-T373-V373-X373-Z373-AB373-AD373</f>
        <v>-1.4551915228366852E-11</v>
      </c>
    </row>
    <row r="374" spans="1:33" x14ac:dyDescent="0.3">
      <c r="A374" s="148" t="s">
        <v>170</v>
      </c>
      <c r="B374" s="147">
        <f t="shared" si="124"/>
        <v>321789</v>
      </c>
      <c r="C374" s="147">
        <f t="shared" si="124"/>
        <v>321789</v>
      </c>
      <c r="D374" s="147">
        <f t="shared" si="124"/>
        <v>0</v>
      </c>
      <c r="E374" s="147">
        <f t="shared" si="124"/>
        <v>0</v>
      </c>
      <c r="F374" s="147">
        <f t="shared" si="115"/>
        <v>0</v>
      </c>
      <c r="G374" s="147">
        <f>IFERROR(E374/C374*100,0)</f>
        <v>0</v>
      </c>
      <c r="H374" s="147">
        <f t="shared" ref="H374:AE374" si="129">H16+H28+H180+H192+H273+H285</f>
        <v>0</v>
      </c>
      <c r="I374" s="147">
        <f t="shared" si="129"/>
        <v>0</v>
      </c>
      <c r="J374" s="147">
        <f t="shared" si="129"/>
        <v>0</v>
      </c>
      <c r="K374" s="147">
        <f t="shared" si="129"/>
        <v>0</v>
      </c>
      <c r="L374" s="147">
        <f t="shared" si="129"/>
        <v>0</v>
      </c>
      <c r="M374" s="147">
        <f t="shared" si="129"/>
        <v>0</v>
      </c>
      <c r="N374" s="147">
        <f t="shared" si="129"/>
        <v>0</v>
      </c>
      <c r="O374" s="147">
        <f t="shared" si="129"/>
        <v>0</v>
      </c>
      <c r="P374" s="147">
        <f t="shared" si="129"/>
        <v>0</v>
      </c>
      <c r="Q374" s="147">
        <f t="shared" si="129"/>
        <v>0</v>
      </c>
      <c r="R374" s="147">
        <f t="shared" si="129"/>
        <v>0</v>
      </c>
      <c r="S374" s="147">
        <f t="shared" si="129"/>
        <v>0</v>
      </c>
      <c r="T374" s="147">
        <f t="shared" si="129"/>
        <v>0</v>
      </c>
      <c r="U374" s="147">
        <f t="shared" si="129"/>
        <v>0</v>
      </c>
      <c r="V374" s="147">
        <f t="shared" si="129"/>
        <v>0</v>
      </c>
      <c r="W374" s="147">
        <f t="shared" si="129"/>
        <v>0</v>
      </c>
      <c r="X374" s="147">
        <f t="shared" si="129"/>
        <v>0</v>
      </c>
      <c r="Y374" s="147">
        <f t="shared" si="129"/>
        <v>0</v>
      </c>
      <c r="Z374" s="147">
        <f t="shared" si="129"/>
        <v>0</v>
      </c>
      <c r="AA374" s="147">
        <f t="shared" si="129"/>
        <v>0</v>
      </c>
      <c r="AB374" s="147">
        <f t="shared" si="129"/>
        <v>10057.94</v>
      </c>
      <c r="AC374" s="147">
        <f t="shared" si="129"/>
        <v>0</v>
      </c>
      <c r="AD374" s="147">
        <f t="shared" si="129"/>
        <v>311731.06</v>
      </c>
      <c r="AE374" s="147">
        <f t="shared" si="129"/>
        <v>0</v>
      </c>
      <c r="AF374" s="147"/>
      <c r="AG374" s="99">
        <f t="shared" si="128"/>
        <v>0</v>
      </c>
    </row>
    <row r="375" spans="1:33" ht="37.5" x14ac:dyDescent="0.3">
      <c r="A375" s="144" t="s">
        <v>219</v>
      </c>
      <c r="B375" s="145">
        <f>B376+B377+B378+B379</f>
        <v>3386419.1703899996</v>
      </c>
      <c r="C375" s="145">
        <f>C376+C377+C378+C379</f>
        <v>3386419.1703900001</v>
      </c>
      <c r="D375" s="145">
        <f>D376+D377+D378</f>
        <v>3304711.5487500001</v>
      </c>
      <c r="E375" s="145">
        <f>E376+E377+E378</f>
        <v>3304711.5487500001</v>
      </c>
      <c r="F375" s="145">
        <f t="shared" si="115"/>
        <v>97.587197050074877</v>
      </c>
      <c r="G375" s="145">
        <f t="shared" si="116"/>
        <v>97.587197050074863</v>
      </c>
      <c r="H375" s="145">
        <f t="shared" ref="H375:AE375" si="130">H376+H377+H378+H379</f>
        <v>256557.95856999996</v>
      </c>
      <c r="I375" s="145">
        <f t="shared" si="130"/>
        <v>109714.07</v>
      </c>
      <c r="J375" s="145">
        <f t="shared" si="130"/>
        <v>339049.10925000004</v>
      </c>
      <c r="K375" s="145">
        <f t="shared" si="130"/>
        <v>310803.36699999997</v>
      </c>
      <c r="L375" s="145">
        <f t="shared" si="130"/>
        <v>296580.54852999997</v>
      </c>
      <c r="M375" s="145">
        <f t="shared" si="130"/>
        <v>256303.01</v>
      </c>
      <c r="N375" s="145">
        <f t="shared" si="130"/>
        <v>339312.08707000001</v>
      </c>
      <c r="O375" s="145">
        <f t="shared" si="130"/>
        <v>267942.88999999996</v>
      </c>
      <c r="P375" s="145">
        <f t="shared" si="130"/>
        <v>507594.19146999996</v>
      </c>
      <c r="Q375" s="145">
        <f t="shared" si="130"/>
        <v>493118.16</v>
      </c>
      <c r="R375" s="145">
        <f t="shared" si="130"/>
        <v>269368.00293000002</v>
      </c>
      <c r="S375" s="145">
        <f t="shared" si="130"/>
        <v>279197.21000000002</v>
      </c>
      <c r="T375" s="145">
        <f t="shared" si="130"/>
        <v>254352.37096</v>
      </c>
      <c r="U375" s="145">
        <f t="shared" si="130"/>
        <v>218961.76</v>
      </c>
      <c r="V375" s="145">
        <f t="shared" si="130"/>
        <v>139351.75066999998</v>
      </c>
      <c r="W375" s="145">
        <f t="shared" si="130"/>
        <v>146505.44579999999</v>
      </c>
      <c r="X375" s="145">
        <f t="shared" si="130"/>
        <v>195646.32434000002</v>
      </c>
      <c r="Y375" s="145">
        <f t="shared" si="130"/>
        <v>159359.20565000002</v>
      </c>
      <c r="Z375" s="145">
        <f t="shared" si="130"/>
        <v>230040.31044</v>
      </c>
      <c r="AA375" s="145">
        <f t="shared" si="130"/>
        <v>332122.89</v>
      </c>
      <c r="AB375" s="145">
        <f t="shared" si="130"/>
        <v>312508.12535000005</v>
      </c>
      <c r="AC375" s="145">
        <f t="shared" si="130"/>
        <v>234462.82300000003</v>
      </c>
      <c r="AD375" s="145">
        <f t="shared" si="130"/>
        <v>246058.39081000001</v>
      </c>
      <c r="AE375" s="145">
        <f t="shared" si="130"/>
        <v>516090.22729999997</v>
      </c>
      <c r="AF375" s="145"/>
      <c r="AG375" s="99">
        <f t="shared" si="128"/>
        <v>0</v>
      </c>
    </row>
    <row r="376" spans="1:33" x14ac:dyDescent="0.3">
      <c r="A376" s="146" t="s">
        <v>169</v>
      </c>
      <c r="B376" s="147">
        <f t="shared" ref="B376:E379" si="131">B32+B62+B86+B142+B163+B202+B220+B250+B289+B313+B349</f>
        <v>106665.20024000001</v>
      </c>
      <c r="C376" s="147">
        <f t="shared" si="131"/>
        <v>106665.20024000001</v>
      </c>
      <c r="D376" s="147">
        <f t="shared" si="131"/>
        <v>105760.80660000001</v>
      </c>
      <c r="E376" s="147">
        <f t="shared" si="131"/>
        <v>105760.80660000001</v>
      </c>
      <c r="F376" s="147">
        <f t="shared" si="115"/>
        <v>99.152119306048192</v>
      </c>
      <c r="G376" s="147">
        <f t="shared" si="116"/>
        <v>99.152119306048192</v>
      </c>
      <c r="H376" s="147">
        <f t="shared" ref="H376:AE376" si="132">H32+H62+H86+H142+H163+H202+H220+H250+H289+H313+H349</f>
        <v>5333.3166899999997</v>
      </c>
      <c r="I376" s="147">
        <f t="shared" si="132"/>
        <v>5314.2000000000007</v>
      </c>
      <c r="J376" s="147">
        <f t="shared" si="132"/>
        <v>6672.6883500000004</v>
      </c>
      <c r="K376" s="147">
        <f t="shared" si="132"/>
        <v>6638</v>
      </c>
      <c r="L376" s="147">
        <f t="shared" si="132"/>
        <v>7101.81513</v>
      </c>
      <c r="M376" s="147">
        <f t="shared" si="132"/>
        <v>7092.9</v>
      </c>
      <c r="N376" s="147">
        <f t="shared" si="132"/>
        <v>13629.143340000001</v>
      </c>
      <c r="O376" s="147">
        <f t="shared" si="132"/>
        <v>13392.81</v>
      </c>
      <c r="P376" s="147">
        <f t="shared" si="132"/>
        <v>16522.12802</v>
      </c>
      <c r="Q376" s="147">
        <f t="shared" si="132"/>
        <v>13099.740000000002</v>
      </c>
      <c r="R376" s="147">
        <f t="shared" si="132"/>
        <v>10939.30862</v>
      </c>
      <c r="S376" s="147">
        <f t="shared" si="132"/>
        <v>14336.93</v>
      </c>
      <c r="T376" s="147">
        <f t="shared" si="132"/>
        <v>522.71104000000003</v>
      </c>
      <c r="U376" s="147">
        <f t="shared" si="132"/>
        <v>2000</v>
      </c>
      <c r="V376" s="147">
        <f t="shared" si="132"/>
        <v>1863.3516500000001</v>
      </c>
      <c r="W376" s="147">
        <f t="shared" si="132"/>
        <v>386.32</v>
      </c>
      <c r="X376" s="147">
        <f t="shared" si="132"/>
        <v>15087.744449999998</v>
      </c>
      <c r="Y376" s="147">
        <f t="shared" si="132"/>
        <v>9600.9066000000003</v>
      </c>
      <c r="Z376" s="147">
        <f t="shared" si="132"/>
        <v>13743.018769999999</v>
      </c>
      <c r="AA376" s="147">
        <f t="shared" si="132"/>
        <v>11332.61</v>
      </c>
      <c r="AB376" s="147">
        <f t="shared" si="132"/>
        <v>11395.474619999999</v>
      </c>
      <c r="AC376" s="147">
        <f t="shared" si="132"/>
        <v>8531.11</v>
      </c>
      <c r="AD376" s="147">
        <f t="shared" si="132"/>
        <v>3854.4995600000007</v>
      </c>
      <c r="AE376" s="147">
        <f t="shared" si="132"/>
        <v>14035.279999999999</v>
      </c>
      <c r="AF376" s="147"/>
      <c r="AG376" s="99">
        <f t="shared" si="128"/>
        <v>8.6401996668428183E-12</v>
      </c>
    </row>
    <row r="377" spans="1:33" x14ac:dyDescent="0.3">
      <c r="A377" s="146" t="s">
        <v>32</v>
      </c>
      <c r="B377" s="147">
        <f t="shared" si="131"/>
        <v>2505964.3907999997</v>
      </c>
      <c r="C377" s="147">
        <f t="shared" si="131"/>
        <v>2505964.3908000002</v>
      </c>
      <c r="D377" s="147">
        <f t="shared" si="131"/>
        <v>2472942.1701000002</v>
      </c>
      <c r="E377" s="147">
        <f t="shared" si="131"/>
        <v>2472942.1701000002</v>
      </c>
      <c r="F377" s="147">
        <f t="shared" si="115"/>
        <v>98.682254990484623</v>
      </c>
      <c r="G377" s="147">
        <f t="shared" si="116"/>
        <v>98.682254990484594</v>
      </c>
      <c r="H377" s="147">
        <f t="shared" ref="H377:AE377" si="133">H33+H63+H87+H143+H164+H203+H221+H251+H290+H314+H350</f>
        <v>181751.87999999998</v>
      </c>
      <c r="I377" s="147">
        <f t="shared" si="133"/>
        <v>39614.799999999996</v>
      </c>
      <c r="J377" s="147">
        <f t="shared" si="133"/>
        <v>240507.02979000003</v>
      </c>
      <c r="K377" s="147">
        <f t="shared" si="133"/>
        <v>212144</v>
      </c>
      <c r="L377" s="147">
        <f t="shared" si="133"/>
        <v>218294.38578999997</v>
      </c>
      <c r="M377" s="147">
        <f t="shared" si="133"/>
        <v>177406.36000000002</v>
      </c>
      <c r="N377" s="147">
        <f t="shared" si="133"/>
        <v>254948.39253999997</v>
      </c>
      <c r="O377" s="147">
        <f t="shared" si="133"/>
        <v>185166.59999999998</v>
      </c>
      <c r="P377" s="147">
        <f t="shared" si="133"/>
        <v>410385.94958999997</v>
      </c>
      <c r="Q377" s="147">
        <f t="shared" si="133"/>
        <v>409853.12</v>
      </c>
      <c r="R377" s="147">
        <f t="shared" si="133"/>
        <v>192748.10718000002</v>
      </c>
      <c r="S377" s="147">
        <f t="shared" si="133"/>
        <v>197186.55</v>
      </c>
      <c r="T377" s="147">
        <f t="shared" si="133"/>
        <v>163476.86179</v>
      </c>
      <c r="U377" s="147">
        <f t="shared" si="133"/>
        <v>134601.06</v>
      </c>
      <c r="V377" s="147">
        <f t="shared" si="133"/>
        <v>96815.035789999994</v>
      </c>
      <c r="W377" s="147">
        <f t="shared" si="133"/>
        <v>103564.37999999999</v>
      </c>
      <c r="X377" s="147">
        <f t="shared" si="133"/>
        <v>139279.87659</v>
      </c>
      <c r="Y377" s="147">
        <f t="shared" si="133"/>
        <v>114875.8558</v>
      </c>
      <c r="Z377" s="147">
        <f t="shared" si="133"/>
        <v>146537.39889000001</v>
      </c>
      <c r="AA377" s="147">
        <f t="shared" si="133"/>
        <v>251323.90000000002</v>
      </c>
      <c r="AB377" s="147">
        <f t="shared" si="133"/>
        <v>263716.02569000004</v>
      </c>
      <c r="AC377" s="147">
        <f t="shared" si="133"/>
        <v>180881.24000000002</v>
      </c>
      <c r="AD377" s="147">
        <f t="shared" si="133"/>
        <v>197503.44716000001</v>
      </c>
      <c r="AE377" s="147">
        <f t="shared" si="133"/>
        <v>466324.30429999996</v>
      </c>
      <c r="AF377" s="147"/>
      <c r="AG377" s="99">
        <f t="shared" si="128"/>
        <v>-3.2014213502407074E-10</v>
      </c>
    </row>
    <row r="378" spans="1:33" x14ac:dyDescent="0.3">
      <c r="A378" s="146" t="s">
        <v>33</v>
      </c>
      <c r="B378" s="147">
        <f t="shared" si="131"/>
        <v>753920.06934999989</v>
      </c>
      <c r="C378" s="147">
        <f t="shared" si="131"/>
        <v>753920.06934999989</v>
      </c>
      <c r="D378" s="147">
        <f t="shared" si="131"/>
        <v>726008.57204999984</v>
      </c>
      <c r="E378" s="147">
        <f t="shared" si="131"/>
        <v>726008.57204999984</v>
      </c>
      <c r="F378" s="147">
        <f t="shared" si="115"/>
        <v>96.297817443158891</v>
      </c>
      <c r="G378" s="147">
        <f t="shared" si="116"/>
        <v>96.297817443158891</v>
      </c>
      <c r="H378" s="147">
        <f t="shared" ref="H378:AE378" si="134">H34+H64+H88+H144+H165+H204+H222+H252+H291+H315+H351</f>
        <v>69472.761879999991</v>
      </c>
      <c r="I378" s="147">
        <f t="shared" si="134"/>
        <v>64785.07</v>
      </c>
      <c r="J378" s="147">
        <f t="shared" si="134"/>
        <v>91869.391109999997</v>
      </c>
      <c r="K378" s="147">
        <f t="shared" si="134"/>
        <v>92021.366999999998</v>
      </c>
      <c r="L378" s="147">
        <f t="shared" si="134"/>
        <v>67954.347609999997</v>
      </c>
      <c r="M378" s="147">
        <f t="shared" si="134"/>
        <v>68573.750000000015</v>
      </c>
      <c r="N378" s="147">
        <f t="shared" si="134"/>
        <v>66623.551189999998</v>
      </c>
      <c r="O378" s="147">
        <f t="shared" si="134"/>
        <v>65272.480000000003</v>
      </c>
      <c r="P378" s="147">
        <f t="shared" si="134"/>
        <v>74986.113859999998</v>
      </c>
      <c r="Q378" s="147">
        <f t="shared" si="134"/>
        <v>64465.299999999996</v>
      </c>
      <c r="R378" s="147">
        <f t="shared" si="134"/>
        <v>62980.747130000003</v>
      </c>
      <c r="S378" s="147">
        <f t="shared" si="134"/>
        <v>64973.890000000007</v>
      </c>
      <c r="T378" s="147">
        <f t="shared" si="134"/>
        <v>90352.79813000001</v>
      </c>
      <c r="U378" s="147">
        <f t="shared" si="134"/>
        <v>82360.700000000012</v>
      </c>
      <c r="V378" s="147">
        <f t="shared" si="134"/>
        <v>40673.363229999995</v>
      </c>
      <c r="W378" s="147">
        <f t="shared" si="134"/>
        <v>42554.745799999997</v>
      </c>
      <c r="X378" s="147">
        <f t="shared" si="134"/>
        <v>39977.533299999996</v>
      </c>
      <c r="Y378" s="147">
        <f t="shared" si="134"/>
        <v>33762.773249999998</v>
      </c>
      <c r="Z378" s="147">
        <f t="shared" si="134"/>
        <v>67282.392779999995</v>
      </c>
      <c r="AA378" s="147">
        <f t="shared" si="134"/>
        <v>66807.37999999999</v>
      </c>
      <c r="AB378" s="147">
        <f t="shared" si="134"/>
        <v>37396.625040000006</v>
      </c>
      <c r="AC378" s="147">
        <f t="shared" si="134"/>
        <v>45050.472999999998</v>
      </c>
      <c r="AD378" s="147">
        <f t="shared" si="134"/>
        <v>44350.444090000005</v>
      </c>
      <c r="AE378" s="147">
        <f t="shared" si="134"/>
        <v>35380.643000000004</v>
      </c>
      <c r="AF378" s="147"/>
      <c r="AG378" s="99">
        <f t="shared" si="128"/>
        <v>-1.0913936421275139E-10</v>
      </c>
    </row>
    <row r="379" spans="1:33" x14ac:dyDescent="0.3">
      <c r="A379" s="148" t="s">
        <v>170</v>
      </c>
      <c r="B379" s="147">
        <f t="shared" si="131"/>
        <v>19869.510000000002</v>
      </c>
      <c r="C379" s="147">
        <f t="shared" si="131"/>
        <v>19869.510000000002</v>
      </c>
      <c r="D379" s="147">
        <f t="shared" si="131"/>
        <v>19869.510000000002</v>
      </c>
      <c r="E379" s="147">
        <f t="shared" si="131"/>
        <v>19869.510000000002</v>
      </c>
      <c r="F379" s="147">
        <f t="shared" si="115"/>
        <v>100</v>
      </c>
      <c r="G379" s="147">
        <f t="shared" si="116"/>
        <v>100</v>
      </c>
      <c r="H379" s="147">
        <f t="shared" ref="H379:AE379" si="135">H35+H65+H89+H145+H166+H205+H223+H253+H292+H316+H352</f>
        <v>0</v>
      </c>
      <c r="I379" s="147">
        <f t="shared" si="135"/>
        <v>0</v>
      </c>
      <c r="J379" s="147">
        <f t="shared" si="135"/>
        <v>0</v>
      </c>
      <c r="K379" s="147">
        <f t="shared" si="135"/>
        <v>0</v>
      </c>
      <c r="L379" s="147">
        <f t="shared" si="135"/>
        <v>3230</v>
      </c>
      <c r="M379" s="147">
        <f t="shared" si="135"/>
        <v>3230</v>
      </c>
      <c r="N379" s="147">
        <f t="shared" si="135"/>
        <v>4111</v>
      </c>
      <c r="O379" s="147">
        <f t="shared" si="135"/>
        <v>4111</v>
      </c>
      <c r="P379" s="147">
        <f t="shared" si="135"/>
        <v>5700</v>
      </c>
      <c r="Q379" s="147">
        <f t="shared" si="135"/>
        <v>5700</v>
      </c>
      <c r="R379" s="147">
        <f t="shared" si="135"/>
        <v>2699.84</v>
      </c>
      <c r="S379" s="147">
        <f t="shared" si="135"/>
        <v>2699.84</v>
      </c>
      <c r="T379" s="147">
        <f t="shared" si="135"/>
        <v>0</v>
      </c>
      <c r="U379" s="147">
        <f t="shared" si="135"/>
        <v>0</v>
      </c>
      <c r="V379" s="147">
        <f t="shared" si="135"/>
        <v>0</v>
      </c>
      <c r="W379" s="147">
        <f t="shared" si="135"/>
        <v>0</v>
      </c>
      <c r="X379" s="147">
        <f t="shared" si="135"/>
        <v>1301.17</v>
      </c>
      <c r="Y379" s="147">
        <f t="shared" si="135"/>
        <v>1119.67</v>
      </c>
      <c r="Z379" s="147">
        <f>Z35+Z65+Z89+Z145+Z166+Z205+Z223+Z253+Z292+Z316+Z352</f>
        <v>2477.5</v>
      </c>
      <c r="AA379" s="147">
        <f t="shared" si="135"/>
        <v>2659</v>
      </c>
      <c r="AB379" s="147">
        <f t="shared" si="135"/>
        <v>0</v>
      </c>
      <c r="AC379" s="147">
        <f t="shared" si="135"/>
        <v>0</v>
      </c>
      <c r="AD379" s="147">
        <f t="shared" si="135"/>
        <v>350</v>
      </c>
      <c r="AE379" s="147">
        <f t="shared" si="135"/>
        <v>350</v>
      </c>
      <c r="AF379" s="147"/>
      <c r="AG379" s="99">
        <f t="shared" si="128"/>
        <v>1.8189894035458565E-12</v>
      </c>
    </row>
    <row r="380" spans="1:33" x14ac:dyDescent="0.3">
      <c r="B380" s="151">
        <f t="shared" ref="B380:E384" si="136">B365-B370-B375</f>
        <v>0</v>
      </c>
      <c r="C380" s="151">
        <f>C365-C370-C375</f>
        <v>0</v>
      </c>
      <c r="D380" s="151">
        <f t="shared" si="136"/>
        <v>0</v>
      </c>
      <c r="E380" s="151">
        <f t="shared" si="136"/>
        <v>0</v>
      </c>
      <c r="F380" s="151"/>
      <c r="G380" s="151"/>
      <c r="H380" s="151">
        <f t="shared" ref="H380:AE384" si="137">H365-H370-H375</f>
        <v>0</v>
      </c>
      <c r="I380" s="151">
        <f t="shared" si="137"/>
        <v>0</v>
      </c>
      <c r="J380" s="151">
        <f t="shared" si="137"/>
        <v>0</v>
      </c>
      <c r="K380" s="151">
        <f t="shared" si="137"/>
        <v>0</v>
      </c>
      <c r="L380" s="151">
        <f t="shared" si="137"/>
        <v>0</v>
      </c>
      <c r="M380" s="151">
        <f t="shared" si="137"/>
        <v>0</v>
      </c>
      <c r="N380" s="151">
        <f t="shared" si="137"/>
        <v>0</v>
      </c>
      <c r="O380" s="151">
        <f t="shared" si="137"/>
        <v>0</v>
      </c>
      <c r="P380" s="151">
        <f t="shared" si="137"/>
        <v>0</v>
      </c>
      <c r="Q380" s="151">
        <f t="shared" si="137"/>
        <v>0</v>
      </c>
      <c r="R380" s="151">
        <f t="shared" si="137"/>
        <v>0</v>
      </c>
      <c r="S380" s="151">
        <f t="shared" si="137"/>
        <v>0</v>
      </c>
      <c r="T380" s="151">
        <f t="shared" si="137"/>
        <v>0</v>
      </c>
      <c r="U380" s="151">
        <f t="shared" si="137"/>
        <v>0</v>
      </c>
      <c r="V380" s="151">
        <f t="shared" si="137"/>
        <v>0</v>
      </c>
      <c r="W380" s="151">
        <f t="shared" si="137"/>
        <v>0</v>
      </c>
      <c r="X380" s="151">
        <f t="shared" si="137"/>
        <v>0</v>
      </c>
      <c r="Y380" s="151">
        <f t="shared" si="137"/>
        <v>0</v>
      </c>
      <c r="Z380" s="151">
        <f t="shared" si="137"/>
        <v>0</v>
      </c>
      <c r="AA380" s="151">
        <f t="shared" si="137"/>
        <v>0</v>
      </c>
      <c r="AB380" s="151">
        <f t="shared" si="137"/>
        <v>0</v>
      </c>
      <c r="AC380" s="151">
        <f t="shared" si="137"/>
        <v>0</v>
      </c>
      <c r="AD380" s="151">
        <f t="shared" si="137"/>
        <v>0</v>
      </c>
      <c r="AE380" s="151">
        <f t="shared" si="137"/>
        <v>0</v>
      </c>
      <c r="AG380" s="99">
        <f t="shared" si="128"/>
        <v>0</v>
      </c>
    </row>
    <row r="381" spans="1:33" x14ac:dyDescent="0.3">
      <c r="A381" s="152" t="s">
        <v>169</v>
      </c>
      <c r="B381" s="151">
        <f t="shared" si="136"/>
        <v>0</v>
      </c>
      <c r="C381" s="151">
        <f>C366-C371-C376</f>
        <v>0</v>
      </c>
      <c r="D381" s="151">
        <f t="shared" si="136"/>
        <v>0</v>
      </c>
      <c r="E381" s="151">
        <f t="shared" si="136"/>
        <v>0</v>
      </c>
      <c r="F381" s="151"/>
      <c r="G381" s="151"/>
      <c r="H381" s="151">
        <f t="shared" si="137"/>
        <v>0</v>
      </c>
      <c r="I381" s="151">
        <f t="shared" si="137"/>
        <v>0</v>
      </c>
      <c r="J381" s="151">
        <f t="shared" si="137"/>
        <v>0</v>
      </c>
      <c r="K381" s="151">
        <f t="shared" si="137"/>
        <v>0</v>
      </c>
      <c r="L381" s="151">
        <f t="shared" si="137"/>
        <v>0</v>
      </c>
      <c r="M381" s="151">
        <f t="shared" si="137"/>
        <v>0</v>
      </c>
      <c r="N381" s="151">
        <f t="shared" si="137"/>
        <v>0</v>
      </c>
      <c r="O381" s="151">
        <f t="shared" si="137"/>
        <v>0</v>
      </c>
      <c r="P381" s="151">
        <f t="shared" si="137"/>
        <v>0</v>
      </c>
      <c r="Q381" s="151">
        <f t="shared" si="137"/>
        <v>0</v>
      </c>
      <c r="R381" s="151">
        <f t="shared" si="137"/>
        <v>0</v>
      </c>
      <c r="S381" s="151">
        <f t="shared" si="137"/>
        <v>0</v>
      </c>
      <c r="T381" s="151">
        <f t="shared" si="137"/>
        <v>0</v>
      </c>
      <c r="U381" s="151">
        <f t="shared" si="137"/>
        <v>0</v>
      </c>
      <c r="V381" s="151">
        <f t="shared" si="137"/>
        <v>0</v>
      </c>
      <c r="W381" s="151">
        <f t="shared" si="137"/>
        <v>0</v>
      </c>
      <c r="X381" s="151">
        <f t="shared" si="137"/>
        <v>0</v>
      </c>
      <c r="Y381" s="151">
        <f t="shared" si="137"/>
        <v>0</v>
      </c>
      <c r="Z381" s="151">
        <f t="shared" si="137"/>
        <v>0</v>
      </c>
      <c r="AA381" s="151">
        <f t="shared" si="137"/>
        <v>0</v>
      </c>
      <c r="AB381" s="151">
        <f t="shared" si="137"/>
        <v>-3.4560798667371273E-11</v>
      </c>
      <c r="AC381" s="151">
        <f t="shared" si="137"/>
        <v>0</v>
      </c>
      <c r="AD381" s="151">
        <f t="shared" si="137"/>
        <v>0</v>
      </c>
      <c r="AE381" s="151">
        <f t="shared" si="137"/>
        <v>0</v>
      </c>
      <c r="AG381" s="99">
        <f t="shared" si="128"/>
        <v>3.4560798667371273E-11</v>
      </c>
    </row>
    <row r="382" spans="1:33" x14ac:dyDescent="0.3">
      <c r="A382" s="152" t="s">
        <v>32</v>
      </c>
      <c r="B382" s="151">
        <f t="shared" si="136"/>
        <v>0</v>
      </c>
      <c r="C382" s="151">
        <f t="shared" si="136"/>
        <v>0</v>
      </c>
      <c r="D382" s="151">
        <f t="shared" si="136"/>
        <v>0</v>
      </c>
      <c r="E382" s="151">
        <f t="shared" si="136"/>
        <v>0</v>
      </c>
      <c r="F382" s="151"/>
      <c r="G382" s="151"/>
      <c r="H382" s="151">
        <f t="shared" si="137"/>
        <v>0</v>
      </c>
      <c r="I382" s="151">
        <f t="shared" si="137"/>
        <v>0</v>
      </c>
      <c r="J382" s="151">
        <f t="shared" si="137"/>
        <v>0</v>
      </c>
      <c r="K382" s="151">
        <f t="shared" si="137"/>
        <v>0</v>
      </c>
      <c r="L382" s="151">
        <f t="shared" si="137"/>
        <v>0</v>
      </c>
      <c r="M382" s="151">
        <f t="shared" si="137"/>
        <v>0</v>
      </c>
      <c r="N382" s="151">
        <f t="shared" si="137"/>
        <v>0</v>
      </c>
      <c r="O382" s="151">
        <f t="shared" si="137"/>
        <v>0</v>
      </c>
      <c r="P382" s="151">
        <f t="shared" si="137"/>
        <v>0</v>
      </c>
      <c r="Q382" s="151">
        <f t="shared" si="137"/>
        <v>0</v>
      </c>
      <c r="R382" s="151">
        <f t="shared" si="137"/>
        <v>0</v>
      </c>
      <c r="S382" s="151">
        <f t="shared" si="137"/>
        <v>0</v>
      </c>
      <c r="T382" s="151">
        <f t="shared" si="137"/>
        <v>0</v>
      </c>
      <c r="U382" s="151">
        <f t="shared" si="137"/>
        <v>0</v>
      </c>
      <c r="V382" s="151">
        <f t="shared" si="137"/>
        <v>0</v>
      </c>
      <c r="W382" s="151">
        <f t="shared" si="137"/>
        <v>0</v>
      </c>
      <c r="X382" s="151">
        <f t="shared" si="137"/>
        <v>0</v>
      </c>
      <c r="Y382" s="151">
        <f t="shared" si="137"/>
        <v>0</v>
      </c>
      <c r="Z382" s="151">
        <f t="shared" si="137"/>
        <v>0</v>
      </c>
      <c r="AA382" s="151">
        <f t="shared" si="137"/>
        <v>0</v>
      </c>
      <c r="AB382" s="151">
        <f t="shared" si="137"/>
        <v>0</v>
      </c>
      <c r="AC382" s="151">
        <f t="shared" si="137"/>
        <v>0</v>
      </c>
      <c r="AD382" s="151">
        <f t="shared" si="137"/>
        <v>0</v>
      </c>
      <c r="AE382" s="151">
        <f t="shared" si="137"/>
        <v>0</v>
      </c>
      <c r="AG382" s="99">
        <f t="shared" si="128"/>
        <v>0</v>
      </c>
    </row>
    <row r="383" spans="1:33" x14ac:dyDescent="0.3">
      <c r="A383" s="152" t="s">
        <v>33</v>
      </c>
      <c r="B383" s="151">
        <f t="shared" si="136"/>
        <v>0</v>
      </c>
      <c r="C383" s="151">
        <f>C368-C373-C378</f>
        <v>0</v>
      </c>
      <c r="D383" s="151">
        <f t="shared" si="136"/>
        <v>0</v>
      </c>
      <c r="E383" s="151">
        <f t="shared" si="136"/>
        <v>0</v>
      </c>
      <c r="F383" s="151"/>
      <c r="G383" s="151"/>
      <c r="H383" s="151">
        <f t="shared" si="137"/>
        <v>0</v>
      </c>
      <c r="I383" s="151">
        <f t="shared" si="137"/>
        <v>0</v>
      </c>
      <c r="J383" s="151">
        <f t="shared" si="137"/>
        <v>0</v>
      </c>
      <c r="K383" s="151">
        <f t="shared" si="137"/>
        <v>0</v>
      </c>
      <c r="L383" s="151">
        <f t="shared" si="137"/>
        <v>0</v>
      </c>
      <c r="M383" s="151">
        <f t="shared" si="137"/>
        <v>0</v>
      </c>
      <c r="N383" s="151">
        <f t="shared" si="137"/>
        <v>0</v>
      </c>
      <c r="O383" s="151">
        <f t="shared" si="137"/>
        <v>0</v>
      </c>
      <c r="P383" s="151">
        <f t="shared" si="137"/>
        <v>0</v>
      </c>
      <c r="Q383" s="151">
        <f t="shared" si="137"/>
        <v>0</v>
      </c>
      <c r="R383" s="151">
        <f t="shared" si="137"/>
        <v>0</v>
      </c>
      <c r="S383" s="151">
        <f t="shared" si="137"/>
        <v>0</v>
      </c>
      <c r="T383" s="151">
        <f t="shared" si="137"/>
        <v>0</v>
      </c>
      <c r="U383" s="151">
        <f t="shared" si="137"/>
        <v>0</v>
      </c>
      <c r="V383" s="151">
        <f t="shared" si="137"/>
        <v>0</v>
      </c>
      <c r="W383" s="151">
        <f t="shared" si="137"/>
        <v>0</v>
      </c>
      <c r="X383" s="151">
        <f t="shared" si="137"/>
        <v>0</v>
      </c>
      <c r="Y383" s="151">
        <f t="shared" si="137"/>
        <v>0</v>
      </c>
      <c r="Z383" s="151">
        <f t="shared" si="137"/>
        <v>0</v>
      </c>
      <c r="AA383" s="151">
        <f t="shared" si="137"/>
        <v>0</v>
      </c>
      <c r="AB383" s="151">
        <f t="shared" si="137"/>
        <v>0</v>
      </c>
      <c r="AC383" s="151">
        <f t="shared" si="137"/>
        <v>0</v>
      </c>
      <c r="AD383" s="151">
        <f t="shared" si="137"/>
        <v>0</v>
      </c>
      <c r="AE383" s="151">
        <f t="shared" si="137"/>
        <v>0</v>
      </c>
      <c r="AG383" s="99">
        <f t="shared" si="128"/>
        <v>0</v>
      </c>
    </row>
    <row r="384" spans="1:33" x14ac:dyDescent="0.3">
      <c r="A384" s="152" t="s">
        <v>170</v>
      </c>
      <c r="B384" s="151">
        <f>B369-B374-B379</f>
        <v>0</v>
      </c>
      <c r="C384" s="151">
        <f>C369-C374-C379</f>
        <v>0</v>
      </c>
      <c r="D384" s="151">
        <f t="shared" si="136"/>
        <v>0</v>
      </c>
      <c r="E384" s="151">
        <f t="shared" si="136"/>
        <v>0</v>
      </c>
      <c r="F384" s="151"/>
      <c r="G384" s="151"/>
      <c r="H384" s="151">
        <f t="shared" si="137"/>
        <v>0</v>
      </c>
      <c r="I384" s="151">
        <f t="shared" si="137"/>
        <v>0</v>
      </c>
      <c r="J384" s="151">
        <f t="shared" si="137"/>
        <v>0</v>
      </c>
      <c r="K384" s="151">
        <f t="shared" si="137"/>
        <v>0</v>
      </c>
      <c r="L384" s="151">
        <f t="shared" si="137"/>
        <v>0</v>
      </c>
      <c r="M384" s="151">
        <f t="shared" si="137"/>
        <v>0</v>
      </c>
      <c r="N384" s="151">
        <f t="shared" si="137"/>
        <v>0</v>
      </c>
      <c r="O384" s="151">
        <f t="shared" si="137"/>
        <v>0</v>
      </c>
      <c r="P384" s="151">
        <f t="shared" si="137"/>
        <v>0</v>
      </c>
      <c r="Q384" s="151">
        <f t="shared" si="137"/>
        <v>0</v>
      </c>
      <c r="R384" s="151">
        <f t="shared" si="137"/>
        <v>0</v>
      </c>
      <c r="S384" s="151">
        <f t="shared" si="137"/>
        <v>0</v>
      </c>
      <c r="T384" s="151">
        <f t="shared" si="137"/>
        <v>0</v>
      </c>
      <c r="U384" s="151">
        <f t="shared" si="137"/>
        <v>0</v>
      </c>
      <c r="V384" s="151">
        <f t="shared" si="137"/>
        <v>0</v>
      </c>
      <c r="W384" s="151">
        <f t="shared" si="137"/>
        <v>0</v>
      </c>
      <c r="X384" s="151">
        <f t="shared" si="137"/>
        <v>0</v>
      </c>
      <c r="Y384" s="151">
        <f t="shared" si="137"/>
        <v>0</v>
      </c>
      <c r="Z384" s="151">
        <f t="shared" si="137"/>
        <v>0</v>
      </c>
      <c r="AA384" s="151">
        <f t="shared" si="137"/>
        <v>0</v>
      </c>
      <c r="AB384" s="151">
        <f t="shared" si="137"/>
        <v>0</v>
      </c>
      <c r="AC384" s="151">
        <f t="shared" si="137"/>
        <v>0</v>
      </c>
      <c r="AD384" s="151">
        <f t="shared" si="137"/>
        <v>0</v>
      </c>
      <c r="AE384" s="151">
        <f t="shared" si="137"/>
        <v>0</v>
      </c>
      <c r="AG384" s="99">
        <f t="shared" si="128"/>
        <v>0</v>
      </c>
    </row>
    <row r="386" spans="1:31" x14ac:dyDescent="0.3">
      <c r="B386" s="151">
        <f>B19+B25+B38+B44+B50+B68+B74+B98+B104+B110+B116+B130+B136+B148+B155+B169+B183+B195+B208+B214+B226+B232+B238+B244+B256+B262+B276+B282+B295+B301+B307+B319+B331+B337+B343+B355+B361-B366</f>
        <v>-152.50000000005821</v>
      </c>
      <c r="C386" s="151">
        <f>C19+C25+C38+C44+C50+C68+C74+C98+C104+C110+C116+C130+C136+C148+C155+C169+C183+C195+C208+C214+C226+C232+C238+C244+C256+C262+C276+C282+C295+C301+C307+C319+C331+C337+C343+C355+C361-C366</f>
        <v>-152.5</v>
      </c>
      <c r="D386" s="151">
        <f>D19+D25+D38+D44+D50+D68+D74+D98+D104+D110+D116+D130+D136+D148+D155+D169+D183+D195+D208+D214+D226+D232+D238+D244+D256+D262+D276+D282+D295+D301+D307+D319+D331+D337+D343+D355+D361-D366</f>
        <v>-148.79999999998836</v>
      </c>
      <c r="E386" s="151">
        <f>E19+E25+E38+E44+E50+E68+E74+E98+E104+E110+E116+E130+E136+E148+E155+E169+E183+E195+E208+E214+E226+E232+E238+E244+E256+E262+E276+E282+E295+E301+E307+E319+E331+E337+E343+E355+E361-E366</f>
        <v>-148.79999999998836</v>
      </c>
      <c r="F386" s="151">
        <f t="shared" ref="F386:AE386" si="138">F19+F25+F38+F44+F50+F68+F74+F98+F104+F110+F116+F130+F136+F148+F155+F169+F183+F195+F208+F214+F226+F232+F238+F244+F256+F262+F276+F282+F295+F301+F307+F319+F331+F337+F343+F355+F361-F366</f>
        <v>298.61201526564855</v>
      </c>
      <c r="G386" s="151">
        <f t="shared" si="138"/>
        <v>298.61201526564855</v>
      </c>
      <c r="H386" s="151">
        <f t="shared" si="138"/>
        <v>0</v>
      </c>
      <c r="I386" s="151">
        <f t="shared" si="138"/>
        <v>0</v>
      </c>
      <c r="J386" s="151">
        <f t="shared" si="138"/>
        <v>0</v>
      </c>
      <c r="K386" s="151">
        <f t="shared" si="138"/>
        <v>0</v>
      </c>
      <c r="L386" s="151">
        <f t="shared" si="138"/>
        <v>0</v>
      </c>
      <c r="M386" s="151">
        <f t="shared" si="138"/>
        <v>0</v>
      </c>
      <c r="N386" s="151">
        <f t="shared" si="138"/>
        <v>0</v>
      </c>
      <c r="O386" s="151">
        <f t="shared" si="138"/>
        <v>0</v>
      </c>
      <c r="P386" s="151">
        <f t="shared" si="138"/>
        <v>0</v>
      </c>
      <c r="Q386" s="151">
        <f t="shared" si="138"/>
        <v>0</v>
      </c>
      <c r="R386" s="151">
        <f t="shared" si="138"/>
        <v>0</v>
      </c>
      <c r="S386" s="151">
        <f t="shared" si="138"/>
        <v>0</v>
      </c>
      <c r="T386" s="151">
        <f t="shared" si="138"/>
        <v>0</v>
      </c>
      <c r="U386" s="151">
        <f t="shared" si="138"/>
        <v>0</v>
      </c>
      <c r="V386" s="151">
        <f t="shared" si="138"/>
        <v>0</v>
      </c>
      <c r="W386" s="151">
        <f t="shared" si="138"/>
        <v>0</v>
      </c>
      <c r="X386" s="151">
        <f>X19+X25+X38+X44+X50+X68+X74+X98+X104+X110+X116+X130+X136+X148+X155+X169+X183+X195+X208+X214+X226+X232+X238+X244+X256+X262+X276+X282+X295+X301+X307+X319+X331+X337+X343+X355+X361-X366</f>
        <v>-35.349999999998545</v>
      </c>
      <c r="Y386" s="151">
        <f>Y19+Y25+Y38+Y44+Y50+Y68+Y74+Y98+Y104+Y110+Y116+Y130+Y136+Y148+Y155+Y169+Y183+Y195+Y208+Y214+Y226+Y232+Y238+Y244+Y256+Y262+Y276+Y282+Y295+Y301+Y307+Y319+Y331+Y337+Y343+Y355+Y361-Y366</f>
        <v>-30</v>
      </c>
      <c r="Z386" s="151">
        <f t="shared" si="138"/>
        <v>-39.049999999999272</v>
      </c>
      <c r="AA386" s="151">
        <f t="shared" si="138"/>
        <v>-26.100000000000364</v>
      </c>
      <c r="AB386" s="151">
        <f t="shared" si="138"/>
        <v>-39.049999999988358</v>
      </c>
      <c r="AC386" s="151">
        <f t="shared" si="138"/>
        <v>-52</v>
      </c>
      <c r="AD386" s="151">
        <f>AD19+AD25+AD38+AD44+AD50+AD68+AD74+AD98+AD104+AD110+AD116+AD130+AD136+AD148+AD155+AD169+AD183+AD195+AD208+AD214+AD226+AD232+AD238+AD244+AD256+AD262+AD276+AD282+AD295+AD301+AD307+AD319+AD331+AD337+AD343+AD355+AD361-AD366</f>
        <v>-39.050000000000182</v>
      </c>
      <c r="AE386" s="151">
        <f t="shared" si="138"/>
        <v>-40.700000000011642</v>
      </c>
    </row>
    <row r="387" spans="1:31" x14ac:dyDescent="0.3">
      <c r="B387" s="151">
        <f t="shared" ref="B387:AE387" si="139">B20+B26+B39+B45+B51+B69+B75+B99+B105+B111+B117+B131+B137+B149+B156+B170+B184+B196+B209+B215+B227+B233+B239+B245+B257+B263+B277+B283+B296+B302+B308+B320+B332+B338+B344+B356+B362-B367</f>
        <v>0</v>
      </c>
      <c r="C387" s="151">
        <f t="shared" si="139"/>
        <v>0</v>
      </c>
      <c r="D387" s="151">
        <f t="shared" si="139"/>
        <v>0</v>
      </c>
      <c r="E387" s="151">
        <f t="shared" si="139"/>
        <v>0</v>
      </c>
      <c r="F387" s="151">
        <f t="shared" si="139"/>
        <v>964.89144572427483</v>
      </c>
      <c r="G387" s="151">
        <f t="shared" si="139"/>
        <v>964.89144572427483</v>
      </c>
      <c r="H387" s="151">
        <f t="shared" si="139"/>
        <v>0</v>
      </c>
      <c r="I387" s="151">
        <f t="shared" si="139"/>
        <v>0</v>
      </c>
      <c r="J387" s="151">
        <f t="shared" si="139"/>
        <v>0</v>
      </c>
      <c r="K387" s="151">
        <f t="shared" si="139"/>
        <v>0</v>
      </c>
      <c r="L387" s="151">
        <f t="shared" si="139"/>
        <v>0</v>
      </c>
      <c r="M387" s="151">
        <f t="shared" si="139"/>
        <v>0</v>
      </c>
      <c r="N387" s="151">
        <f t="shared" si="139"/>
        <v>0</v>
      </c>
      <c r="O387" s="151">
        <f t="shared" si="139"/>
        <v>0</v>
      </c>
      <c r="P387" s="151">
        <f t="shared" si="139"/>
        <v>0</v>
      </c>
      <c r="Q387" s="151">
        <f t="shared" si="139"/>
        <v>0</v>
      </c>
      <c r="R387" s="151">
        <f t="shared" si="139"/>
        <v>0</v>
      </c>
      <c r="S387" s="151">
        <f t="shared" si="139"/>
        <v>0</v>
      </c>
      <c r="T387" s="151">
        <f t="shared" si="139"/>
        <v>0</v>
      </c>
      <c r="U387" s="151">
        <f t="shared" si="139"/>
        <v>0</v>
      </c>
      <c r="V387" s="151">
        <f t="shared" si="139"/>
        <v>0</v>
      </c>
      <c r="W387" s="151">
        <f t="shared" si="139"/>
        <v>0</v>
      </c>
      <c r="X387" s="151">
        <f t="shared" si="139"/>
        <v>0</v>
      </c>
      <c r="Y387" s="151">
        <f t="shared" si="139"/>
        <v>0</v>
      </c>
      <c r="Z387" s="151">
        <f t="shared" si="139"/>
        <v>0</v>
      </c>
      <c r="AA387" s="151">
        <f t="shared" si="139"/>
        <v>0</v>
      </c>
      <c r="AB387" s="151">
        <f t="shared" si="139"/>
        <v>0</v>
      </c>
      <c r="AC387" s="151">
        <f t="shared" si="139"/>
        <v>0</v>
      </c>
      <c r="AD387" s="151">
        <f t="shared" si="139"/>
        <v>0</v>
      </c>
      <c r="AE387" s="151">
        <f t="shared" si="139"/>
        <v>0</v>
      </c>
    </row>
    <row r="388" spans="1:31" x14ac:dyDescent="0.3">
      <c r="B388" s="151">
        <f>B21+B27+B40+B46+B52+B70+B76+B100+B106+B112+B118+B132+B138+B150+B157+B171+B185+B197+B210+B216+B228+B234+B240+B246+B258+B264+B278+B284+B297+B303+B309+B321+B333+B339+B345+B357+B363+B55-B368</f>
        <v>-3098.4000000000233</v>
      </c>
      <c r="C388" s="151">
        <f>C21+C27+C40+C46+C52+C70+C76+C100+C106+C112+C118+C132+C138+C150+C157+C171+C185+C197+C210+C216+C228+C234+C240+C246+C258+C264+C278+C284+C297+C303+C309+C321+C333+C339+C345+C357+C363-C368</f>
        <v>-4098.3999999999069</v>
      </c>
      <c r="D388" s="151">
        <f t="shared" ref="D388:S388" si="140">D21+D27+D40+D46+D52+D70+D76+D100+D106+D112+D118+D132+D138+D150+D157+D171+D185+D197+D210+D216+D228+D234+D240+D246+D258+D264+D278+D284+D297+D303+D309+D321+D333+D339+D345+D357+D363-D368</f>
        <v>-3659.9999999998836</v>
      </c>
      <c r="E388" s="151">
        <f t="shared" si="140"/>
        <v>-3659.9999999998836</v>
      </c>
      <c r="F388" s="151">
        <f t="shared" si="140"/>
        <v>2311.2586944389632</v>
      </c>
      <c r="G388" s="151">
        <f t="shared" si="140"/>
        <v>2311.2586944389632</v>
      </c>
      <c r="H388" s="151">
        <f t="shared" si="140"/>
        <v>0</v>
      </c>
      <c r="I388" s="151">
        <f t="shared" si="140"/>
        <v>0</v>
      </c>
      <c r="J388" s="151">
        <f t="shared" si="140"/>
        <v>0</v>
      </c>
      <c r="K388" s="151">
        <f t="shared" si="140"/>
        <v>0</v>
      </c>
      <c r="L388" s="151">
        <f t="shared" si="140"/>
        <v>0</v>
      </c>
      <c r="M388" s="151">
        <f t="shared" si="140"/>
        <v>0</v>
      </c>
      <c r="N388" s="151">
        <f t="shared" si="140"/>
        <v>0</v>
      </c>
      <c r="O388" s="151">
        <f t="shared" si="140"/>
        <v>0</v>
      </c>
      <c r="P388" s="151">
        <f t="shared" si="140"/>
        <v>0</v>
      </c>
      <c r="Q388" s="151">
        <f t="shared" si="140"/>
        <v>0</v>
      </c>
      <c r="R388" s="151">
        <f t="shared" si="140"/>
        <v>0</v>
      </c>
      <c r="S388" s="151">
        <f t="shared" si="140"/>
        <v>0</v>
      </c>
      <c r="T388" s="151">
        <f>T21+T27+T40+T46+T52+T70+T76+T100+T106+T112+T118+T132+T138+T150+T157+T171+T185+T197+T210+T216+T228+T234+T240+T246+T258+T264+T278+T284+T297+T303+T309+T321+T333+T339+T345+T357+T363+T58-T368</f>
        <v>0</v>
      </c>
      <c r="U388" s="151">
        <f t="shared" ref="U388:AE388" si="141">U21+U27+U40+U46+U52+U70+U76+U100+U106+U112+U118+U132+U138+U150+U157+U171+U185+U197+U210+U216+U228+U234+U240+U246+U258+U264+U278+U284+U297+U303+U309+U321+U333+U339+U345+U357+U363-U368</f>
        <v>0</v>
      </c>
      <c r="V388" s="151">
        <f t="shared" si="141"/>
        <v>-3098.3999999999942</v>
      </c>
      <c r="W388" s="151">
        <f t="shared" si="141"/>
        <v>-3098.3999999999942</v>
      </c>
      <c r="X388" s="151">
        <f t="shared" si="141"/>
        <v>0</v>
      </c>
      <c r="Y388" s="151">
        <f t="shared" si="141"/>
        <v>0</v>
      </c>
      <c r="Z388" s="151">
        <f t="shared" si="141"/>
        <v>0</v>
      </c>
      <c r="AA388" s="151">
        <f t="shared" si="141"/>
        <v>-561.60000000000582</v>
      </c>
      <c r="AB388" s="151">
        <f t="shared" si="141"/>
        <v>0</v>
      </c>
      <c r="AC388" s="151">
        <f t="shared" si="141"/>
        <v>0</v>
      </c>
      <c r="AD388" s="151">
        <f t="shared" si="141"/>
        <v>0</v>
      </c>
      <c r="AE388" s="151">
        <f t="shared" si="141"/>
        <v>0</v>
      </c>
    </row>
    <row r="389" spans="1:31" x14ac:dyDescent="0.3">
      <c r="B389" s="151">
        <f>B22+B28+B41+B47+B53+B71+B77+B101+B107+B113+B119+B133+B139+B152+B158+B172+B186+B198+B211+B217+B229+B235+B241+B247+B259+B265+B279+B285+B298+B304+B310+B322+B334+B340+B346+B358+B364-B369</f>
        <v>0</v>
      </c>
      <c r="C389" s="151">
        <f>C22+C28+C41+C47+C53+C71+C77+C101+C107+C113+C119+C133+C139+C152+C158+C172+C186+C198+C211+C217+C229+C235+C241+C247+C259+C265+C279+C285+C298+C304+C310+C322+C334+C340+C346+C358+C364-C369</f>
        <v>-350</v>
      </c>
      <c r="D389" s="151">
        <f>D22+D28+D41+D47+D53+D71+D77+D101+D107+D113+D119+D133+D139+D152+D158+D172+D186+D198+D211+D217+D229+D235+D241+D247+D259+D265+D279+D285+D298+D304+D310+D322+D334+D340+D346+D358+D364-D369</f>
        <v>0</v>
      </c>
      <c r="E389" s="151">
        <f>E22+E28+E41+E47+E53+E71+E77+E101+E107+E113+E119+E133+E139+E152+E158+E172+E186+E198+E211+E217+E229+E235+E241+E247+E259+E265+E279+E285+E298+E304+E310+E322+E334+E340+E346+E358+E364-E369</f>
        <v>0</v>
      </c>
      <c r="F389" s="151">
        <f>F22+F28+F41+F47+F53+F71+F77+F101+F107+F113+F119+F133+F139+F152+F158+F172+F186+F198+F211+F217+F229+F235+F241+F247+F259+F265+F279+F285+F298+F304+F310+F322+F334+F340+F346+F358+F364-F369</f>
        <v>294.18439482160124</v>
      </c>
      <c r="G389" s="151">
        <f>G22+G28+G41+G47+G53+G71+G77+G101+G107+G113+G119+G133+G139+G152+G158+G172+G186+G198+G211+G217+G229+G235+G241+G247+G259+G265+G279+G285+G298+G304+G310+G322+G334+G340+G346+G358+G364+G95-G369</f>
        <v>400.4795456669051</v>
      </c>
      <c r="H389" s="151">
        <f t="shared" ref="H389:AE389" si="142">H22+H28+H41+H47+H53+H71+H77+H101+H107+H113+H119+H133+H139+H152+H158+H172+H186+H198+H211+H217+H229+H235+H241+H247+H259+H265+H279+H285+H298+H304+H310+H322+H334+H340+H346+H358+H364-H369</f>
        <v>0</v>
      </c>
      <c r="I389" s="151">
        <f t="shared" si="142"/>
        <v>0</v>
      </c>
      <c r="J389" s="151">
        <f t="shared" si="142"/>
        <v>0</v>
      </c>
      <c r="K389" s="151">
        <f t="shared" si="142"/>
        <v>0</v>
      </c>
      <c r="L389" s="151">
        <f t="shared" si="142"/>
        <v>0</v>
      </c>
      <c r="M389" s="151">
        <f t="shared" si="142"/>
        <v>0</v>
      </c>
      <c r="N389" s="151">
        <f t="shared" si="142"/>
        <v>0</v>
      </c>
      <c r="O389" s="151">
        <f t="shared" si="142"/>
        <v>0</v>
      </c>
      <c r="P389" s="151">
        <f t="shared" si="142"/>
        <v>0</v>
      </c>
      <c r="Q389" s="151">
        <f t="shared" si="142"/>
        <v>0</v>
      </c>
      <c r="R389" s="151">
        <f t="shared" si="142"/>
        <v>0</v>
      </c>
      <c r="S389" s="151">
        <f t="shared" si="142"/>
        <v>0</v>
      </c>
      <c r="T389" s="151">
        <f t="shared" si="142"/>
        <v>0</v>
      </c>
      <c r="U389" s="151">
        <f t="shared" si="142"/>
        <v>0</v>
      </c>
      <c r="V389" s="151">
        <f t="shared" si="142"/>
        <v>0</v>
      </c>
      <c r="W389" s="151">
        <f t="shared" si="142"/>
        <v>0</v>
      </c>
      <c r="X389" s="151">
        <f t="shared" si="142"/>
        <v>0</v>
      </c>
      <c r="Y389" s="151">
        <f t="shared" si="142"/>
        <v>0</v>
      </c>
      <c r="Z389" s="151">
        <f t="shared" si="142"/>
        <v>0</v>
      </c>
      <c r="AA389" s="151">
        <f t="shared" si="142"/>
        <v>0</v>
      </c>
      <c r="AB389" s="151">
        <f t="shared" si="142"/>
        <v>0</v>
      </c>
      <c r="AC389" s="151">
        <f t="shared" si="142"/>
        <v>0</v>
      </c>
      <c r="AD389" s="151">
        <f t="shared" si="142"/>
        <v>0</v>
      </c>
      <c r="AE389" s="151">
        <f t="shared" si="142"/>
        <v>0</v>
      </c>
    </row>
    <row r="390" spans="1:31" x14ac:dyDescent="0.3">
      <c r="B390" s="151"/>
      <c r="C390" s="151"/>
      <c r="D390" s="151"/>
      <c r="E390" s="151"/>
      <c r="F390" s="151"/>
      <c r="G390" s="151"/>
      <c r="H390" s="151"/>
      <c r="I390" s="151"/>
      <c r="J390" s="151"/>
      <c r="K390" s="151"/>
      <c r="L390" s="151"/>
      <c r="M390" s="151"/>
      <c r="N390" s="151"/>
      <c r="O390" s="151"/>
      <c r="P390" s="151"/>
      <c r="Q390" s="151"/>
      <c r="R390" s="151"/>
      <c r="S390" s="151"/>
      <c r="T390" s="151"/>
      <c r="U390" s="151"/>
      <c r="V390" s="151"/>
      <c r="W390" s="151"/>
      <c r="X390" s="151"/>
      <c r="Y390" s="151"/>
      <c r="Z390" s="151"/>
      <c r="AA390" s="151"/>
      <c r="AB390" s="151"/>
      <c r="AC390" s="151"/>
      <c r="AD390" s="151"/>
      <c r="AE390" s="151"/>
    </row>
    <row r="391" spans="1:31" x14ac:dyDescent="0.3">
      <c r="A391" s="650"/>
      <c r="B391" s="151"/>
      <c r="C391" s="151"/>
      <c r="D391" s="151"/>
      <c r="E391" s="151"/>
      <c r="F391" s="151"/>
      <c r="G391" s="151"/>
      <c r="H391" s="151"/>
      <c r="I391" s="151"/>
      <c r="J391" s="151"/>
      <c r="K391" s="151"/>
      <c r="L391" s="151"/>
      <c r="M391" s="151"/>
      <c r="N391" s="151"/>
      <c r="O391" s="151"/>
      <c r="P391" s="151"/>
      <c r="Q391" s="151"/>
      <c r="R391" s="151"/>
      <c r="S391" s="151"/>
      <c r="T391" s="151"/>
      <c r="U391" s="151"/>
      <c r="V391" s="151"/>
      <c r="W391" s="151"/>
      <c r="X391" s="151"/>
      <c r="Y391" s="151"/>
      <c r="Z391" s="151"/>
      <c r="AA391" s="151"/>
      <c r="AB391" s="151"/>
      <c r="AC391" s="151"/>
      <c r="AD391" s="151"/>
      <c r="AE391" s="151"/>
    </row>
    <row r="392" spans="1:31" ht="37.5" x14ac:dyDescent="0.3">
      <c r="A392" s="614" t="s">
        <v>71</v>
      </c>
      <c r="B392" s="651"/>
      <c r="C392" s="651"/>
      <c r="D392" s="656" t="s">
        <v>499</v>
      </c>
      <c r="E392" s="655"/>
      <c r="F392" s="151"/>
      <c r="G392" s="151"/>
      <c r="H392" s="151"/>
      <c r="I392" s="151"/>
      <c r="J392" s="151"/>
      <c r="K392" s="151"/>
      <c r="L392" s="151"/>
      <c r="M392" s="151"/>
      <c r="N392" s="151"/>
      <c r="O392" s="151"/>
      <c r="P392" s="151"/>
      <c r="Q392" s="151"/>
      <c r="R392" s="151"/>
      <c r="S392" s="151"/>
      <c r="T392" s="151"/>
      <c r="U392" s="151"/>
      <c r="V392" s="151"/>
      <c r="W392" s="151"/>
      <c r="X392" s="151"/>
      <c r="Y392" s="151"/>
      <c r="Z392" s="151"/>
      <c r="AA392" s="151"/>
      <c r="AB392" s="151"/>
      <c r="AC392" s="151"/>
      <c r="AD392" s="151"/>
      <c r="AE392" s="151"/>
    </row>
    <row r="393" spans="1:31" x14ac:dyDescent="0.3">
      <c r="A393" s="614"/>
      <c r="B393" s="652" t="s">
        <v>68</v>
      </c>
      <c r="C393" s="652"/>
      <c r="D393" s="653"/>
      <c r="E393" s="151"/>
      <c r="F393" s="151"/>
      <c r="G393" s="151"/>
      <c r="H393" s="151"/>
      <c r="I393" s="151"/>
      <c r="J393" s="151"/>
      <c r="K393" s="151"/>
      <c r="L393" s="151"/>
      <c r="M393" s="151"/>
      <c r="N393" s="151"/>
      <c r="O393" s="151"/>
      <c r="P393" s="151"/>
      <c r="Q393" s="151"/>
      <c r="R393" s="151"/>
      <c r="S393" s="151"/>
      <c r="T393" s="151"/>
      <c r="U393" s="151"/>
      <c r="V393" s="151"/>
      <c r="W393" s="151"/>
      <c r="X393" s="151"/>
      <c r="Y393" s="151"/>
      <c r="Z393" s="151"/>
      <c r="AA393" s="151"/>
      <c r="AB393" s="151"/>
      <c r="AC393" s="151"/>
      <c r="AD393" s="151"/>
      <c r="AE393" s="151"/>
    </row>
    <row r="394" spans="1:31" ht="37.5" x14ac:dyDescent="0.3">
      <c r="A394" s="613" t="s">
        <v>494</v>
      </c>
      <c r="B394" s="613"/>
      <c r="C394" s="613"/>
      <c r="D394" s="614"/>
    </row>
  </sheetData>
  <autoFilter ref="A7:AP125"/>
  <customSheetViews>
    <customSheetView guid="{7C130984-112A-4861-AA43-E2940708E3DC}" scale="55" showAutoFilter="1" state="hidden">
      <pane xSplit="2" ySplit="11" topLeftCell="C53" activePane="bottomRight" state="frozen"/>
      <selection pane="bottomRight" activeCell="B64" sqref="B64"/>
      <pageMargins left="0.7" right="0.7" top="0.75" bottom="0.75" header="0.3" footer="0.3"/>
      <pageSetup paperSize="9" orientation="portrait" r:id="rId1"/>
      <autoFilter ref="A7:AP125"/>
    </customSheetView>
    <customSheetView guid="{533DC55B-6AD4-4674-9488-685EF2039F3E}" scale="55" showAutoFilter="1" state="hidden">
      <pane xSplit="2" ySplit="11" topLeftCell="C53" activePane="bottomRight" state="frozen"/>
      <selection pane="bottomRight" activeCell="B64" sqref="B64"/>
      <pageMargins left="0.7" right="0.7" top="0.75" bottom="0.75" header="0.3" footer="0.3"/>
      <pageSetup paperSize="9" orientation="portrait" r:id="rId2"/>
      <autoFilter ref="A7:AP125"/>
    </customSheetView>
    <customSheetView guid="{09C3E205-981E-4A4E-BE89-8B7044192060}" scale="55" showAutoFilter="1">
      <pane xSplit="2" ySplit="11" topLeftCell="C62" activePane="bottomRight" state="frozen"/>
      <selection pane="bottomRight" activeCell="B64" sqref="B64"/>
      <pageMargins left="0.7" right="0.7" top="0.75" bottom="0.75" header="0.3" footer="0.3"/>
      <pageSetup paperSize="9" orientation="portrait" r:id="rId3"/>
      <autoFilter ref="A7:AP125"/>
    </customSheetView>
    <customSheetView guid="{B1BF08D1-D416-4B47-ADD0-4F59132DC9E8}" scale="55" showAutoFilter="1">
      <pane xSplit="2" ySplit="11" topLeftCell="C355" activePane="bottomRight" state="frozen"/>
      <selection pane="bottomRight" activeCell="C377" sqref="C377"/>
      <pageMargins left="0.7" right="0.7" top="0.75" bottom="0.75" header="0.3" footer="0.3"/>
      <pageSetup paperSize="9" orientation="portrait" r:id="rId4"/>
      <autoFilter ref="A7:AP119"/>
    </customSheetView>
    <customSheetView guid="{4F41B9CC-959D-442C-80B0-1F0DB2C76D27}" scale="55" showAutoFilter="1">
      <pane xSplit="2" ySplit="11" topLeftCell="C319" activePane="bottomRight" state="frozen"/>
      <selection pane="bottomRight" activeCell="C339" sqref="C339"/>
      <pageMargins left="0.7" right="0.7" top="0.75" bottom="0.75" header="0.3" footer="0.3"/>
      <pageSetup paperSize="9" orientation="portrait" r:id="rId5"/>
      <autoFilter ref="A4:A388"/>
    </customSheetView>
    <customSheetView guid="{84867370-1F3E-4368-AF79-FBCE46FFFE92}" scale="55" showAutoFilter="1">
      <pane xSplit="2" ySplit="11" topLeftCell="C319" activePane="bottomRight" state="frozen"/>
      <selection pane="bottomRight" activeCell="C339" sqref="C339"/>
      <pageMargins left="0.7" right="0.7" top="0.75" bottom="0.75" header="0.3" footer="0.3"/>
      <pageSetup paperSize="9" orientation="portrait" r:id="rId6"/>
      <autoFilter ref="A4:A388"/>
    </customSheetView>
    <customSheetView guid="{E508E171-4ED9-4B07-84DF-DA28C60E1969}" scale="55" showAutoFilter="1">
      <pane xSplit="2" ySplit="11" topLeftCell="C319" activePane="bottomRight" state="frozen"/>
      <selection pane="bottomRight" activeCell="C339" sqref="C339"/>
      <pageMargins left="0.7" right="0.7" top="0.75" bottom="0.75" header="0.3" footer="0.3"/>
      <pageSetup paperSize="9" orientation="portrait" r:id="rId7"/>
      <autoFilter ref="A4:A388"/>
    </customSheetView>
    <customSheetView guid="{602C8EDB-B9EF-4C85-B0D5-0558C3A0ABAB}" scale="55" showAutoFilter="1">
      <pane xSplit="2" ySplit="11" topLeftCell="C319" activePane="bottomRight" state="frozen"/>
      <selection pane="bottomRight" activeCell="C339" sqref="C339"/>
      <pageMargins left="0.7" right="0.7" top="0.75" bottom="0.75" header="0.3" footer="0.3"/>
      <pageSetup paperSize="9" orientation="portrait" r:id="rId8"/>
      <autoFilter ref="A4:A388"/>
    </customSheetView>
    <customSheetView guid="{84B3377A-1CDD-4881-99FA-112F8B470D6F}" scale="55" showAutoFilter="1">
      <pane xSplit="2" ySplit="11" topLeftCell="C319" activePane="bottomRight" state="frozen"/>
      <selection pane="bottomRight" activeCell="C339" sqref="C339"/>
      <pageMargins left="0.7" right="0.7" top="0.75" bottom="0.75" header="0.3" footer="0.3"/>
      <pageSetup paperSize="9" orientation="portrait" r:id="rId9"/>
      <autoFilter ref="A4:A388"/>
    </customSheetView>
    <customSheetView guid="{87218168-6C8E-4D5B-A5E5-DCCC26803AA3}" scale="55" showAutoFilter="1">
      <pane xSplit="2" ySplit="11" topLeftCell="C319" activePane="bottomRight" state="frozen"/>
      <selection pane="bottomRight" activeCell="C339" sqref="C339"/>
      <pageMargins left="0.7" right="0.7" top="0.75" bottom="0.75" header="0.3" footer="0.3"/>
      <pageSetup paperSize="9" orientation="portrait" r:id="rId10"/>
      <autoFilter ref="A4:A388"/>
    </customSheetView>
    <customSheetView guid="{6A602CB8-B24C-4ED4-B378-B27354BE0A1A}" scale="55" showAutoFilter="1">
      <pane xSplit="2" ySplit="11" topLeftCell="C155" activePane="bottomRight" state="frozen"/>
      <selection pane="bottomRight" activeCell="D108" sqref="D108"/>
      <pageMargins left="0.7" right="0.7" top="0.75" bottom="0.75" header="0.3" footer="0.3"/>
      <pageSetup paperSize="9" orientation="portrait" r:id="rId11"/>
      <autoFilter ref="A4:A388"/>
    </customSheetView>
    <customSheetView guid="{D01FA037-9AEC-4167-ADB8-2F327C01ECE6}" scale="55">
      <pane xSplit="2" ySplit="11" topLeftCell="C115" activePane="bottomRight" state="frozen"/>
      <selection pane="bottomRight" activeCell="A122" sqref="A122"/>
      <pageMargins left="0.7" right="0.7" top="0.75" bottom="0.75" header="0.3" footer="0.3"/>
      <pageSetup paperSize="9" orientation="portrait" r:id="rId12"/>
    </customSheetView>
    <customSheetView guid="{74870EE6-26B9-40F7-9DC9-260EF16D8959}" scale="55">
      <pane xSplit="2" ySplit="11" topLeftCell="C84" activePane="bottomRight" state="frozen"/>
      <selection pane="bottomRight" activeCell="A92" sqref="A92"/>
      <pageMargins left="0.7" right="0.7" top="0.75" bottom="0.75" header="0.3" footer="0.3"/>
      <pageSetup paperSize="9" orientation="portrait" r:id="rId13"/>
    </customSheetView>
    <customSheetView guid="{7226EA2B-7866-416F-9240-410CC1BF0336}" scale="55">
      <pane xSplit="2" ySplit="11" topLeftCell="C103" activePane="bottomRight" state="frozen"/>
      <selection pane="bottomRight" activeCell="A115" sqref="A115:XFD115"/>
      <pageMargins left="0.7" right="0.7" top="0.75" bottom="0.75" header="0.3" footer="0.3"/>
      <pageSetup paperSize="9" orientation="portrait" r:id="rId14"/>
    </customSheetView>
    <customSheetView guid="{F8CAB90F-9980-4EC7-B30B-1637EB515304}" scale="55">
      <pane xSplit="2" ySplit="11" topLeftCell="C103" activePane="bottomRight" state="frozen"/>
      <selection pane="bottomRight" activeCell="A102" sqref="A102"/>
      <pageMargins left="0.7" right="0.7" top="0.75" bottom="0.75" header="0.3" footer="0.3"/>
      <pageSetup paperSize="9" orientation="portrait" r:id="rId15"/>
    </customSheetView>
    <customSheetView guid="{415078CD-EB99-432D-90BA-2F3D5A746E20}" scale="55">
      <pane xSplit="2" ySplit="11" topLeftCell="C312" activePane="bottomRight" state="frozen"/>
      <selection pane="bottomRight" activeCell="C331" sqref="C331"/>
      <pageMargins left="0.7" right="0.7" top="0.75" bottom="0.75" header="0.3" footer="0.3"/>
      <pageSetup paperSize="9" orientation="portrait" r:id="rId16"/>
    </customSheetView>
    <customSheetView guid="{CB4792DB-A624-4844-AEB6-A6ADA80946BB}" scale="55">
      <pane xSplit="2" ySplit="11" topLeftCell="AC312" activePane="bottomRight" state="frozen"/>
      <selection pane="bottomRight" activeCell="AF330" sqref="AF330"/>
      <pageMargins left="0.7" right="0.7" top="0.75" bottom="0.75" header="0.3" footer="0.3"/>
      <pageSetup paperSize="9" orientation="portrait" r:id="rId17"/>
    </customSheetView>
    <customSheetView guid="{0C2B9C2A-7B94-41EF-A2E6-F8AC9A67DE25}" scale="55">
      <pane xSplit="2" ySplit="11" topLeftCell="AC312" activePane="bottomRight" state="frozen"/>
      <selection pane="bottomRight" activeCell="AF330" sqref="AF330"/>
      <pageMargins left="0.7" right="0.7" top="0.75" bottom="0.75" header="0.3" footer="0.3"/>
      <pageSetup paperSize="9" orientation="portrait" r:id="rId18"/>
    </customSheetView>
    <customSheetView guid="{391AB76E-B386-49C1-800F-016A48AA1A46}" scale="55">
      <pane xSplit="2" ySplit="11" topLeftCell="C354" activePane="bottomRight" state="frozen"/>
      <selection pane="bottomRight" activeCell="C374" sqref="C374"/>
      <pageMargins left="0.7" right="0.7" top="0.75" bottom="0.75" header="0.3" footer="0.3"/>
      <pageSetup paperSize="9" orientation="portrait" r:id="rId19"/>
    </customSheetView>
    <customSheetView guid="{959E901C-5DDE-42EE-AE94-AB8976B5E00B}" scale="55">
      <pane xSplit="2" ySplit="11" topLeftCell="C45" activePane="bottomRight" state="frozen"/>
      <selection pane="bottomRight" activeCell="AH54" sqref="AH54"/>
      <pageMargins left="0.7" right="0.7" top="0.75" bottom="0.75" header="0.3" footer="0.3"/>
      <pageSetup paperSize="9" orientation="portrait" r:id="rId20"/>
    </customSheetView>
    <customSheetView guid="{F679EF4A-C5FD-4B86-B87B-D85968E0F2CA}" scale="55">
      <pane xSplit="2" ySplit="11" topLeftCell="C127" activePane="bottomRight" state="frozen"/>
      <selection pane="bottomRight" activeCell="R138" sqref="R138"/>
      <pageMargins left="0.7" right="0.7" top="0.75" bottom="0.75" header="0.3" footer="0.3"/>
      <pageSetup paperSize="9" orientation="portrait" r:id="rId21"/>
    </customSheetView>
    <customSheetView guid="{009B3074-D8EC-4952-BF50-43CD64449612}" scale="55">
      <pane xSplit="2" ySplit="11" topLeftCell="C363" activePane="bottomRight" state="frozen"/>
      <selection pane="bottomRight" activeCell="P333" sqref="P333"/>
      <pageMargins left="0.7" right="0.7" top="0.75" bottom="0.75" header="0.3" footer="0.3"/>
      <pageSetup paperSize="9" orientation="portrait" r:id="rId22"/>
    </customSheetView>
    <customSheetView guid="{770624BF-07F3-44B6-94C3-4CC447CDD45C}" scale="70">
      <pane xSplit="2" ySplit="11" topLeftCell="C35" activePane="bottomRight" state="frozen"/>
      <selection pane="bottomRight" activeCell="G42" sqref="G42"/>
      <pageMargins left="0.7" right="0.7" top="0.75" bottom="0.75" header="0.3" footer="0.3"/>
      <pageSetup paperSize="9" orientation="portrait" r:id="rId23"/>
    </customSheetView>
    <customSheetView guid="{B82BA08A-1A30-4F4D-A478-74A6BD09EA97}" scale="70">
      <pane xSplit="2" ySplit="11" topLeftCell="C102" activePane="bottomRight" state="frozen"/>
      <selection pane="bottomRight" activeCell="K106" sqref="K106"/>
      <pageMargins left="0.7" right="0.7" top="0.75" bottom="0.75" header="0.3" footer="0.3"/>
      <pageSetup paperSize="9" orientation="portrait" r:id="rId24"/>
    </customSheetView>
    <customSheetView guid="{874882D1-E741-4CCA-BF0D-E72FA60B771D}" scale="70">
      <pane xSplit="2" ySplit="11" topLeftCell="H349" activePane="bottomRight" state="frozen"/>
      <selection pane="bottomRight" activeCell="J313" sqref="J313"/>
      <pageMargins left="0.7" right="0.7" top="0.75" bottom="0.75" header="0.3" footer="0.3"/>
      <pageSetup paperSize="9" orientation="portrait" r:id="rId25"/>
    </customSheetView>
    <customSheetView guid="{C236B307-BD63-48C4-A75F-B3F3717BF55C}" scale="70">
      <pane xSplit="2" ySplit="11" topLeftCell="C360" activePane="bottomRight" state="frozen"/>
      <selection pane="bottomRight" activeCell="A4" sqref="A4:AF4"/>
      <pageMargins left="0.7" right="0.7" top="0.75" bottom="0.75" header="0.3" footer="0.3"/>
    </customSheetView>
    <customSheetView guid="{BCD82A82-B724-4763-8580-D765356E09BA}" scale="70">
      <pane xSplit="2" ySplit="11" topLeftCell="C12" activePane="bottomRight" state="frozen"/>
      <selection pane="bottomRight" activeCell="A4" sqref="A4:AF4"/>
      <pageMargins left="0.7" right="0.7" top="0.75" bottom="0.75" header="0.3" footer="0.3"/>
    </customSheetView>
    <customSheetView guid="{85F4575B-DBC5-482A-9916-255D8F0BC94E}" scale="55">
      <pane xSplit="2" ySplit="11" topLeftCell="C45" activePane="bottomRight" state="frozen"/>
      <selection pane="bottomRight" activeCell="AH54" sqref="AH54"/>
      <pageMargins left="0.7" right="0.7" top="0.75" bottom="0.75" header="0.3" footer="0.3"/>
      <pageSetup paperSize="9" orientation="portrait" r:id="rId26"/>
    </customSheetView>
    <customSheetView guid="{4D0DFB57-2CBA-42F2-9A97-C453A6851FBA}" scale="55">
      <pane xSplit="2" ySplit="11" topLeftCell="C12" activePane="bottomRight" state="frozen"/>
      <selection pane="bottomRight" activeCell="A18" sqref="A18:XFD21"/>
      <pageMargins left="0.7" right="0.7" top="0.75" bottom="0.75" header="0.3" footer="0.3"/>
      <pageSetup paperSize="9" orientation="portrait" r:id="rId27"/>
    </customSheetView>
    <customSheetView guid="{CE1CCA00-200D-4EAA-9FBE-F8EE7C5F82FE}" scale="55">
      <pane xSplit="2" ySplit="11" topLeftCell="C12" activePane="bottomRight" state="frozen"/>
      <selection pane="bottomRight" activeCell="A18" sqref="A18:XFD21"/>
      <pageMargins left="0.7" right="0.7" top="0.75" bottom="0.75" header="0.3" footer="0.3"/>
      <pageSetup paperSize="9" orientation="portrait" r:id="rId28"/>
    </customSheetView>
    <customSheetView guid="{AC2D5927-4079-4C74-AF69-1BFAC505648F}" scale="55">
      <pane xSplit="2" ySplit="11" topLeftCell="C354" activePane="bottomRight" state="frozen"/>
      <selection pane="bottomRight" activeCell="C374" sqref="C374"/>
      <pageMargins left="0.7" right="0.7" top="0.75" bottom="0.75" header="0.3" footer="0.3"/>
      <pageSetup paperSize="9" orientation="portrait" r:id="rId29"/>
    </customSheetView>
    <customSheetView guid="{3C3F523F-5F34-4CF7-831E-F1ABC4278CEB}" scale="55">
      <pane xSplit="2" ySplit="11" topLeftCell="C372" activePane="bottomRight" state="frozen"/>
      <selection pane="bottomRight" activeCell="AF330" sqref="AF330"/>
      <pageMargins left="0.7" right="0.7" top="0.75" bottom="0.75" header="0.3" footer="0.3"/>
      <pageSetup paperSize="9" orientation="portrait" r:id="rId30"/>
    </customSheetView>
    <customSheetView guid="{69DABE6F-6182-4403-A4A2-969F10F1C13A}" scale="55" showAutoFilter="1">
      <pane xSplit="2" ySplit="11" topLeftCell="C155" activePane="bottomRight" state="frozen"/>
      <selection pane="bottomRight" activeCell="D108" sqref="D108"/>
      <pageMargins left="0.7" right="0.7" top="0.75" bottom="0.75" header="0.3" footer="0.3"/>
      <pageSetup paperSize="9" orientation="portrait" r:id="rId31"/>
      <autoFilter ref="A4:A388"/>
    </customSheetView>
    <customSheetView guid="{DAA8A688-7558-4B5B-8DBD-E2629BD9E9A8}" scale="55" showAutoFilter="1">
      <pane xSplit="2" ySplit="11" topLeftCell="C319" activePane="bottomRight" state="frozen"/>
      <selection pane="bottomRight" activeCell="C339" sqref="C339"/>
      <pageMargins left="0.7" right="0.7" top="0.75" bottom="0.75" header="0.3" footer="0.3"/>
      <pageSetup paperSize="9" orientation="portrait" r:id="rId32"/>
      <autoFilter ref="A4:A388"/>
    </customSheetView>
    <customSheetView guid="{47B983AB-FE5F-4725-860C-A2F29420596D}" scale="55" showAutoFilter="1">
      <pane xSplit="2" ySplit="11" topLeftCell="C319" activePane="bottomRight" state="frozen"/>
      <selection pane="bottomRight" activeCell="C339" sqref="C339"/>
      <pageMargins left="0.7" right="0.7" top="0.75" bottom="0.75" header="0.3" footer="0.3"/>
      <pageSetup paperSize="9" orientation="portrait" r:id="rId33"/>
      <autoFilter ref="A4:A388"/>
    </customSheetView>
    <customSheetView guid="{442F2C94-DD1B-4A01-8694-513D4D6F3BD9}" scale="55" showAutoFilter="1">
      <pane xSplit="2" ySplit="11" topLeftCell="C319" activePane="bottomRight" state="frozen"/>
      <selection pane="bottomRight" activeCell="C339" sqref="C339"/>
      <pageMargins left="0.7" right="0.7" top="0.75" bottom="0.75" header="0.3" footer="0.3"/>
      <pageSetup paperSize="9" orientation="portrait" r:id="rId34"/>
      <autoFilter ref="A4:A388"/>
    </customSheetView>
    <customSheetView guid="{472DFAFE-DC7C-463D-92A0-F6A14555FDD6}" scale="55" showAutoFilter="1">
      <pane xSplit="2" ySplit="11" topLeftCell="C319" activePane="bottomRight" state="frozen"/>
      <selection pane="bottomRight" activeCell="C339" sqref="C339"/>
      <pageMargins left="0.7" right="0.7" top="0.75" bottom="0.75" header="0.3" footer="0.3"/>
      <pageSetup paperSize="9" orientation="portrait" r:id="rId35"/>
      <autoFilter ref="A4:A388"/>
    </customSheetView>
    <customSheetView guid="{B43381A8-767B-4F49-BD2E-0056691293F3}" scale="55" showAutoFilter="1">
      <pane xSplit="2" ySplit="11" topLeftCell="C319" activePane="bottomRight" state="frozen"/>
      <selection pane="bottomRight" activeCell="C339" sqref="C339"/>
      <pageMargins left="0.7" right="0.7" top="0.75" bottom="0.75" header="0.3" footer="0.3"/>
      <pageSetup paperSize="9" orientation="portrait" r:id="rId36"/>
      <autoFilter ref="A4:A388"/>
    </customSheetView>
  </customSheetViews>
  <mergeCells count="27">
    <mergeCell ref="A174:AF174"/>
    <mergeCell ref="A199:AF199"/>
    <mergeCell ref="A266:AF266"/>
    <mergeCell ref="A267:AF267"/>
    <mergeCell ref="A286:AF286"/>
    <mergeCell ref="A173:AF173"/>
    <mergeCell ref="V6:W6"/>
    <mergeCell ref="X6:Y6"/>
    <mergeCell ref="Z6:AA6"/>
    <mergeCell ref="AB6:AC6"/>
    <mergeCell ref="AD6:AE6"/>
    <mergeCell ref="AF6:AF7"/>
    <mergeCell ref="A9:AF9"/>
    <mergeCell ref="A10:AF10"/>
    <mergeCell ref="A29:AF29"/>
    <mergeCell ref="A159:AF159"/>
    <mergeCell ref="A160:AF160"/>
    <mergeCell ref="A4:AF4"/>
    <mergeCell ref="A6:A7"/>
    <mergeCell ref="F6:G6"/>
    <mergeCell ref="H6:I6"/>
    <mergeCell ref="J6:K6"/>
    <mergeCell ref="L6:M6"/>
    <mergeCell ref="N6:O6"/>
    <mergeCell ref="P6:Q6"/>
    <mergeCell ref="R6:S6"/>
    <mergeCell ref="T6:U6"/>
  </mergeCells>
  <hyperlinks>
    <hyperlink ref="A4:AF4" location="Оглавление!A1" display="Комплексный план (сетевой график) по реализации муниципальной программы  &quot;Развитие образования в городе Когалыме&quot;"/>
  </hyperlinks>
  <pageMargins left="0.7" right="0.7" top="0.75" bottom="0.75" header="0.3" footer="0.3"/>
  <pageSetup paperSize="9" orientation="portrait" r:id="rId37"/>
  <legacyDrawing r:id="rId3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9"/>
  <sheetViews>
    <sheetView zoomScale="55" zoomScaleNormal="55" zoomScaleSheetLayoutView="70" workbookViewId="0">
      <pane xSplit="2" ySplit="9" topLeftCell="E10" activePane="bottomRight" state="frozen"/>
      <selection activeCell="F284" sqref="F284:G284"/>
      <selection pane="topRight" activeCell="F284" sqref="F284:G284"/>
      <selection pane="bottomLeft" activeCell="F284" sqref="F284:G284"/>
      <selection pane="bottomRight" activeCell="Z11" sqref="Z11"/>
    </sheetView>
  </sheetViews>
  <sheetFormatPr defaultColWidth="9.140625" defaultRowHeight="18.75" x14ac:dyDescent="0.3"/>
  <cols>
    <col min="1" max="1" width="67.5703125" style="10" customWidth="1"/>
    <col min="2" max="5" width="15.140625" style="10" customWidth="1"/>
    <col min="6" max="6" width="16.140625" style="10" customWidth="1"/>
    <col min="7" max="7" width="17.5703125" style="10" customWidth="1"/>
    <col min="8" max="31" width="13.85546875" style="10" customWidth="1"/>
    <col min="32" max="32" width="34.7109375" style="10" customWidth="1"/>
    <col min="33" max="33" width="9.140625" style="155"/>
    <col min="34" max="16384" width="9.140625" style="10"/>
  </cols>
  <sheetData>
    <row r="1" spans="1:34" ht="18.75" customHeight="1" x14ac:dyDescent="0.3">
      <c r="A1" s="1166"/>
      <c r="B1" s="1166"/>
      <c r="C1" s="1166"/>
      <c r="D1" s="1166"/>
      <c r="E1" s="1166"/>
      <c r="F1" s="1166"/>
      <c r="G1" s="1166"/>
      <c r="H1" s="1166"/>
      <c r="I1" s="1166"/>
      <c r="J1" s="1166"/>
      <c r="K1" s="1166"/>
      <c r="L1" s="1166"/>
      <c r="M1" s="1166"/>
      <c r="N1" s="1166"/>
      <c r="O1" s="1166"/>
      <c r="P1" s="1166"/>
      <c r="Q1" s="1166"/>
      <c r="R1" s="1166"/>
      <c r="S1" s="1166"/>
      <c r="T1" s="1166"/>
      <c r="U1" s="1166"/>
      <c r="V1" s="1166"/>
      <c r="W1" s="1166"/>
      <c r="X1" s="1166"/>
      <c r="Y1" s="1166"/>
      <c r="Z1" s="1166"/>
      <c r="AA1" s="1166"/>
      <c r="AB1" s="1166"/>
      <c r="AC1" s="1166"/>
      <c r="AD1" s="1166"/>
      <c r="AE1" s="153"/>
      <c r="AF1" s="154"/>
    </row>
    <row r="2" spans="1:34" ht="18.75" customHeight="1" x14ac:dyDescent="0.3">
      <c r="A2" s="1166"/>
      <c r="B2" s="1166"/>
      <c r="C2" s="1166"/>
      <c r="D2" s="1166"/>
      <c r="E2" s="1166"/>
      <c r="F2" s="1166"/>
      <c r="G2" s="1166"/>
      <c r="H2" s="1166"/>
      <c r="I2" s="1166"/>
      <c r="J2" s="1166"/>
      <c r="K2" s="1166"/>
      <c r="L2" s="1166"/>
      <c r="M2" s="1166"/>
      <c r="N2" s="1166"/>
      <c r="O2" s="1166"/>
      <c r="P2" s="1166"/>
      <c r="Q2" s="1166"/>
      <c r="R2" s="1166"/>
      <c r="S2" s="1166"/>
      <c r="T2" s="1166"/>
      <c r="U2" s="1166"/>
      <c r="V2" s="1166"/>
      <c r="W2" s="1166"/>
      <c r="X2" s="1166"/>
      <c r="Y2" s="1166"/>
      <c r="Z2" s="1166"/>
      <c r="AA2" s="1166"/>
      <c r="AB2" s="1166"/>
      <c r="AC2" s="1166"/>
      <c r="AD2" s="1166"/>
      <c r="AE2" s="153"/>
      <c r="AF2" s="154"/>
    </row>
    <row r="3" spans="1:34" ht="18.75" customHeight="1" x14ac:dyDescent="0.3">
      <c r="A3" s="1166"/>
      <c r="B3" s="1166"/>
      <c r="C3" s="1166"/>
      <c r="D3" s="1166"/>
      <c r="E3" s="1166"/>
      <c r="F3" s="1166"/>
      <c r="G3" s="1166"/>
      <c r="H3" s="1166"/>
      <c r="I3" s="1166"/>
      <c r="J3" s="1166"/>
      <c r="K3" s="1166"/>
      <c r="L3" s="1166"/>
      <c r="M3" s="1166"/>
      <c r="N3" s="1166"/>
      <c r="O3" s="1166"/>
      <c r="P3" s="1166"/>
      <c r="Q3" s="1166"/>
      <c r="R3" s="1166"/>
      <c r="S3" s="1166"/>
      <c r="T3" s="1166"/>
      <c r="U3" s="1166"/>
      <c r="V3" s="1166"/>
      <c r="W3" s="1166"/>
      <c r="X3" s="1166"/>
      <c r="Y3" s="1166"/>
      <c r="Z3" s="1166"/>
      <c r="AA3" s="1166"/>
      <c r="AB3" s="1166"/>
      <c r="AC3" s="1166"/>
      <c r="AD3" s="1166"/>
      <c r="AE3" s="153"/>
      <c r="AF3" s="154"/>
    </row>
    <row r="4" spans="1:34" s="159" customFormat="1" ht="18.75" customHeight="1" x14ac:dyDescent="0.25">
      <c r="A4" s="1167" t="s">
        <v>313</v>
      </c>
      <c r="B4" s="1167"/>
      <c r="C4" s="1167"/>
      <c r="D4" s="1167"/>
      <c r="E4" s="1167"/>
      <c r="F4" s="1167"/>
      <c r="G4" s="1167"/>
      <c r="H4" s="1167"/>
      <c r="I4" s="1167"/>
      <c r="J4" s="1167"/>
      <c r="K4" s="1167"/>
      <c r="L4" s="1167"/>
      <c r="M4" s="1167"/>
      <c r="N4" s="1167"/>
      <c r="O4" s="1167"/>
      <c r="P4" s="1167"/>
      <c r="Q4" s="1167"/>
      <c r="R4" s="1167"/>
      <c r="S4" s="1167"/>
      <c r="T4" s="1167"/>
      <c r="U4" s="1167"/>
      <c r="V4" s="1167"/>
      <c r="W4" s="1167"/>
      <c r="X4" s="1167"/>
      <c r="Y4" s="1167"/>
      <c r="Z4" s="1167"/>
      <c r="AA4" s="1167"/>
      <c r="AB4" s="1167"/>
      <c r="AC4" s="1167"/>
      <c r="AD4" s="1167"/>
      <c r="AE4" s="156"/>
      <c r="AF4" s="157"/>
      <c r="AG4" s="158"/>
    </row>
    <row r="5" spans="1:34" ht="18.75" customHeight="1" x14ac:dyDescent="0.3">
      <c r="A5" s="160"/>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168"/>
      <c r="AC5" s="1168"/>
      <c r="AD5" s="1168"/>
      <c r="AE5" s="161"/>
      <c r="AF5" s="618" t="s">
        <v>1</v>
      </c>
    </row>
    <row r="6" spans="1:34" ht="37.5" customHeight="1" x14ac:dyDescent="0.3">
      <c r="A6" s="1158" t="s">
        <v>163</v>
      </c>
      <c r="B6" s="92" t="s">
        <v>3</v>
      </c>
      <c r="C6" s="92" t="s">
        <v>3</v>
      </c>
      <c r="D6" s="92" t="s">
        <v>4</v>
      </c>
      <c r="E6" s="92" t="s">
        <v>5</v>
      </c>
      <c r="F6" s="1159" t="s">
        <v>6</v>
      </c>
      <c r="G6" s="1160"/>
      <c r="H6" s="1176" t="s">
        <v>7</v>
      </c>
      <c r="I6" s="1177"/>
      <c r="J6" s="1176" t="s">
        <v>8</v>
      </c>
      <c r="K6" s="1177"/>
      <c r="L6" s="1176" t="s">
        <v>9</v>
      </c>
      <c r="M6" s="1177"/>
      <c r="N6" s="1176" t="s">
        <v>10</v>
      </c>
      <c r="O6" s="1177"/>
      <c r="P6" s="1176" t="s">
        <v>11</v>
      </c>
      <c r="Q6" s="1177"/>
      <c r="R6" s="1176" t="s">
        <v>12</v>
      </c>
      <c r="S6" s="1177"/>
      <c r="T6" s="1176" t="s">
        <v>13</v>
      </c>
      <c r="U6" s="1177"/>
      <c r="V6" s="1176" t="s">
        <v>14</v>
      </c>
      <c r="W6" s="1177"/>
      <c r="X6" s="1176" t="s">
        <v>15</v>
      </c>
      <c r="Y6" s="1177"/>
      <c r="Z6" s="1176" t="s">
        <v>16</v>
      </c>
      <c r="AA6" s="1177"/>
      <c r="AB6" s="1176" t="s">
        <v>17</v>
      </c>
      <c r="AC6" s="1177"/>
      <c r="AD6" s="1178" t="s">
        <v>18</v>
      </c>
      <c r="AE6" s="1178"/>
      <c r="AF6" s="1141" t="s">
        <v>19</v>
      </c>
    </row>
    <row r="7" spans="1:34" ht="37.5" x14ac:dyDescent="0.3">
      <c r="A7" s="1158"/>
      <c r="B7" s="3">
        <v>2024</v>
      </c>
      <c r="C7" s="4">
        <v>45627</v>
      </c>
      <c r="D7" s="4">
        <v>45627</v>
      </c>
      <c r="E7" s="4">
        <v>45627</v>
      </c>
      <c r="F7" s="5" t="s">
        <v>20</v>
      </c>
      <c r="G7" s="5" t="s">
        <v>21</v>
      </c>
      <c r="H7" s="491" t="s">
        <v>22</v>
      </c>
      <c r="I7" s="93" t="s">
        <v>164</v>
      </c>
      <c r="J7" s="491" t="s">
        <v>22</v>
      </c>
      <c r="K7" s="93" t="s">
        <v>164</v>
      </c>
      <c r="L7" s="491" t="s">
        <v>22</v>
      </c>
      <c r="M7" s="93" t="s">
        <v>164</v>
      </c>
      <c r="N7" s="491" t="s">
        <v>22</v>
      </c>
      <c r="O7" s="93" t="s">
        <v>164</v>
      </c>
      <c r="P7" s="491" t="s">
        <v>22</v>
      </c>
      <c r="Q7" s="93" t="s">
        <v>164</v>
      </c>
      <c r="R7" s="491" t="s">
        <v>22</v>
      </c>
      <c r="S7" s="93" t="s">
        <v>164</v>
      </c>
      <c r="T7" s="491" t="s">
        <v>22</v>
      </c>
      <c r="U7" s="93" t="s">
        <v>164</v>
      </c>
      <c r="V7" s="491" t="s">
        <v>22</v>
      </c>
      <c r="W7" s="93" t="s">
        <v>164</v>
      </c>
      <c r="X7" s="491" t="s">
        <v>22</v>
      </c>
      <c r="Y7" s="93" t="s">
        <v>164</v>
      </c>
      <c r="Z7" s="491" t="s">
        <v>22</v>
      </c>
      <c r="AA7" s="93" t="s">
        <v>164</v>
      </c>
      <c r="AB7" s="491" t="s">
        <v>22</v>
      </c>
      <c r="AC7" s="93" t="s">
        <v>164</v>
      </c>
      <c r="AD7" s="491" t="s">
        <v>22</v>
      </c>
      <c r="AE7" s="93" t="s">
        <v>164</v>
      </c>
      <c r="AF7" s="1142"/>
    </row>
    <row r="8" spans="1:34" x14ac:dyDescent="0.3">
      <c r="A8" s="163">
        <v>1</v>
      </c>
      <c r="B8" s="6">
        <v>2</v>
      </c>
      <c r="C8" s="6">
        <v>3</v>
      </c>
      <c r="D8" s="6">
        <v>4</v>
      </c>
      <c r="E8" s="6">
        <v>5</v>
      </c>
      <c r="F8" s="6">
        <v>6</v>
      </c>
      <c r="G8" s="6">
        <v>7</v>
      </c>
      <c r="H8" s="6">
        <v>8</v>
      </c>
      <c r="I8" s="6">
        <v>9</v>
      </c>
      <c r="J8" s="6">
        <v>10</v>
      </c>
      <c r="K8" s="6">
        <v>11</v>
      </c>
      <c r="L8" s="6">
        <v>12</v>
      </c>
      <c r="M8" s="6">
        <v>13</v>
      </c>
      <c r="N8" s="6">
        <v>14</v>
      </c>
      <c r="O8" s="6">
        <v>15</v>
      </c>
      <c r="P8" s="6">
        <v>16</v>
      </c>
      <c r="Q8" s="6">
        <v>17</v>
      </c>
      <c r="R8" s="6">
        <v>18</v>
      </c>
      <c r="S8" s="6">
        <v>19</v>
      </c>
      <c r="T8" s="6">
        <v>20</v>
      </c>
      <c r="U8" s="6">
        <v>21</v>
      </c>
      <c r="V8" s="6">
        <v>22</v>
      </c>
      <c r="W8" s="6">
        <v>23</v>
      </c>
      <c r="X8" s="6">
        <v>24</v>
      </c>
      <c r="Y8" s="6">
        <v>25</v>
      </c>
      <c r="Z8" s="6">
        <v>26</v>
      </c>
      <c r="AA8" s="6">
        <v>27</v>
      </c>
      <c r="AB8" s="6">
        <v>28</v>
      </c>
      <c r="AC8" s="6">
        <v>29</v>
      </c>
      <c r="AD8" s="6">
        <v>30</v>
      </c>
      <c r="AE8" s="6">
        <v>31</v>
      </c>
      <c r="AF8" s="6">
        <v>32</v>
      </c>
    </row>
    <row r="9" spans="1:34" s="164" customFormat="1" x14ac:dyDescent="0.3">
      <c r="A9" s="1172" t="s">
        <v>54</v>
      </c>
      <c r="B9" s="1173"/>
      <c r="C9" s="1173"/>
      <c r="D9" s="1173"/>
      <c r="E9" s="1173"/>
      <c r="F9" s="1173"/>
      <c r="G9" s="1173"/>
      <c r="H9" s="1173"/>
      <c r="I9" s="1173"/>
      <c r="J9" s="1173"/>
      <c r="K9" s="1173"/>
      <c r="L9" s="1173"/>
      <c r="M9" s="1173"/>
      <c r="N9" s="1173"/>
      <c r="O9" s="1173"/>
      <c r="P9" s="1173"/>
      <c r="Q9" s="1173"/>
      <c r="R9" s="1173"/>
      <c r="S9" s="1173"/>
      <c r="T9" s="1173"/>
      <c r="U9" s="1173"/>
      <c r="V9" s="1173"/>
      <c r="W9" s="1173"/>
      <c r="X9" s="1173"/>
      <c r="Y9" s="1173"/>
      <c r="Z9" s="1173"/>
      <c r="AA9" s="1173"/>
      <c r="AB9" s="1173"/>
      <c r="AC9" s="1173"/>
      <c r="AD9" s="1173"/>
      <c r="AE9" s="1173"/>
      <c r="AF9" s="1174"/>
    </row>
    <row r="10" spans="1:34" ht="37.5" x14ac:dyDescent="0.3">
      <c r="A10" s="213" t="s">
        <v>314</v>
      </c>
      <c r="B10" s="637">
        <f t="shared" ref="B10:J10" si="0">B11</f>
        <v>56070.720000000001</v>
      </c>
      <c r="C10" s="801">
        <f>C11</f>
        <v>56070.720000000001</v>
      </c>
      <c r="D10" s="801">
        <f>D11</f>
        <v>53857.89</v>
      </c>
      <c r="E10" s="193">
        <f t="shared" si="0"/>
        <v>53857.89</v>
      </c>
      <c r="F10" s="802">
        <f t="shared" si="0"/>
        <v>96.053501720684167</v>
      </c>
      <c r="G10" s="215">
        <f t="shared" si="0"/>
        <v>96.053501720684167</v>
      </c>
      <c r="H10" s="194">
        <f>H11</f>
        <v>7203.19</v>
      </c>
      <c r="I10" s="194">
        <f t="shared" si="0"/>
        <v>4094.7</v>
      </c>
      <c r="J10" s="194">
        <f t="shared" si="0"/>
        <v>3409</v>
      </c>
      <c r="K10" s="215">
        <f t="shared" ref="K10:AE10" si="1">K11</f>
        <v>4844.8900000000003</v>
      </c>
      <c r="L10" s="194">
        <f t="shared" si="1"/>
        <v>3344.3</v>
      </c>
      <c r="M10" s="215">
        <f t="shared" si="1"/>
        <v>3569.98</v>
      </c>
      <c r="N10" s="194">
        <f t="shared" si="1"/>
        <v>5012.5</v>
      </c>
      <c r="O10" s="215">
        <f t="shared" si="1"/>
        <v>3332.26</v>
      </c>
      <c r="P10" s="194">
        <f t="shared" si="1"/>
        <v>4749.29</v>
      </c>
      <c r="Q10" s="215">
        <f t="shared" si="1"/>
        <v>5408.95</v>
      </c>
      <c r="R10" s="194">
        <f t="shared" si="1"/>
        <v>4833</v>
      </c>
      <c r="S10" s="215">
        <f t="shared" si="1"/>
        <v>4763.16</v>
      </c>
      <c r="T10" s="194">
        <f t="shared" si="1"/>
        <v>5588.5</v>
      </c>
      <c r="U10" s="215">
        <f t="shared" si="1"/>
        <v>5157.1899999999996</v>
      </c>
      <c r="V10" s="194">
        <f t="shared" si="1"/>
        <v>5023.6000000000004</v>
      </c>
      <c r="W10" s="215">
        <f t="shared" si="1"/>
        <v>4516.75</v>
      </c>
      <c r="X10" s="194">
        <f t="shared" si="1"/>
        <v>3876.82</v>
      </c>
      <c r="Y10" s="215">
        <f t="shared" si="1"/>
        <v>3103.26</v>
      </c>
      <c r="Z10" s="194">
        <f t="shared" si="1"/>
        <v>4570.1899999999996</v>
      </c>
      <c r="AA10" s="215">
        <f t="shared" si="1"/>
        <v>3443.28</v>
      </c>
      <c r="AB10" s="194">
        <f t="shared" si="1"/>
        <v>3314</v>
      </c>
      <c r="AC10" s="215">
        <f t="shared" si="1"/>
        <v>3483.54</v>
      </c>
      <c r="AD10" s="194">
        <f t="shared" si="1"/>
        <v>5146.33</v>
      </c>
      <c r="AE10" s="216">
        <f t="shared" si="1"/>
        <v>8139.93</v>
      </c>
      <c r="AF10" s="191"/>
      <c r="AG10" s="171">
        <f>AD10+AB10+Z10+X10+V10+T10+R10+P10+N10+L10+J10+H10-B10</f>
        <v>0</v>
      </c>
      <c r="AH10" s="617"/>
    </row>
    <row r="11" spans="1:34" s="173" customFormat="1" x14ac:dyDescent="0.3">
      <c r="A11" s="217" t="s">
        <v>31</v>
      </c>
      <c r="B11" s="194">
        <f t="shared" ref="B11:G11" si="2">B12+B13+B14+B15</f>
        <v>56070.720000000001</v>
      </c>
      <c r="C11" s="194">
        <f t="shared" si="2"/>
        <v>56070.720000000001</v>
      </c>
      <c r="D11" s="194">
        <f t="shared" si="2"/>
        <v>53857.89</v>
      </c>
      <c r="E11" s="194">
        <f t="shared" si="2"/>
        <v>53857.89</v>
      </c>
      <c r="F11" s="194">
        <f>F12+F13+F14+F15</f>
        <v>96.053501720684167</v>
      </c>
      <c r="G11" s="194">
        <f t="shared" si="2"/>
        <v>96.053501720684167</v>
      </c>
      <c r="H11" s="194">
        <f>H14</f>
        <v>7203.19</v>
      </c>
      <c r="I11" s="194">
        <f t="shared" ref="I11:AE11" si="3">I14</f>
        <v>4094.7</v>
      </c>
      <c r="J11" s="194">
        <f t="shared" si="3"/>
        <v>3409</v>
      </c>
      <c r="K11" s="194">
        <f t="shared" si="3"/>
        <v>4844.8900000000003</v>
      </c>
      <c r="L11" s="194">
        <f t="shared" si="3"/>
        <v>3344.3</v>
      </c>
      <c r="M11" s="194">
        <f t="shared" si="3"/>
        <v>3569.98</v>
      </c>
      <c r="N11" s="194">
        <f t="shared" si="3"/>
        <v>5012.5</v>
      </c>
      <c r="O11" s="194">
        <f t="shared" si="3"/>
        <v>3332.26</v>
      </c>
      <c r="P11" s="194">
        <f t="shared" si="3"/>
        <v>4749.29</v>
      </c>
      <c r="Q11" s="194">
        <f t="shared" si="3"/>
        <v>5408.95</v>
      </c>
      <c r="R11" s="194">
        <f t="shared" si="3"/>
        <v>4833</v>
      </c>
      <c r="S11" s="194">
        <f t="shared" si="3"/>
        <v>4763.16</v>
      </c>
      <c r="T11" s="194">
        <f t="shared" si="3"/>
        <v>5588.5</v>
      </c>
      <c r="U11" s="194">
        <f t="shared" si="3"/>
        <v>5157.1899999999996</v>
      </c>
      <c r="V11" s="194">
        <f t="shared" si="3"/>
        <v>5023.6000000000004</v>
      </c>
      <c r="W11" s="194">
        <f t="shared" si="3"/>
        <v>4516.75</v>
      </c>
      <c r="X11" s="194">
        <f t="shared" si="3"/>
        <v>3876.82</v>
      </c>
      <c r="Y11" s="194">
        <f t="shared" si="3"/>
        <v>3103.26</v>
      </c>
      <c r="Z11" s="194">
        <f t="shared" si="3"/>
        <v>4570.1899999999996</v>
      </c>
      <c r="AA11" s="194">
        <f t="shared" si="3"/>
        <v>3443.28</v>
      </c>
      <c r="AB11" s="194">
        <f t="shared" si="3"/>
        <v>3314</v>
      </c>
      <c r="AC11" s="194">
        <f t="shared" si="3"/>
        <v>3483.54</v>
      </c>
      <c r="AD11" s="194">
        <f t="shared" si="3"/>
        <v>5146.33</v>
      </c>
      <c r="AE11" s="194">
        <f t="shared" si="3"/>
        <v>8139.93</v>
      </c>
      <c r="AF11" s="191"/>
      <c r="AG11" s="171">
        <f t="shared" ref="AG11:AG31" si="4">AD11+AB11+Z11+X11+V11+T11+R11+P11+N11+L11+J11+H11-B11</f>
        <v>0</v>
      </c>
      <c r="AH11" s="617"/>
    </row>
    <row r="12" spans="1:34" x14ac:dyDescent="0.3">
      <c r="A12" s="218" t="s">
        <v>169</v>
      </c>
      <c r="B12" s="189">
        <f>H12+J12+L12+N12+P12+R12+T12+V12+X12+Z12+AB12+AD12</f>
        <v>0</v>
      </c>
      <c r="C12" s="219">
        <f>H12+J12</f>
        <v>0</v>
      </c>
      <c r="D12" s="219">
        <f>I12</f>
        <v>0</v>
      </c>
      <c r="E12" s="189">
        <v>0</v>
      </c>
      <c r="F12" s="220">
        <v>0</v>
      </c>
      <c r="G12" s="189">
        <v>0</v>
      </c>
      <c r="H12" s="189">
        <v>0</v>
      </c>
      <c r="I12" s="189">
        <v>0</v>
      </c>
      <c r="J12" s="189">
        <v>0</v>
      </c>
      <c r="K12" s="189">
        <v>0</v>
      </c>
      <c r="L12" s="189">
        <v>0</v>
      </c>
      <c r="M12" s="189">
        <v>0</v>
      </c>
      <c r="N12" s="189">
        <v>0</v>
      </c>
      <c r="O12" s="189">
        <v>0</v>
      </c>
      <c r="P12" s="189">
        <v>0</v>
      </c>
      <c r="Q12" s="189">
        <v>0</v>
      </c>
      <c r="R12" s="189">
        <v>0</v>
      </c>
      <c r="S12" s="189">
        <v>0</v>
      </c>
      <c r="T12" s="189">
        <v>0</v>
      </c>
      <c r="U12" s="189">
        <v>0</v>
      </c>
      <c r="V12" s="189">
        <v>0</v>
      </c>
      <c r="W12" s="189">
        <v>0</v>
      </c>
      <c r="X12" s="189">
        <v>0</v>
      </c>
      <c r="Y12" s="189">
        <v>0</v>
      </c>
      <c r="Z12" s="189">
        <v>0</v>
      </c>
      <c r="AA12" s="189">
        <v>0</v>
      </c>
      <c r="AB12" s="189">
        <v>0</v>
      </c>
      <c r="AC12" s="189">
        <v>0</v>
      </c>
      <c r="AD12" s="189">
        <v>0</v>
      </c>
      <c r="AE12" s="189">
        <v>0</v>
      </c>
      <c r="AF12" s="221"/>
      <c r="AG12" s="171">
        <f t="shared" si="4"/>
        <v>0</v>
      </c>
      <c r="AH12" s="617"/>
    </row>
    <row r="13" spans="1:34" x14ac:dyDescent="0.3">
      <c r="A13" s="218" t="s">
        <v>32</v>
      </c>
      <c r="B13" s="189">
        <f>H13+J13+L13+N13+P13+R13+T13+V13+X13+Z13+AB13+AD13</f>
        <v>0</v>
      </c>
      <c r="C13" s="219">
        <f>H13+J13</f>
        <v>0</v>
      </c>
      <c r="D13" s="219">
        <f>I13</f>
        <v>0</v>
      </c>
      <c r="E13" s="189">
        <v>0</v>
      </c>
      <c r="F13" s="220">
        <v>0</v>
      </c>
      <c r="G13" s="189">
        <v>0</v>
      </c>
      <c r="H13" s="189">
        <v>0</v>
      </c>
      <c r="I13" s="189">
        <v>0</v>
      </c>
      <c r="J13" s="189">
        <v>0</v>
      </c>
      <c r="K13" s="189">
        <v>0</v>
      </c>
      <c r="L13" s="189">
        <v>0</v>
      </c>
      <c r="M13" s="189">
        <v>0</v>
      </c>
      <c r="N13" s="189">
        <v>0</v>
      </c>
      <c r="O13" s="189">
        <v>0</v>
      </c>
      <c r="P13" s="189">
        <v>0</v>
      </c>
      <c r="Q13" s="189">
        <v>0</v>
      </c>
      <c r="R13" s="189">
        <v>0</v>
      </c>
      <c r="S13" s="189">
        <v>0</v>
      </c>
      <c r="T13" s="189">
        <v>0</v>
      </c>
      <c r="U13" s="189">
        <v>0</v>
      </c>
      <c r="V13" s="189">
        <v>0</v>
      </c>
      <c r="W13" s="189">
        <v>0</v>
      </c>
      <c r="X13" s="189">
        <v>0</v>
      </c>
      <c r="Y13" s="189">
        <v>0</v>
      </c>
      <c r="Z13" s="189">
        <v>0</v>
      </c>
      <c r="AA13" s="189">
        <v>0</v>
      </c>
      <c r="AB13" s="189">
        <v>0</v>
      </c>
      <c r="AC13" s="189">
        <v>0</v>
      </c>
      <c r="AD13" s="189">
        <v>0</v>
      </c>
      <c r="AE13" s="189">
        <v>0</v>
      </c>
      <c r="AF13" s="221"/>
      <c r="AG13" s="171">
        <f t="shared" si="4"/>
        <v>0</v>
      </c>
      <c r="AH13" s="617"/>
    </row>
    <row r="14" spans="1:34" ht="78" customHeight="1" x14ac:dyDescent="0.3">
      <c r="A14" s="218" t="s">
        <v>33</v>
      </c>
      <c r="B14" s="189">
        <f>H14+J14+L14+N14+P14+R14+T14+V14+X14+Z14+AB14+AD14</f>
        <v>56070.720000000001</v>
      </c>
      <c r="C14" s="219">
        <f>H14+J14+L14+N14+P14+R14+T14+V14+X14+Z14+AB14+AD14</f>
        <v>56070.720000000001</v>
      </c>
      <c r="D14" s="219">
        <f>I14+K14+M14+O14+Q14+S14+U14+W14+Y14+AA14+AC14+AE14</f>
        <v>53857.89</v>
      </c>
      <c r="E14" s="220">
        <f>I14+K14+M14+O14+Q14+S14+U14+W14+Y14+AA14+AC14+AE14</f>
        <v>53857.89</v>
      </c>
      <c r="F14" s="220">
        <f>E14/B14*100</f>
        <v>96.053501720684167</v>
      </c>
      <c r="G14" s="220">
        <f>E14/C14*100</f>
        <v>96.053501720684167</v>
      </c>
      <c r="H14" s="189">
        <v>7203.19</v>
      </c>
      <c r="I14" s="189">
        <v>4094.7</v>
      </c>
      <c r="J14" s="189">
        <v>3409</v>
      </c>
      <c r="K14" s="189">
        <v>4844.8900000000003</v>
      </c>
      <c r="L14" s="189">
        <v>3344.3</v>
      </c>
      <c r="M14" s="189">
        <v>3569.98</v>
      </c>
      <c r="N14" s="189">
        <v>5012.5</v>
      </c>
      <c r="O14" s="189">
        <v>3332.26</v>
      </c>
      <c r="P14" s="189">
        <v>4749.29</v>
      </c>
      <c r="Q14" s="189">
        <v>5408.95</v>
      </c>
      <c r="R14" s="189">
        <v>4833</v>
      </c>
      <c r="S14" s="189">
        <v>4763.16</v>
      </c>
      <c r="T14" s="189">
        <v>5588.5</v>
      </c>
      <c r="U14" s="189">
        <v>5157.1899999999996</v>
      </c>
      <c r="V14" s="189">
        <v>5023.6000000000004</v>
      </c>
      <c r="W14" s="189">
        <v>4516.75</v>
      </c>
      <c r="X14" s="189">
        <v>3876.82</v>
      </c>
      <c r="Y14" s="189">
        <v>3103.26</v>
      </c>
      <c r="Z14" s="189">
        <v>4570.1899999999996</v>
      </c>
      <c r="AA14" s="189">
        <v>3443.28</v>
      </c>
      <c r="AB14" s="189">
        <v>3314</v>
      </c>
      <c r="AC14" s="189">
        <v>3483.54</v>
      </c>
      <c r="AD14" s="189">
        <v>5146.33</v>
      </c>
      <c r="AE14" s="189">
        <v>8139.93</v>
      </c>
      <c r="AF14" s="948" t="s">
        <v>633</v>
      </c>
      <c r="AG14" s="171">
        <f t="shared" si="4"/>
        <v>0</v>
      </c>
      <c r="AH14" s="617">
        <f>C14-E14</f>
        <v>2212.8300000000017</v>
      </c>
    </row>
    <row r="15" spans="1:34" x14ac:dyDescent="0.3">
      <c r="A15" s="218" t="s">
        <v>221</v>
      </c>
      <c r="B15" s="189">
        <f>H15+J15+L15+N15+P15+R15+T15+V15+X15+Z15+AB15+AD15</f>
        <v>0</v>
      </c>
      <c r="C15" s="219">
        <f>H15</f>
        <v>0</v>
      </c>
      <c r="D15" s="219">
        <f>I15</f>
        <v>0</v>
      </c>
      <c r="E15" s="189">
        <v>0</v>
      </c>
      <c r="F15" s="220">
        <v>0</v>
      </c>
      <c r="G15" s="189">
        <v>0</v>
      </c>
      <c r="H15" s="189">
        <v>0</v>
      </c>
      <c r="I15" s="189">
        <v>0</v>
      </c>
      <c r="J15" s="189">
        <v>0</v>
      </c>
      <c r="K15" s="189">
        <v>0</v>
      </c>
      <c r="L15" s="189">
        <v>0</v>
      </c>
      <c r="M15" s="189">
        <v>0</v>
      </c>
      <c r="N15" s="189">
        <v>0</v>
      </c>
      <c r="O15" s="189">
        <v>0</v>
      </c>
      <c r="P15" s="189">
        <v>0</v>
      </c>
      <c r="Q15" s="189">
        <v>0</v>
      </c>
      <c r="R15" s="189">
        <v>0</v>
      </c>
      <c r="S15" s="189">
        <v>0</v>
      </c>
      <c r="T15" s="189">
        <v>0</v>
      </c>
      <c r="U15" s="189">
        <v>0</v>
      </c>
      <c r="V15" s="189">
        <v>0</v>
      </c>
      <c r="W15" s="189">
        <v>0</v>
      </c>
      <c r="X15" s="189">
        <v>0</v>
      </c>
      <c r="Y15" s="189">
        <v>0</v>
      </c>
      <c r="Z15" s="189">
        <v>0</v>
      </c>
      <c r="AA15" s="189">
        <v>0</v>
      </c>
      <c r="AB15" s="189">
        <v>0</v>
      </c>
      <c r="AC15" s="189">
        <v>0</v>
      </c>
      <c r="AD15" s="189">
        <v>0</v>
      </c>
      <c r="AE15" s="189">
        <v>0</v>
      </c>
      <c r="AF15" s="221"/>
      <c r="AG15" s="171">
        <f t="shared" si="4"/>
        <v>0</v>
      </c>
      <c r="AH15" s="617"/>
    </row>
    <row r="16" spans="1:34" ht="93.75" x14ac:dyDescent="0.3">
      <c r="A16" s="213" t="s">
        <v>315</v>
      </c>
      <c r="B16" s="194">
        <f t="shared" ref="B16:I16" si="5">B17</f>
        <v>55.7</v>
      </c>
      <c r="C16" s="214">
        <f t="shared" si="5"/>
        <v>55.7</v>
      </c>
      <c r="D16" s="214">
        <f>D17</f>
        <v>55.65</v>
      </c>
      <c r="E16" s="194">
        <f t="shared" si="5"/>
        <v>55.65</v>
      </c>
      <c r="F16" s="215">
        <f>F17</f>
        <v>99.910233393177734</v>
      </c>
      <c r="G16" s="215">
        <f>G17</f>
        <v>99.910233393177734</v>
      </c>
      <c r="H16" s="194">
        <f>H17</f>
        <v>55.7</v>
      </c>
      <c r="I16" s="194">
        <f t="shared" si="5"/>
        <v>55.65</v>
      </c>
      <c r="J16" s="194">
        <f>J17</f>
        <v>0</v>
      </c>
      <c r="K16" s="215">
        <f>K17</f>
        <v>0</v>
      </c>
      <c r="L16" s="194">
        <f>L17</f>
        <v>0</v>
      </c>
      <c r="M16" s="194">
        <f t="shared" ref="M16:AE16" si="6">M17</f>
        <v>0</v>
      </c>
      <c r="N16" s="194">
        <f t="shared" si="6"/>
        <v>0</v>
      </c>
      <c r="O16" s="194">
        <f t="shared" si="6"/>
        <v>0</v>
      </c>
      <c r="P16" s="194">
        <f t="shared" si="6"/>
        <v>0</v>
      </c>
      <c r="Q16" s="194">
        <f t="shared" si="6"/>
        <v>0</v>
      </c>
      <c r="R16" s="194">
        <f t="shared" si="6"/>
        <v>0</v>
      </c>
      <c r="S16" s="194">
        <f t="shared" si="6"/>
        <v>0</v>
      </c>
      <c r="T16" s="194">
        <f t="shared" si="6"/>
        <v>0</v>
      </c>
      <c r="U16" s="194">
        <f t="shared" si="6"/>
        <v>0</v>
      </c>
      <c r="V16" s="194">
        <f t="shared" si="6"/>
        <v>0</v>
      </c>
      <c r="W16" s="194">
        <f t="shared" si="6"/>
        <v>0</v>
      </c>
      <c r="X16" s="194">
        <f t="shared" si="6"/>
        <v>0</v>
      </c>
      <c r="Y16" s="194">
        <f t="shared" si="6"/>
        <v>0</v>
      </c>
      <c r="Z16" s="194">
        <f t="shared" si="6"/>
        <v>0</v>
      </c>
      <c r="AA16" s="194">
        <f t="shared" si="6"/>
        <v>0</v>
      </c>
      <c r="AB16" s="194">
        <f t="shared" si="6"/>
        <v>0</v>
      </c>
      <c r="AC16" s="194">
        <f t="shared" si="6"/>
        <v>0</v>
      </c>
      <c r="AD16" s="194">
        <f t="shared" si="6"/>
        <v>0</v>
      </c>
      <c r="AE16" s="194">
        <f t="shared" si="6"/>
        <v>0</v>
      </c>
      <c r="AF16" s="191"/>
      <c r="AG16" s="171">
        <f t="shared" si="4"/>
        <v>0</v>
      </c>
      <c r="AH16" s="617">
        <f t="shared" ref="AH16:AH31" si="7">C16-E16</f>
        <v>5.0000000000004263E-2</v>
      </c>
    </row>
    <row r="17" spans="1:34" s="173" customFormat="1" x14ac:dyDescent="0.3">
      <c r="A17" s="217" t="s">
        <v>31</v>
      </c>
      <c r="B17" s="193">
        <f t="shared" ref="B17:I17" si="8">B18+B19+B20+B21</f>
        <v>55.7</v>
      </c>
      <c r="C17" s="193">
        <f t="shared" si="8"/>
        <v>55.7</v>
      </c>
      <c r="D17" s="193">
        <f t="shared" si="8"/>
        <v>55.65</v>
      </c>
      <c r="E17" s="193">
        <f t="shared" si="8"/>
        <v>55.65</v>
      </c>
      <c r="F17" s="194">
        <f t="shared" si="8"/>
        <v>99.910233393177734</v>
      </c>
      <c r="G17" s="194">
        <f t="shared" si="8"/>
        <v>99.910233393177734</v>
      </c>
      <c r="H17" s="194">
        <f t="shared" si="8"/>
        <v>55.7</v>
      </c>
      <c r="I17" s="194">
        <f t="shared" si="8"/>
        <v>55.65</v>
      </c>
      <c r="J17" s="194">
        <f t="shared" ref="J17:AE17" si="9">J18+J19+J20+J21</f>
        <v>0</v>
      </c>
      <c r="K17" s="194">
        <f t="shared" si="9"/>
        <v>0</v>
      </c>
      <c r="L17" s="194">
        <f t="shared" si="9"/>
        <v>0</v>
      </c>
      <c r="M17" s="194">
        <f t="shared" si="9"/>
        <v>0</v>
      </c>
      <c r="N17" s="194">
        <f t="shared" si="9"/>
        <v>0</v>
      </c>
      <c r="O17" s="194">
        <f t="shared" si="9"/>
        <v>0</v>
      </c>
      <c r="P17" s="194">
        <f t="shared" si="9"/>
        <v>0</v>
      </c>
      <c r="Q17" s="194">
        <f t="shared" si="9"/>
        <v>0</v>
      </c>
      <c r="R17" s="194">
        <f t="shared" si="9"/>
        <v>0</v>
      </c>
      <c r="S17" s="194">
        <f t="shared" si="9"/>
        <v>0</v>
      </c>
      <c r="T17" s="194">
        <f t="shared" si="9"/>
        <v>0</v>
      </c>
      <c r="U17" s="194">
        <f t="shared" si="9"/>
        <v>0</v>
      </c>
      <c r="V17" s="194">
        <f t="shared" si="9"/>
        <v>0</v>
      </c>
      <c r="W17" s="194">
        <f t="shared" si="9"/>
        <v>0</v>
      </c>
      <c r="X17" s="194">
        <f t="shared" si="9"/>
        <v>0</v>
      </c>
      <c r="Y17" s="194">
        <f t="shared" si="9"/>
        <v>0</v>
      </c>
      <c r="Z17" s="194">
        <f t="shared" si="9"/>
        <v>0</v>
      </c>
      <c r="AA17" s="194">
        <f t="shared" si="9"/>
        <v>0</v>
      </c>
      <c r="AB17" s="194">
        <f t="shared" si="9"/>
        <v>0</v>
      </c>
      <c r="AC17" s="194">
        <f t="shared" si="9"/>
        <v>0</v>
      </c>
      <c r="AD17" s="194">
        <f t="shared" si="9"/>
        <v>0</v>
      </c>
      <c r="AE17" s="194">
        <f t="shared" si="9"/>
        <v>0</v>
      </c>
      <c r="AF17" s="191"/>
      <c r="AG17" s="171">
        <f t="shared" si="4"/>
        <v>0</v>
      </c>
      <c r="AH17" s="617">
        <f t="shared" si="7"/>
        <v>5.0000000000004263E-2</v>
      </c>
    </row>
    <row r="18" spans="1:34" x14ac:dyDescent="0.3">
      <c r="A18" s="218" t="s">
        <v>169</v>
      </c>
      <c r="B18" s="189">
        <f>H18+J18+L18+N18+P18+R18+T18+V18+X18+Z18+AB18+AD18</f>
        <v>0</v>
      </c>
      <c r="C18" s="219">
        <f>H18+J18</f>
        <v>0</v>
      </c>
      <c r="D18" s="219">
        <f>I18</f>
        <v>0</v>
      </c>
      <c r="E18" s="189">
        <v>0</v>
      </c>
      <c r="F18" s="220">
        <v>0</v>
      </c>
      <c r="G18" s="189">
        <v>0</v>
      </c>
      <c r="H18" s="189">
        <v>0</v>
      </c>
      <c r="I18" s="189">
        <v>0</v>
      </c>
      <c r="J18" s="189">
        <v>0</v>
      </c>
      <c r="K18" s="189">
        <v>0</v>
      </c>
      <c r="L18" s="189">
        <v>0</v>
      </c>
      <c r="M18" s="189">
        <v>0</v>
      </c>
      <c r="N18" s="189">
        <v>0</v>
      </c>
      <c r="O18" s="189">
        <v>0</v>
      </c>
      <c r="P18" s="189">
        <v>0</v>
      </c>
      <c r="Q18" s="189">
        <v>0</v>
      </c>
      <c r="R18" s="189">
        <v>0</v>
      </c>
      <c r="S18" s="189">
        <v>0</v>
      </c>
      <c r="T18" s="189">
        <v>0</v>
      </c>
      <c r="U18" s="189">
        <v>0</v>
      </c>
      <c r="V18" s="189">
        <v>0</v>
      </c>
      <c r="W18" s="189">
        <v>0</v>
      </c>
      <c r="X18" s="189">
        <v>0</v>
      </c>
      <c r="Y18" s="189">
        <v>0</v>
      </c>
      <c r="Z18" s="189">
        <v>0</v>
      </c>
      <c r="AA18" s="189">
        <v>0</v>
      </c>
      <c r="AB18" s="189">
        <v>0</v>
      </c>
      <c r="AC18" s="189">
        <v>0</v>
      </c>
      <c r="AD18" s="189">
        <v>0</v>
      </c>
      <c r="AE18" s="189">
        <v>0</v>
      </c>
      <c r="AF18" s="221"/>
      <c r="AG18" s="171">
        <f t="shared" si="4"/>
        <v>0</v>
      </c>
      <c r="AH18" s="617">
        <f t="shared" si="7"/>
        <v>0</v>
      </c>
    </row>
    <row r="19" spans="1:34" x14ac:dyDescent="0.3">
      <c r="A19" s="218" t="s">
        <v>32</v>
      </c>
      <c r="B19" s="189">
        <f>H19+J19+L19+N19+P19+R19+T19+V19+X19+Z19+AB19+AD19</f>
        <v>0</v>
      </c>
      <c r="C19" s="219">
        <f>H19+J19</f>
        <v>0</v>
      </c>
      <c r="D19" s="219">
        <f>I19</f>
        <v>0</v>
      </c>
      <c r="E19" s="189">
        <v>0</v>
      </c>
      <c r="F19" s="220">
        <v>0</v>
      </c>
      <c r="G19" s="189">
        <v>0</v>
      </c>
      <c r="H19" s="189">
        <v>0</v>
      </c>
      <c r="I19" s="189">
        <v>0</v>
      </c>
      <c r="J19" s="189">
        <v>0</v>
      </c>
      <c r="K19" s="189">
        <v>0</v>
      </c>
      <c r="L19" s="189">
        <v>0</v>
      </c>
      <c r="M19" s="189">
        <v>0</v>
      </c>
      <c r="N19" s="189">
        <v>0</v>
      </c>
      <c r="O19" s="189">
        <v>0</v>
      </c>
      <c r="P19" s="189">
        <v>0</v>
      </c>
      <c r="Q19" s="189">
        <v>0</v>
      </c>
      <c r="R19" s="189">
        <v>0</v>
      </c>
      <c r="S19" s="189">
        <v>0</v>
      </c>
      <c r="T19" s="189">
        <v>0</v>
      </c>
      <c r="U19" s="189">
        <v>0</v>
      </c>
      <c r="V19" s="189">
        <v>0</v>
      </c>
      <c r="W19" s="189">
        <v>0</v>
      </c>
      <c r="X19" s="189">
        <v>0</v>
      </c>
      <c r="Y19" s="189">
        <v>0</v>
      </c>
      <c r="Z19" s="189">
        <v>0</v>
      </c>
      <c r="AA19" s="189">
        <v>0</v>
      </c>
      <c r="AB19" s="189">
        <v>0</v>
      </c>
      <c r="AC19" s="189">
        <v>0</v>
      </c>
      <c r="AD19" s="189">
        <v>0</v>
      </c>
      <c r="AE19" s="189">
        <v>0</v>
      </c>
      <c r="AF19" s="221"/>
      <c r="AG19" s="171">
        <f t="shared" si="4"/>
        <v>0</v>
      </c>
      <c r="AH19" s="617">
        <f t="shared" si="7"/>
        <v>0</v>
      </c>
    </row>
    <row r="20" spans="1:34" x14ac:dyDescent="0.3">
      <c r="A20" s="218" t="s">
        <v>33</v>
      </c>
      <c r="B20" s="189">
        <f>H20+J20+L20+N20+P20+R20+T20+V20+X20+Z20+AB20+AD20</f>
        <v>55.7</v>
      </c>
      <c r="C20" s="219">
        <f>H20+J20</f>
        <v>55.7</v>
      </c>
      <c r="D20" s="219">
        <f>I20+K20</f>
        <v>55.65</v>
      </c>
      <c r="E20" s="220">
        <f>I20+K20</f>
        <v>55.65</v>
      </c>
      <c r="F20" s="220">
        <f>E20/B20*100</f>
        <v>99.910233393177734</v>
      </c>
      <c r="G20" s="220">
        <f>E20/C20*100</f>
        <v>99.910233393177734</v>
      </c>
      <c r="H20" s="189">
        <v>55.7</v>
      </c>
      <c r="I20" s="189">
        <v>55.65</v>
      </c>
      <c r="J20" s="189">
        <v>0</v>
      </c>
      <c r="K20" s="189">
        <v>0</v>
      </c>
      <c r="L20" s="189">
        <v>0</v>
      </c>
      <c r="M20" s="189">
        <v>0</v>
      </c>
      <c r="N20" s="189">
        <v>0</v>
      </c>
      <c r="O20" s="189">
        <v>0</v>
      </c>
      <c r="P20" s="189">
        <v>0</v>
      </c>
      <c r="Q20" s="189">
        <v>0</v>
      </c>
      <c r="R20" s="189">
        <v>0</v>
      </c>
      <c r="S20" s="189">
        <v>0</v>
      </c>
      <c r="T20" s="189">
        <v>0</v>
      </c>
      <c r="U20" s="189">
        <v>0</v>
      </c>
      <c r="V20" s="189">
        <v>0</v>
      </c>
      <c r="W20" s="189">
        <v>0</v>
      </c>
      <c r="X20" s="189">
        <v>0</v>
      </c>
      <c r="Y20" s="189">
        <v>0</v>
      </c>
      <c r="Z20" s="189">
        <v>0</v>
      </c>
      <c r="AA20" s="189">
        <v>0</v>
      </c>
      <c r="AB20" s="189">
        <v>0</v>
      </c>
      <c r="AC20" s="189">
        <v>0</v>
      </c>
      <c r="AD20" s="189">
        <v>0</v>
      </c>
      <c r="AE20" s="189">
        <v>0</v>
      </c>
      <c r="AF20" s="221"/>
      <c r="AG20" s="171">
        <f t="shared" si="4"/>
        <v>0</v>
      </c>
      <c r="AH20" s="617">
        <f t="shared" si="7"/>
        <v>5.0000000000004263E-2</v>
      </c>
    </row>
    <row r="21" spans="1:34" x14ac:dyDescent="0.3">
      <c r="A21" s="218" t="s">
        <v>221</v>
      </c>
      <c r="B21" s="189">
        <f>H21+J21+L21+N21+P21+R21+T21+V21+X21+Z21+AB21+AD21</f>
        <v>0</v>
      </c>
      <c r="C21" s="219">
        <f>H21+J21</f>
        <v>0</v>
      </c>
      <c r="D21" s="219">
        <f>I21</f>
        <v>0</v>
      </c>
      <c r="E21" s="189">
        <v>0</v>
      </c>
      <c r="F21" s="220">
        <v>0</v>
      </c>
      <c r="G21" s="189">
        <v>0</v>
      </c>
      <c r="H21" s="189">
        <v>0</v>
      </c>
      <c r="I21" s="189">
        <v>0</v>
      </c>
      <c r="J21" s="189">
        <v>0</v>
      </c>
      <c r="K21" s="189">
        <v>0</v>
      </c>
      <c r="L21" s="189">
        <v>0</v>
      </c>
      <c r="M21" s="189">
        <v>0</v>
      </c>
      <c r="N21" s="189">
        <v>0</v>
      </c>
      <c r="O21" s="189">
        <v>0</v>
      </c>
      <c r="P21" s="189">
        <v>0</v>
      </c>
      <c r="Q21" s="189">
        <v>0</v>
      </c>
      <c r="R21" s="189">
        <v>0</v>
      </c>
      <c r="S21" s="189">
        <v>0</v>
      </c>
      <c r="T21" s="189">
        <v>0</v>
      </c>
      <c r="U21" s="189">
        <v>0</v>
      </c>
      <c r="V21" s="189">
        <v>0</v>
      </c>
      <c r="W21" s="189">
        <v>0</v>
      </c>
      <c r="X21" s="189">
        <v>0</v>
      </c>
      <c r="Y21" s="189">
        <v>0</v>
      </c>
      <c r="Z21" s="189">
        <v>0</v>
      </c>
      <c r="AA21" s="189">
        <v>0</v>
      </c>
      <c r="AB21" s="189">
        <v>0</v>
      </c>
      <c r="AC21" s="189">
        <v>0</v>
      </c>
      <c r="AD21" s="189">
        <v>0</v>
      </c>
      <c r="AE21" s="189">
        <v>0</v>
      </c>
      <c r="AF21" s="221"/>
      <c r="AG21" s="171">
        <f t="shared" si="4"/>
        <v>0</v>
      </c>
      <c r="AH21" s="617">
        <f t="shared" si="7"/>
        <v>0</v>
      </c>
    </row>
    <row r="22" spans="1:34" s="173" customFormat="1" x14ac:dyDescent="0.3">
      <c r="A22" s="144" t="s">
        <v>233</v>
      </c>
      <c r="B22" s="202">
        <f t="shared" ref="B22:G22" si="10">B23+B24+B25+B26</f>
        <v>56126.42</v>
      </c>
      <c r="C22" s="202">
        <f t="shared" si="10"/>
        <v>56126.42</v>
      </c>
      <c r="D22" s="202">
        <f t="shared" si="10"/>
        <v>53913.54</v>
      </c>
      <c r="E22" s="202">
        <f t="shared" si="10"/>
        <v>53913.54</v>
      </c>
      <c r="F22" s="202">
        <f t="shared" si="10"/>
        <v>96.057329150870487</v>
      </c>
      <c r="G22" s="202">
        <f t="shared" si="10"/>
        <v>96.057329150870487</v>
      </c>
      <c r="H22" s="202">
        <f t="shared" ref="H22:AE22" si="11">H23+H24+H25+H26</f>
        <v>7258.8899999999994</v>
      </c>
      <c r="I22" s="202">
        <f t="shared" si="11"/>
        <v>4150.3499999999995</v>
      </c>
      <c r="J22" s="202">
        <f t="shared" si="11"/>
        <v>3409</v>
      </c>
      <c r="K22" s="202">
        <f t="shared" si="11"/>
        <v>4844.8900000000003</v>
      </c>
      <c r="L22" s="202">
        <f t="shared" si="11"/>
        <v>3344.3</v>
      </c>
      <c r="M22" s="202">
        <f t="shared" si="11"/>
        <v>3569.98</v>
      </c>
      <c r="N22" s="202">
        <f t="shared" si="11"/>
        <v>5012.5</v>
      </c>
      <c r="O22" s="202">
        <f t="shared" si="11"/>
        <v>3332.26</v>
      </c>
      <c r="P22" s="202">
        <f t="shared" si="11"/>
        <v>4749.29</v>
      </c>
      <c r="Q22" s="202">
        <f t="shared" si="11"/>
        <v>5408.95</v>
      </c>
      <c r="R22" s="202">
        <f t="shared" si="11"/>
        <v>4833</v>
      </c>
      <c r="S22" s="202">
        <f t="shared" si="11"/>
        <v>4763.16</v>
      </c>
      <c r="T22" s="202">
        <f t="shared" si="11"/>
        <v>5588.5</v>
      </c>
      <c r="U22" s="202">
        <f t="shared" si="11"/>
        <v>5157.1899999999996</v>
      </c>
      <c r="V22" s="202">
        <f t="shared" si="11"/>
        <v>5023.6000000000004</v>
      </c>
      <c r="W22" s="202">
        <f t="shared" si="11"/>
        <v>4516.75</v>
      </c>
      <c r="X22" s="202">
        <f t="shared" si="11"/>
        <v>3876.82</v>
      </c>
      <c r="Y22" s="202">
        <f t="shared" si="11"/>
        <v>3103.26</v>
      </c>
      <c r="Z22" s="202">
        <f t="shared" si="11"/>
        <v>4570.1899999999996</v>
      </c>
      <c r="AA22" s="202">
        <f t="shared" si="11"/>
        <v>3443.28</v>
      </c>
      <c r="AB22" s="202">
        <f t="shared" si="11"/>
        <v>3314</v>
      </c>
      <c r="AC22" s="202">
        <f t="shared" si="11"/>
        <v>3483.54</v>
      </c>
      <c r="AD22" s="202">
        <f t="shared" si="11"/>
        <v>5146.33</v>
      </c>
      <c r="AE22" s="202">
        <f t="shared" si="11"/>
        <v>8139.93</v>
      </c>
      <c r="AF22" s="203"/>
      <c r="AG22" s="171">
        <f t="shared" si="4"/>
        <v>0</v>
      </c>
      <c r="AH22" s="617">
        <f t="shared" si="7"/>
        <v>2212.8799999999974</v>
      </c>
    </row>
    <row r="23" spans="1:34" s="173" customFormat="1" x14ac:dyDescent="0.3">
      <c r="A23" s="146" t="s">
        <v>169</v>
      </c>
      <c r="B23" s="204">
        <f>B12+B18</f>
        <v>0</v>
      </c>
      <c r="C23" s="204">
        <f>C12+C18</f>
        <v>0</v>
      </c>
      <c r="D23" s="204">
        <f>D12+D18</f>
        <v>0</v>
      </c>
      <c r="E23" s="204">
        <f>E12+E18</f>
        <v>0</v>
      </c>
      <c r="F23" s="204">
        <f t="shared" ref="F23:AE23" si="12">F12+F18</f>
        <v>0</v>
      </c>
      <c r="G23" s="204">
        <f t="shared" si="12"/>
        <v>0</v>
      </c>
      <c r="H23" s="204">
        <f t="shared" si="12"/>
        <v>0</v>
      </c>
      <c r="I23" s="204">
        <f t="shared" si="12"/>
        <v>0</v>
      </c>
      <c r="J23" s="204">
        <f t="shared" si="12"/>
        <v>0</v>
      </c>
      <c r="K23" s="204">
        <f t="shared" si="12"/>
        <v>0</v>
      </c>
      <c r="L23" s="204">
        <f t="shared" si="12"/>
        <v>0</v>
      </c>
      <c r="M23" s="204">
        <f t="shared" si="12"/>
        <v>0</v>
      </c>
      <c r="N23" s="204">
        <f t="shared" si="12"/>
        <v>0</v>
      </c>
      <c r="O23" s="204">
        <f t="shared" si="12"/>
        <v>0</v>
      </c>
      <c r="P23" s="204">
        <f t="shared" si="12"/>
        <v>0</v>
      </c>
      <c r="Q23" s="204">
        <f t="shared" si="12"/>
        <v>0</v>
      </c>
      <c r="R23" s="204">
        <f t="shared" si="12"/>
        <v>0</v>
      </c>
      <c r="S23" s="204">
        <f t="shared" si="12"/>
        <v>0</v>
      </c>
      <c r="T23" s="204">
        <f t="shared" si="12"/>
        <v>0</v>
      </c>
      <c r="U23" s="204">
        <f t="shared" si="12"/>
        <v>0</v>
      </c>
      <c r="V23" s="204">
        <f t="shared" si="12"/>
        <v>0</v>
      </c>
      <c r="W23" s="204">
        <f t="shared" si="12"/>
        <v>0</v>
      </c>
      <c r="X23" s="204">
        <f t="shared" si="12"/>
        <v>0</v>
      </c>
      <c r="Y23" s="204">
        <f t="shared" si="12"/>
        <v>0</v>
      </c>
      <c r="Z23" s="204">
        <f t="shared" si="12"/>
        <v>0</v>
      </c>
      <c r="AA23" s="204">
        <f t="shared" si="12"/>
        <v>0</v>
      </c>
      <c r="AB23" s="204">
        <f t="shared" si="12"/>
        <v>0</v>
      </c>
      <c r="AC23" s="204">
        <f t="shared" si="12"/>
        <v>0</v>
      </c>
      <c r="AD23" s="204">
        <f t="shared" si="12"/>
        <v>0</v>
      </c>
      <c r="AE23" s="204">
        <f t="shared" si="12"/>
        <v>0</v>
      </c>
      <c r="AF23" s="205"/>
      <c r="AG23" s="171">
        <f t="shared" si="4"/>
        <v>0</v>
      </c>
      <c r="AH23" s="617">
        <f t="shared" si="7"/>
        <v>0</v>
      </c>
    </row>
    <row r="24" spans="1:34" s="173" customFormat="1" x14ac:dyDescent="0.3">
      <c r="A24" s="146" t="s">
        <v>32</v>
      </c>
      <c r="B24" s="204">
        <f t="shared" ref="B24:E26" si="13">B13+B19</f>
        <v>0</v>
      </c>
      <c r="C24" s="204">
        <f t="shared" si="13"/>
        <v>0</v>
      </c>
      <c r="D24" s="204">
        <f t="shared" si="13"/>
        <v>0</v>
      </c>
      <c r="E24" s="204">
        <f>E13+E19</f>
        <v>0</v>
      </c>
      <c r="F24" s="204">
        <f t="shared" ref="F24:AE24" si="14">F13+F19</f>
        <v>0</v>
      </c>
      <c r="G24" s="204">
        <f t="shared" si="14"/>
        <v>0</v>
      </c>
      <c r="H24" s="204">
        <f t="shared" si="14"/>
        <v>0</v>
      </c>
      <c r="I24" s="204">
        <f t="shared" si="14"/>
        <v>0</v>
      </c>
      <c r="J24" s="204">
        <f t="shared" si="14"/>
        <v>0</v>
      </c>
      <c r="K24" s="204">
        <f t="shared" si="14"/>
        <v>0</v>
      </c>
      <c r="L24" s="204">
        <f t="shared" si="14"/>
        <v>0</v>
      </c>
      <c r="M24" s="204">
        <f t="shared" si="14"/>
        <v>0</v>
      </c>
      <c r="N24" s="204">
        <f t="shared" si="14"/>
        <v>0</v>
      </c>
      <c r="O24" s="204">
        <f t="shared" si="14"/>
        <v>0</v>
      </c>
      <c r="P24" s="204">
        <f t="shared" si="14"/>
        <v>0</v>
      </c>
      <c r="Q24" s="204">
        <f t="shared" si="14"/>
        <v>0</v>
      </c>
      <c r="R24" s="204">
        <f t="shared" si="14"/>
        <v>0</v>
      </c>
      <c r="S24" s="204">
        <f t="shared" si="14"/>
        <v>0</v>
      </c>
      <c r="T24" s="204">
        <f t="shared" si="14"/>
        <v>0</v>
      </c>
      <c r="U24" s="204">
        <f t="shared" si="14"/>
        <v>0</v>
      </c>
      <c r="V24" s="204">
        <f t="shared" si="14"/>
        <v>0</v>
      </c>
      <c r="W24" s="204">
        <f t="shared" si="14"/>
        <v>0</v>
      </c>
      <c r="X24" s="204">
        <f t="shared" si="14"/>
        <v>0</v>
      </c>
      <c r="Y24" s="204">
        <f t="shared" si="14"/>
        <v>0</v>
      </c>
      <c r="Z24" s="204">
        <f t="shared" si="14"/>
        <v>0</v>
      </c>
      <c r="AA24" s="204">
        <f t="shared" si="14"/>
        <v>0</v>
      </c>
      <c r="AB24" s="204">
        <f t="shared" si="14"/>
        <v>0</v>
      </c>
      <c r="AC24" s="204">
        <f t="shared" si="14"/>
        <v>0</v>
      </c>
      <c r="AD24" s="204">
        <f t="shared" si="14"/>
        <v>0</v>
      </c>
      <c r="AE24" s="204">
        <f t="shared" si="14"/>
        <v>0</v>
      </c>
      <c r="AF24" s="206"/>
      <c r="AG24" s="171">
        <f t="shared" si="4"/>
        <v>0</v>
      </c>
      <c r="AH24" s="617">
        <f t="shared" si="7"/>
        <v>0</v>
      </c>
    </row>
    <row r="25" spans="1:34" s="173" customFormat="1" x14ac:dyDescent="0.3">
      <c r="A25" s="146" t="s">
        <v>33</v>
      </c>
      <c r="B25" s="204">
        <f>B14+B20</f>
        <v>56126.42</v>
      </c>
      <c r="C25" s="204">
        <f t="shared" si="13"/>
        <v>56126.42</v>
      </c>
      <c r="D25" s="204">
        <f t="shared" si="13"/>
        <v>53913.54</v>
      </c>
      <c r="E25" s="204">
        <f t="shared" si="13"/>
        <v>53913.54</v>
      </c>
      <c r="F25" s="204">
        <f>E25/B25*100</f>
        <v>96.057329150870487</v>
      </c>
      <c r="G25" s="204">
        <f>E25/C25*100</f>
        <v>96.057329150870487</v>
      </c>
      <c r="H25" s="204">
        <f t="shared" ref="H25:AE26" si="15">H14+H20</f>
        <v>7258.8899999999994</v>
      </c>
      <c r="I25" s="204">
        <f t="shared" si="15"/>
        <v>4150.3499999999995</v>
      </c>
      <c r="J25" s="204">
        <f t="shared" si="15"/>
        <v>3409</v>
      </c>
      <c r="K25" s="204">
        <f t="shared" si="15"/>
        <v>4844.8900000000003</v>
      </c>
      <c r="L25" s="204">
        <f t="shared" si="15"/>
        <v>3344.3</v>
      </c>
      <c r="M25" s="204">
        <f t="shared" si="15"/>
        <v>3569.98</v>
      </c>
      <c r="N25" s="204">
        <f t="shared" si="15"/>
        <v>5012.5</v>
      </c>
      <c r="O25" s="204">
        <f t="shared" si="15"/>
        <v>3332.26</v>
      </c>
      <c r="P25" s="204">
        <f t="shared" si="15"/>
        <v>4749.29</v>
      </c>
      <c r="Q25" s="204">
        <f t="shared" si="15"/>
        <v>5408.95</v>
      </c>
      <c r="R25" s="204">
        <f>R14+R20</f>
        <v>4833</v>
      </c>
      <c r="S25" s="204">
        <f t="shared" si="15"/>
        <v>4763.16</v>
      </c>
      <c r="T25" s="204">
        <f t="shared" si="15"/>
        <v>5588.5</v>
      </c>
      <c r="U25" s="204">
        <f t="shared" si="15"/>
        <v>5157.1899999999996</v>
      </c>
      <c r="V25" s="204">
        <f t="shared" si="15"/>
        <v>5023.6000000000004</v>
      </c>
      <c r="W25" s="204">
        <f t="shared" si="15"/>
        <v>4516.75</v>
      </c>
      <c r="X25" s="204">
        <f t="shared" si="15"/>
        <v>3876.82</v>
      </c>
      <c r="Y25" s="204">
        <f t="shared" si="15"/>
        <v>3103.26</v>
      </c>
      <c r="Z25" s="204">
        <f t="shared" si="15"/>
        <v>4570.1899999999996</v>
      </c>
      <c r="AA25" s="204">
        <f t="shared" si="15"/>
        <v>3443.28</v>
      </c>
      <c r="AB25" s="204">
        <f t="shared" si="15"/>
        <v>3314</v>
      </c>
      <c r="AC25" s="204">
        <f t="shared" si="15"/>
        <v>3483.54</v>
      </c>
      <c r="AD25" s="204">
        <f t="shared" si="15"/>
        <v>5146.33</v>
      </c>
      <c r="AE25" s="204">
        <f t="shared" si="15"/>
        <v>8139.93</v>
      </c>
      <c r="AF25" s="206"/>
      <c r="AG25" s="171">
        <f t="shared" si="4"/>
        <v>0</v>
      </c>
      <c r="AH25" s="617">
        <f t="shared" si="7"/>
        <v>2212.8799999999974</v>
      </c>
    </row>
    <row r="26" spans="1:34" s="173" customFormat="1" x14ac:dyDescent="0.3">
      <c r="A26" s="148" t="s">
        <v>221</v>
      </c>
      <c r="B26" s="204">
        <f t="shared" si="13"/>
        <v>0</v>
      </c>
      <c r="C26" s="204">
        <f t="shared" si="13"/>
        <v>0</v>
      </c>
      <c r="D26" s="204">
        <f>D15+D21</f>
        <v>0</v>
      </c>
      <c r="E26" s="204">
        <f>E15+E21</f>
        <v>0</v>
      </c>
      <c r="F26" s="204">
        <f>F21+F15</f>
        <v>0</v>
      </c>
      <c r="G26" s="204">
        <f>G21+G15</f>
        <v>0</v>
      </c>
      <c r="H26" s="204">
        <f t="shared" si="15"/>
        <v>0</v>
      </c>
      <c r="I26" s="204">
        <f>I15+I21</f>
        <v>0</v>
      </c>
      <c r="J26" s="204">
        <f t="shared" si="15"/>
        <v>0</v>
      </c>
      <c r="K26" s="204">
        <f t="shared" si="15"/>
        <v>0</v>
      </c>
      <c r="L26" s="204">
        <f t="shared" si="15"/>
        <v>0</v>
      </c>
      <c r="M26" s="204">
        <f t="shared" si="15"/>
        <v>0</v>
      </c>
      <c r="N26" s="204">
        <f t="shared" si="15"/>
        <v>0</v>
      </c>
      <c r="O26" s="204">
        <f t="shared" si="15"/>
        <v>0</v>
      </c>
      <c r="P26" s="204">
        <f t="shared" si="15"/>
        <v>0</v>
      </c>
      <c r="Q26" s="204">
        <f t="shared" si="15"/>
        <v>0</v>
      </c>
      <c r="R26" s="204">
        <f t="shared" si="15"/>
        <v>0</v>
      </c>
      <c r="S26" s="204">
        <f t="shared" si="15"/>
        <v>0</v>
      </c>
      <c r="T26" s="204">
        <f t="shared" si="15"/>
        <v>0</v>
      </c>
      <c r="U26" s="204">
        <f t="shared" si="15"/>
        <v>0</v>
      </c>
      <c r="V26" s="204">
        <f t="shared" si="15"/>
        <v>0</v>
      </c>
      <c r="W26" s="204">
        <f t="shared" si="15"/>
        <v>0</v>
      </c>
      <c r="X26" s="204">
        <f t="shared" si="15"/>
        <v>0</v>
      </c>
      <c r="Y26" s="204">
        <f t="shared" si="15"/>
        <v>0</v>
      </c>
      <c r="Z26" s="204">
        <f t="shared" si="15"/>
        <v>0</v>
      </c>
      <c r="AA26" s="204">
        <f t="shared" si="15"/>
        <v>0</v>
      </c>
      <c r="AB26" s="204">
        <f t="shared" si="15"/>
        <v>0</v>
      </c>
      <c r="AC26" s="204">
        <f t="shared" si="15"/>
        <v>0</v>
      </c>
      <c r="AD26" s="204">
        <f t="shared" si="15"/>
        <v>0</v>
      </c>
      <c r="AE26" s="204">
        <f t="shared" si="15"/>
        <v>0</v>
      </c>
      <c r="AF26" s="206"/>
      <c r="AG26" s="171">
        <f t="shared" si="4"/>
        <v>0</v>
      </c>
      <c r="AH26" s="617">
        <f t="shared" si="7"/>
        <v>0</v>
      </c>
    </row>
    <row r="27" spans="1:34" s="173" customFormat="1" ht="37.5" x14ac:dyDescent="0.3">
      <c r="A27" s="144" t="s">
        <v>64</v>
      </c>
      <c r="B27" s="202">
        <f>B22</f>
        <v>56126.42</v>
      </c>
      <c r="C27" s="202">
        <f t="shared" ref="C27:AE27" si="16">C22</f>
        <v>56126.42</v>
      </c>
      <c r="D27" s="202">
        <f t="shared" si="16"/>
        <v>53913.54</v>
      </c>
      <c r="E27" s="202">
        <f t="shared" si="16"/>
        <v>53913.54</v>
      </c>
      <c r="F27" s="202">
        <f t="shared" si="16"/>
        <v>96.057329150870487</v>
      </c>
      <c r="G27" s="202">
        <f t="shared" si="16"/>
        <v>96.057329150870487</v>
      </c>
      <c r="H27" s="202">
        <f t="shared" si="16"/>
        <v>7258.8899999999994</v>
      </c>
      <c r="I27" s="202">
        <f t="shared" si="16"/>
        <v>4150.3499999999995</v>
      </c>
      <c r="J27" s="202">
        <f t="shared" si="16"/>
        <v>3409</v>
      </c>
      <c r="K27" s="202">
        <f t="shared" si="16"/>
        <v>4844.8900000000003</v>
      </c>
      <c r="L27" s="202">
        <f t="shared" si="16"/>
        <v>3344.3</v>
      </c>
      <c r="M27" s="202">
        <f t="shared" si="16"/>
        <v>3569.98</v>
      </c>
      <c r="N27" s="202">
        <f t="shared" si="16"/>
        <v>5012.5</v>
      </c>
      <c r="O27" s="202">
        <f t="shared" si="16"/>
        <v>3332.26</v>
      </c>
      <c r="P27" s="202">
        <f t="shared" si="16"/>
        <v>4749.29</v>
      </c>
      <c r="Q27" s="202">
        <f t="shared" si="16"/>
        <v>5408.95</v>
      </c>
      <c r="R27" s="202">
        <f t="shared" si="16"/>
        <v>4833</v>
      </c>
      <c r="S27" s="202">
        <f t="shared" si="16"/>
        <v>4763.16</v>
      </c>
      <c r="T27" s="202">
        <f t="shared" si="16"/>
        <v>5588.5</v>
      </c>
      <c r="U27" s="202">
        <f t="shared" si="16"/>
        <v>5157.1899999999996</v>
      </c>
      <c r="V27" s="202">
        <f t="shared" si="16"/>
        <v>5023.6000000000004</v>
      </c>
      <c r="W27" s="202">
        <f t="shared" si="16"/>
        <v>4516.75</v>
      </c>
      <c r="X27" s="202">
        <f t="shared" si="16"/>
        <v>3876.82</v>
      </c>
      <c r="Y27" s="202">
        <f t="shared" si="16"/>
        <v>3103.26</v>
      </c>
      <c r="Z27" s="202">
        <f t="shared" si="16"/>
        <v>4570.1899999999996</v>
      </c>
      <c r="AA27" s="202">
        <f t="shared" si="16"/>
        <v>3443.28</v>
      </c>
      <c r="AB27" s="202">
        <f t="shared" si="16"/>
        <v>3314</v>
      </c>
      <c r="AC27" s="202">
        <f t="shared" si="16"/>
        <v>3483.54</v>
      </c>
      <c r="AD27" s="202">
        <f>AD22</f>
        <v>5146.33</v>
      </c>
      <c r="AE27" s="202">
        <f t="shared" si="16"/>
        <v>8139.93</v>
      </c>
      <c r="AF27" s="203"/>
      <c r="AG27" s="171">
        <f t="shared" si="4"/>
        <v>0</v>
      </c>
      <c r="AH27" s="617">
        <f t="shared" si="7"/>
        <v>2212.8799999999974</v>
      </c>
    </row>
    <row r="28" spans="1:34" s="173" customFormat="1" x14ac:dyDescent="0.3">
      <c r="A28" s="146" t="s">
        <v>169</v>
      </c>
      <c r="B28" s="204">
        <f>B12+B18</f>
        <v>0</v>
      </c>
      <c r="C28" s="204">
        <f>C12+C18</f>
        <v>0</v>
      </c>
      <c r="D28" s="204">
        <f>D12+D18</f>
        <v>0</v>
      </c>
      <c r="E28" s="204">
        <f>E12+E18</f>
        <v>0</v>
      </c>
      <c r="F28" s="204">
        <f>IFERROR(E28/B28*100,0)</f>
        <v>0</v>
      </c>
      <c r="G28" s="204">
        <f>IFERROR(E28/C28*100,0)</f>
        <v>0</v>
      </c>
      <c r="H28" s="204">
        <f t="shared" ref="H28:AE31" si="17">H12+H18</f>
        <v>0</v>
      </c>
      <c r="I28" s="204">
        <f t="shared" si="17"/>
        <v>0</v>
      </c>
      <c r="J28" s="204">
        <f t="shared" si="17"/>
        <v>0</v>
      </c>
      <c r="K28" s="204">
        <f t="shared" si="17"/>
        <v>0</v>
      </c>
      <c r="L28" s="204">
        <f t="shared" si="17"/>
        <v>0</v>
      </c>
      <c r="M28" s="204">
        <f t="shared" si="17"/>
        <v>0</v>
      </c>
      <c r="N28" s="204">
        <f t="shared" si="17"/>
        <v>0</v>
      </c>
      <c r="O28" s="204">
        <f t="shared" si="17"/>
        <v>0</v>
      </c>
      <c r="P28" s="204">
        <f t="shared" si="17"/>
        <v>0</v>
      </c>
      <c r="Q28" s="204">
        <f t="shared" si="17"/>
        <v>0</v>
      </c>
      <c r="R28" s="204">
        <f t="shared" si="17"/>
        <v>0</v>
      </c>
      <c r="S28" s="204">
        <f t="shared" si="17"/>
        <v>0</v>
      </c>
      <c r="T28" s="204">
        <f t="shared" si="17"/>
        <v>0</v>
      </c>
      <c r="U28" s="204">
        <f t="shared" si="17"/>
        <v>0</v>
      </c>
      <c r="V28" s="204">
        <f t="shared" si="17"/>
        <v>0</v>
      </c>
      <c r="W28" s="204">
        <f t="shared" si="17"/>
        <v>0</v>
      </c>
      <c r="X28" s="204">
        <f t="shared" si="17"/>
        <v>0</v>
      </c>
      <c r="Y28" s="204">
        <f t="shared" si="17"/>
        <v>0</v>
      </c>
      <c r="Z28" s="204">
        <f t="shared" si="17"/>
        <v>0</v>
      </c>
      <c r="AA28" s="204">
        <f t="shared" si="17"/>
        <v>0</v>
      </c>
      <c r="AB28" s="204">
        <f t="shared" si="17"/>
        <v>0</v>
      </c>
      <c r="AC28" s="204">
        <f t="shared" si="17"/>
        <v>0</v>
      </c>
      <c r="AD28" s="204">
        <f t="shared" si="17"/>
        <v>0</v>
      </c>
      <c r="AE28" s="204">
        <f t="shared" si="17"/>
        <v>0</v>
      </c>
      <c r="AF28" s="205"/>
      <c r="AG28" s="171">
        <f t="shared" si="4"/>
        <v>0</v>
      </c>
      <c r="AH28" s="617">
        <f t="shared" si="7"/>
        <v>0</v>
      </c>
    </row>
    <row r="29" spans="1:34" s="173" customFormat="1" x14ac:dyDescent="0.3">
      <c r="A29" s="146" t="s">
        <v>32</v>
      </c>
      <c r="B29" s="204">
        <f t="shared" ref="B29:E31" si="18">B13+B19</f>
        <v>0</v>
      </c>
      <c r="C29" s="204">
        <f t="shared" si="18"/>
        <v>0</v>
      </c>
      <c r="D29" s="204">
        <f t="shared" si="18"/>
        <v>0</v>
      </c>
      <c r="E29" s="204">
        <f t="shared" si="18"/>
        <v>0</v>
      </c>
      <c r="F29" s="204">
        <f>IFERROR(E29/B29*100,0)</f>
        <v>0</v>
      </c>
      <c r="G29" s="204">
        <f>IFERROR(E29/C29*100,0)</f>
        <v>0</v>
      </c>
      <c r="H29" s="204">
        <f t="shared" si="17"/>
        <v>0</v>
      </c>
      <c r="I29" s="204">
        <f t="shared" si="17"/>
        <v>0</v>
      </c>
      <c r="J29" s="204">
        <f t="shared" si="17"/>
        <v>0</v>
      </c>
      <c r="K29" s="204">
        <f t="shared" si="17"/>
        <v>0</v>
      </c>
      <c r="L29" s="204">
        <f t="shared" si="17"/>
        <v>0</v>
      </c>
      <c r="M29" s="204">
        <f t="shared" si="17"/>
        <v>0</v>
      </c>
      <c r="N29" s="204">
        <f t="shared" si="17"/>
        <v>0</v>
      </c>
      <c r="O29" s="204">
        <f t="shared" si="17"/>
        <v>0</v>
      </c>
      <c r="P29" s="204">
        <f t="shared" si="17"/>
        <v>0</v>
      </c>
      <c r="Q29" s="204">
        <f t="shared" si="17"/>
        <v>0</v>
      </c>
      <c r="R29" s="204">
        <f t="shared" si="17"/>
        <v>0</v>
      </c>
      <c r="S29" s="204">
        <f t="shared" si="17"/>
        <v>0</v>
      </c>
      <c r="T29" s="204">
        <f t="shared" si="17"/>
        <v>0</v>
      </c>
      <c r="U29" s="204">
        <f t="shared" si="17"/>
        <v>0</v>
      </c>
      <c r="V29" s="204">
        <f t="shared" si="17"/>
        <v>0</v>
      </c>
      <c r="W29" s="204">
        <f t="shared" si="17"/>
        <v>0</v>
      </c>
      <c r="X29" s="204">
        <f t="shared" si="17"/>
        <v>0</v>
      </c>
      <c r="Y29" s="204">
        <f t="shared" si="17"/>
        <v>0</v>
      </c>
      <c r="Z29" s="204">
        <f t="shared" si="17"/>
        <v>0</v>
      </c>
      <c r="AA29" s="204">
        <f t="shared" si="17"/>
        <v>0</v>
      </c>
      <c r="AB29" s="204">
        <f t="shared" si="17"/>
        <v>0</v>
      </c>
      <c r="AC29" s="204">
        <f t="shared" si="17"/>
        <v>0</v>
      </c>
      <c r="AD29" s="204">
        <f t="shared" si="17"/>
        <v>0</v>
      </c>
      <c r="AE29" s="204">
        <f t="shared" si="17"/>
        <v>0</v>
      </c>
      <c r="AF29" s="206"/>
      <c r="AG29" s="171">
        <f t="shared" si="4"/>
        <v>0</v>
      </c>
      <c r="AH29" s="617">
        <f t="shared" si="7"/>
        <v>0</v>
      </c>
    </row>
    <row r="30" spans="1:34" s="173" customFormat="1" x14ac:dyDescent="0.3">
      <c r="A30" s="146" t="s">
        <v>33</v>
      </c>
      <c r="B30" s="204">
        <f>B25</f>
        <v>56126.42</v>
      </c>
      <c r="C30" s="204">
        <f>C25</f>
        <v>56126.42</v>
      </c>
      <c r="D30" s="204">
        <f>D25</f>
        <v>53913.54</v>
      </c>
      <c r="E30" s="204">
        <f t="shared" ref="E30:AE30" si="19">E25</f>
        <v>53913.54</v>
      </c>
      <c r="F30" s="204">
        <f t="shared" si="19"/>
        <v>96.057329150870487</v>
      </c>
      <c r="G30" s="204">
        <f t="shared" si="19"/>
        <v>96.057329150870487</v>
      </c>
      <c r="H30" s="204">
        <f t="shared" si="19"/>
        <v>7258.8899999999994</v>
      </c>
      <c r="I30" s="204">
        <f t="shared" si="19"/>
        <v>4150.3499999999995</v>
      </c>
      <c r="J30" s="204">
        <f t="shared" si="19"/>
        <v>3409</v>
      </c>
      <c r="K30" s="204">
        <f t="shared" si="19"/>
        <v>4844.8900000000003</v>
      </c>
      <c r="L30" s="204">
        <f t="shared" si="19"/>
        <v>3344.3</v>
      </c>
      <c r="M30" s="204">
        <f t="shared" si="19"/>
        <v>3569.98</v>
      </c>
      <c r="N30" s="204">
        <f t="shared" si="19"/>
        <v>5012.5</v>
      </c>
      <c r="O30" s="204">
        <f t="shared" si="19"/>
        <v>3332.26</v>
      </c>
      <c r="P30" s="204">
        <f t="shared" si="19"/>
        <v>4749.29</v>
      </c>
      <c r="Q30" s="204">
        <f t="shared" si="19"/>
        <v>5408.95</v>
      </c>
      <c r="R30" s="204">
        <f t="shared" si="19"/>
        <v>4833</v>
      </c>
      <c r="S30" s="204">
        <f t="shared" si="19"/>
        <v>4763.16</v>
      </c>
      <c r="T30" s="204">
        <f t="shared" si="19"/>
        <v>5588.5</v>
      </c>
      <c r="U30" s="204">
        <f t="shared" si="19"/>
        <v>5157.1899999999996</v>
      </c>
      <c r="V30" s="204">
        <f t="shared" si="19"/>
        <v>5023.6000000000004</v>
      </c>
      <c r="W30" s="204">
        <f t="shared" si="19"/>
        <v>4516.75</v>
      </c>
      <c r="X30" s="204">
        <f t="shared" si="19"/>
        <v>3876.82</v>
      </c>
      <c r="Y30" s="204">
        <f t="shared" si="19"/>
        <v>3103.26</v>
      </c>
      <c r="Z30" s="204">
        <f t="shared" si="19"/>
        <v>4570.1899999999996</v>
      </c>
      <c r="AA30" s="204">
        <f t="shared" si="19"/>
        <v>3443.28</v>
      </c>
      <c r="AB30" s="204">
        <f t="shared" si="19"/>
        <v>3314</v>
      </c>
      <c r="AC30" s="204">
        <f t="shared" si="19"/>
        <v>3483.54</v>
      </c>
      <c r="AD30" s="204">
        <f t="shared" si="19"/>
        <v>5146.33</v>
      </c>
      <c r="AE30" s="204">
        <f t="shared" si="19"/>
        <v>8139.93</v>
      </c>
      <c r="AF30" s="206"/>
      <c r="AG30" s="171">
        <f t="shared" si="4"/>
        <v>0</v>
      </c>
      <c r="AH30" s="617">
        <f t="shared" si="7"/>
        <v>2212.8799999999974</v>
      </c>
    </row>
    <row r="31" spans="1:34" s="173" customFormat="1" x14ac:dyDescent="0.3">
      <c r="A31" s="148" t="s">
        <v>221</v>
      </c>
      <c r="B31" s="204">
        <f t="shared" si="18"/>
        <v>0</v>
      </c>
      <c r="C31" s="204">
        <f t="shared" si="18"/>
        <v>0</v>
      </c>
      <c r="D31" s="204">
        <f t="shared" si="18"/>
        <v>0</v>
      </c>
      <c r="E31" s="204">
        <f>E15+E21</f>
        <v>0</v>
      </c>
      <c r="F31" s="204">
        <f>F15+F21</f>
        <v>0</v>
      </c>
      <c r="G31" s="204">
        <f>G15+G21</f>
        <v>0</v>
      </c>
      <c r="H31" s="204">
        <f t="shared" si="17"/>
        <v>0</v>
      </c>
      <c r="I31" s="204">
        <f t="shared" si="17"/>
        <v>0</v>
      </c>
      <c r="J31" s="204">
        <f t="shared" si="17"/>
        <v>0</v>
      </c>
      <c r="K31" s="204">
        <f t="shared" si="17"/>
        <v>0</v>
      </c>
      <c r="L31" s="204">
        <f t="shared" si="17"/>
        <v>0</v>
      </c>
      <c r="M31" s="204">
        <f t="shared" si="17"/>
        <v>0</v>
      </c>
      <c r="N31" s="204">
        <f t="shared" si="17"/>
        <v>0</v>
      </c>
      <c r="O31" s="204">
        <f t="shared" si="17"/>
        <v>0</v>
      </c>
      <c r="P31" s="204">
        <f t="shared" si="17"/>
        <v>0</v>
      </c>
      <c r="Q31" s="204">
        <f t="shared" si="17"/>
        <v>0</v>
      </c>
      <c r="R31" s="204">
        <f t="shared" si="17"/>
        <v>0</v>
      </c>
      <c r="S31" s="204">
        <f t="shared" si="17"/>
        <v>0</v>
      </c>
      <c r="T31" s="204">
        <f t="shared" si="17"/>
        <v>0</v>
      </c>
      <c r="U31" s="204">
        <f t="shared" si="17"/>
        <v>0</v>
      </c>
      <c r="V31" s="204">
        <f t="shared" si="17"/>
        <v>0</v>
      </c>
      <c r="W31" s="204">
        <f t="shared" si="17"/>
        <v>0</v>
      </c>
      <c r="X31" s="204">
        <f t="shared" si="17"/>
        <v>0</v>
      </c>
      <c r="Y31" s="204">
        <f t="shared" si="17"/>
        <v>0</v>
      </c>
      <c r="Z31" s="204">
        <f t="shared" si="17"/>
        <v>0</v>
      </c>
      <c r="AA31" s="204">
        <f t="shared" si="17"/>
        <v>0</v>
      </c>
      <c r="AB31" s="204">
        <f t="shared" si="17"/>
        <v>0</v>
      </c>
      <c r="AC31" s="204">
        <f t="shared" si="17"/>
        <v>0</v>
      </c>
      <c r="AD31" s="204">
        <f t="shared" si="17"/>
        <v>0</v>
      </c>
      <c r="AE31" s="204">
        <f t="shared" si="17"/>
        <v>0</v>
      </c>
      <c r="AF31" s="206"/>
      <c r="AG31" s="171">
        <f t="shared" si="4"/>
        <v>0</v>
      </c>
      <c r="AH31" s="617">
        <f t="shared" si="7"/>
        <v>0</v>
      </c>
    </row>
    <row r="32" spans="1:34" s="155" customFormat="1" x14ac:dyDescent="0.3">
      <c r="B32" s="171"/>
      <c r="C32" s="171"/>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G32" s="171"/>
    </row>
    <row r="33" spans="1:40" s="493" customFormat="1" ht="15.75" x14ac:dyDescent="0.25">
      <c r="A33" s="496" t="s">
        <v>464</v>
      </c>
      <c r="B33" s="496"/>
      <c r="C33" s="496"/>
      <c r="D33" s="496"/>
      <c r="E33" s="496"/>
      <c r="F33" s="496"/>
      <c r="G33" s="496"/>
      <c r="H33" s="496"/>
      <c r="I33" s="496"/>
      <c r="J33" s="496"/>
      <c r="K33" s="496"/>
      <c r="L33" s="496"/>
      <c r="M33" s="496"/>
      <c r="P33" s="492"/>
      <c r="Q33" s="492"/>
      <c r="R33" s="492"/>
      <c r="S33" s="492"/>
      <c r="V33" s="494"/>
      <c r="W33" s="494"/>
      <c r="AF33" s="492"/>
      <c r="AG33" s="492"/>
      <c r="AH33" s="492"/>
      <c r="AI33" s="492"/>
      <c r="AJ33" s="492"/>
      <c r="AK33" s="492"/>
      <c r="AL33" s="492"/>
      <c r="AM33" s="492"/>
      <c r="AN33" s="495"/>
    </row>
    <row r="34" spans="1:40" s="493" customFormat="1" ht="15.75" x14ac:dyDescent="0.25">
      <c r="A34" s="496" t="s">
        <v>465</v>
      </c>
      <c r="B34" s="497" t="s">
        <v>466</v>
      </c>
      <c r="C34" s="497" t="s">
        <v>467</v>
      </c>
      <c r="D34" s="649"/>
      <c r="E34" s="497"/>
      <c r="F34" s="497"/>
      <c r="G34" s="497"/>
      <c r="H34" s="498"/>
      <c r="I34" s="498"/>
      <c r="J34" s="498"/>
      <c r="K34" s="498"/>
      <c r="L34" s="492"/>
      <c r="M34" s="492"/>
      <c r="N34" s="492"/>
      <c r="O34" s="492"/>
      <c r="P34" s="492"/>
      <c r="Q34" s="492"/>
      <c r="R34" s="492"/>
      <c r="S34" s="492"/>
      <c r="V34" s="494"/>
      <c r="W34" s="494"/>
      <c r="AF34" s="492"/>
      <c r="AG34" s="492"/>
      <c r="AH34" s="492"/>
      <c r="AI34" s="492"/>
      <c r="AJ34" s="492"/>
      <c r="AK34" s="492"/>
      <c r="AL34" s="492"/>
      <c r="AM34" s="492"/>
      <c r="AN34" s="495"/>
    </row>
    <row r="35" spans="1:40" s="493" customFormat="1" ht="15.75" x14ac:dyDescent="0.25">
      <c r="A35" s="495"/>
      <c r="H35" s="492"/>
      <c r="I35" s="492"/>
      <c r="J35" s="492"/>
      <c r="K35" s="492"/>
      <c r="L35" s="492"/>
      <c r="M35" s="492"/>
      <c r="N35" s="492"/>
      <c r="O35" s="492"/>
      <c r="P35" s="492"/>
      <c r="Q35" s="492"/>
      <c r="R35" s="492"/>
      <c r="S35" s="492"/>
      <c r="V35" s="494"/>
      <c r="W35" s="494"/>
      <c r="AF35" s="492"/>
      <c r="AG35" s="492"/>
      <c r="AH35" s="492"/>
      <c r="AI35" s="492"/>
      <c r="AJ35" s="492"/>
      <c r="AK35" s="492"/>
      <c r="AL35" s="492"/>
      <c r="AM35" s="492"/>
      <c r="AN35" s="495"/>
    </row>
    <row r="36" spans="1:40" s="493" customFormat="1" ht="15.75" x14ac:dyDescent="0.25">
      <c r="A36" s="496" t="s">
        <v>689</v>
      </c>
      <c r="B36" s="496"/>
      <c r="C36" s="496"/>
      <c r="D36" s="496"/>
      <c r="E36" s="496"/>
      <c r="F36" s="496"/>
      <c r="G36" s="496"/>
      <c r="H36" s="496"/>
      <c r="I36" s="496"/>
      <c r="J36" s="496"/>
      <c r="K36" s="496"/>
      <c r="L36" s="496"/>
      <c r="M36" s="496"/>
      <c r="N36" s="496"/>
      <c r="O36" s="496"/>
      <c r="P36" s="492"/>
      <c r="Q36" s="492"/>
      <c r="R36" s="492"/>
      <c r="S36" s="492"/>
      <c r="V36" s="494"/>
      <c r="W36" s="494"/>
      <c r="AF36" s="492"/>
      <c r="AG36" s="492"/>
      <c r="AH36" s="492"/>
      <c r="AI36" s="492"/>
      <c r="AJ36" s="492"/>
      <c r="AK36" s="492"/>
      <c r="AL36" s="492"/>
      <c r="AM36" s="492"/>
      <c r="AN36" s="495"/>
    </row>
    <row r="37" spans="1:40" x14ac:dyDescent="0.3">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row>
    <row r="86" spans="6:7" x14ac:dyDescent="0.3">
      <c r="F86" s="10">
        <v>0</v>
      </c>
      <c r="G86" s="10" t="e">
        <f>E86/C86*100</f>
        <v>#DIV/0!</v>
      </c>
    </row>
    <row r="89" spans="6:7" x14ac:dyDescent="0.3">
      <c r="F89" s="10">
        <v>0</v>
      </c>
      <c r="G89" s="10">
        <v>0</v>
      </c>
    </row>
  </sheetData>
  <customSheetViews>
    <customSheetView guid="{7C130984-112A-4861-AA43-E2940708E3DC}" scale="55" state="hidden">
      <pane xSplit="2" ySplit="9" topLeftCell="E10" activePane="bottomRight" state="frozen"/>
      <selection pane="bottomRight" activeCell="Z11" sqref="Z11"/>
      <pageMargins left="0.7" right="0.7" top="0.75" bottom="0.75" header="0.3" footer="0.3"/>
      <pageSetup paperSize="9" orientation="portrait" r:id="rId1"/>
    </customSheetView>
    <customSheetView guid="{533DC55B-6AD4-4674-9488-685EF2039F3E}" scale="55" state="hidden">
      <pane xSplit="2" ySplit="9" topLeftCell="E10" activePane="bottomRight" state="frozen"/>
      <selection pane="bottomRight" activeCell="Z11" sqref="Z11"/>
      <pageMargins left="0.7" right="0.7" top="0.75" bottom="0.75" header="0.3" footer="0.3"/>
      <pageSetup paperSize="9" orientation="portrait" r:id="rId2"/>
    </customSheetView>
    <customSheetView guid="{09C3E205-981E-4A4E-BE89-8B7044192060}" scale="55">
      <pane xSplit="2" ySplit="9" topLeftCell="E10" activePane="bottomRight" state="frozen"/>
      <selection pane="bottomRight" activeCell="Z11" sqref="Z11"/>
      <pageMargins left="0.7" right="0.7" top="0.75" bottom="0.75" header="0.3" footer="0.3"/>
      <pageSetup paperSize="9" orientation="portrait" r:id="rId3"/>
    </customSheetView>
    <customSheetView guid="{B1BF08D1-D416-4B47-ADD0-4F59132DC9E8}" scale="55">
      <pane xSplit="2" ySplit="9" topLeftCell="E10" activePane="bottomRight" state="frozen"/>
      <selection pane="bottomRight" activeCell="Z11" sqref="Z11"/>
      <pageMargins left="0.7" right="0.7" top="0.75" bottom="0.75" header="0.3" footer="0.3"/>
      <pageSetup paperSize="9" orientation="portrait" r:id="rId4"/>
    </customSheetView>
    <customSheetView guid="{4F41B9CC-959D-442C-80B0-1F0DB2C76D27}" scale="71">
      <pane xSplit="2" ySplit="9" topLeftCell="C10" activePane="bottomRight" state="frozen"/>
      <selection pane="bottomRight" activeCell="AC14" sqref="AC14"/>
      <pageMargins left="0.7" right="0.7" top="0.75" bottom="0.75" header="0.3" footer="0.3"/>
      <pageSetup paperSize="9" orientation="portrait" r:id="rId5"/>
    </customSheetView>
    <customSheetView guid="{84867370-1F3E-4368-AF79-FBCE46FFFE92}" scale="71">
      <pane xSplit="2" ySplit="9" topLeftCell="O37" activePane="bottomRight" state="frozen"/>
      <selection pane="bottomRight" activeCell="AC14" sqref="AC14"/>
      <pageMargins left="0.7" right="0.7" top="0.75" bottom="0.75" header="0.3" footer="0.3"/>
      <pageSetup paperSize="9" orientation="portrait" r:id="rId6"/>
    </customSheetView>
    <customSheetView guid="{E508E171-4ED9-4B07-84DF-DA28C60E1969}" scale="71">
      <pane xSplit="2" ySplit="9" topLeftCell="O37" activePane="bottomRight" state="frozen"/>
      <selection pane="bottomRight" activeCell="AC14" sqref="AC14"/>
      <pageMargins left="0.7" right="0.7" top="0.75" bottom="0.75" header="0.3" footer="0.3"/>
      <pageSetup paperSize="9" orientation="portrait" r:id="rId7"/>
    </customSheetView>
    <customSheetView guid="{602C8EDB-B9EF-4C85-B0D5-0558C3A0ABAB}" scale="71">
      <pane xSplit="2" ySplit="9" topLeftCell="O10" activePane="bottomRight" state="frozen"/>
      <selection pane="bottomRight" activeCell="AC14" sqref="AC14"/>
      <pageMargins left="0.7" right="0.7" top="0.75" bottom="0.75" header="0.3" footer="0.3"/>
      <pageSetup paperSize="9" orientation="portrait" r:id="rId8"/>
    </customSheetView>
    <customSheetView guid="{84B3377A-1CDD-4881-99FA-112F8B470D6F}" scale="71">
      <pane xSplit="2" ySplit="9" topLeftCell="O10" activePane="bottomRight" state="frozen"/>
      <selection pane="bottomRight" activeCell="AC14" sqref="AC14"/>
      <pageMargins left="0.7" right="0.7" top="0.75" bottom="0.75" header="0.3" footer="0.3"/>
      <pageSetup paperSize="9" orientation="portrait" r:id="rId9"/>
    </customSheetView>
    <customSheetView guid="{87218168-6C8E-4D5B-A5E5-DCCC26803AA3}" scale="71">
      <pane xSplit="2" ySplit="9" topLeftCell="O10" activePane="bottomRight" state="frozen"/>
      <selection pane="bottomRight" activeCell="AC14" sqref="AC14"/>
      <pageMargins left="0.7" right="0.7" top="0.75" bottom="0.75" header="0.3" footer="0.3"/>
      <pageSetup paperSize="9" orientation="portrait" r:id="rId10"/>
    </customSheetView>
    <customSheetView guid="{6A602CB8-B24C-4ED4-B378-B27354BE0A1A}" scale="71">
      <pane xSplit="2" ySplit="9" topLeftCell="C19" activePane="bottomRight" state="frozen"/>
      <selection pane="bottomRight" activeCell="C38" sqref="C38"/>
      <pageMargins left="0.7" right="0.7" top="0.75" bottom="0.75" header="0.3" footer="0.3"/>
      <pageSetup paperSize="9" orientation="portrait" r:id="rId11"/>
    </customSheetView>
    <customSheetView guid="{D01FA037-9AEC-4167-ADB8-2F327C01ECE6}" scale="71">
      <pane xSplit="2" ySplit="9" topLeftCell="C10" activePane="bottomRight" state="frozen"/>
      <selection pane="bottomRight" activeCell="Y14" sqref="Y14"/>
      <pageMargins left="0.7" right="0.7" top="0.75" bottom="0.75" header="0.3" footer="0.3"/>
      <pageSetup paperSize="9" orientation="portrait" r:id="rId12"/>
    </customSheetView>
    <customSheetView guid="{74870EE6-26B9-40F7-9DC9-260EF16D8959}" scale="71">
      <pane xSplit="2" ySplit="9" topLeftCell="C10" activePane="bottomRight" state="frozen"/>
      <selection pane="bottomRight" activeCell="Y14" sqref="Y14"/>
      <pageMargins left="0.7" right="0.7" top="0.75" bottom="0.75" header="0.3" footer="0.3"/>
      <pageSetup paperSize="9" orientation="portrait" r:id="rId13"/>
    </customSheetView>
    <customSheetView guid="{7226EA2B-7866-416F-9240-410CC1BF0336}" scale="71">
      <pane xSplit="2" ySplit="9" topLeftCell="C10" activePane="bottomRight" state="frozen"/>
      <selection pane="bottomRight" activeCell="Y14" sqref="Y14"/>
      <pageMargins left="0.7" right="0.7" top="0.75" bottom="0.75" header="0.3" footer="0.3"/>
      <pageSetup paperSize="9" orientation="portrait" r:id="rId14"/>
    </customSheetView>
    <customSheetView guid="{F8CAB90F-9980-4EC7-B30B-1637EB515304}" scale="85">
      <pane xSplit="2" ySplit="9" topLeftCell="C10" activePane="bottomRight" state="frozen"/>
      <selection pane="bottomRight" activeCell="D19" sqref="D19"/>
      <pageMargins left="0.7" right="0.7" top="0.75" bottom="0.75" header="0.3" footer="0.3"/>
      <pageSetup paperSize="9" orientation="portrait" r:id="rId15"/>
    </customSheetView>
    <customSheetView guid="{415078CD-EB99-432D-90BA-2F3D5A746E20}" scale="85">
      <pane xSplit="2" ySplit="9" topLeftCell="C10" activePane="bottomRight" state="frozen"/>
      <selection pane="bottomRight" activeCell="D19" sqref="D19"/>
      <pageMargins left="0.7" right="0.7" top="0.75" bottom="0.75" header="0.3" footer="0.3"/>
      <pageSetup paperSize="9" orientation="portrait" r:id="rId16"/>
    </customSheetView>
    <customSheetView guid="{CB4792DB-A624-4844-AEB6-A6ADA80946BB}" scale="70">
      <pane xSplit="2" ySplit="9" topLeftCell="C10" activePane="bottomRight" state="frozen"/>
      <selection pane="bottomRight" activeCell="A14" sqref="A14"/>
      <pageMargins left="0.7" right="0.7" top="0.75" bottom="0.75" header="0.3" footer="0.3"/>
      <pageSetup paperSize="9" orientation="portrait" r:id="rId17"/>
    </customSheetView>
    <customSheetView guid="{0C2B9C2A-7B94-41EF-A2E6-F8AC9A67DE25}" scale="70">
      <pane xSplit="2" ySplit="9" topLeftCell="C16" activePane="bottomRight" state="frozen"/>
      <selection pane="bottomRight" activeCell="E31" sqref="E31"/>
      <pageMargins left="0.7" right="0.7" top="0.75" bottom="0.75" header="0.3" footer="0.3"/>
      <pageSetup paperSize="9" orientation="portrait" r:id="rId18"/>
    </customSheetView>
    <customSheetView guid="{391AB76E-B386-49C1-800F-016A48AA1A46}" scale="70">
      <pane xSplit="2" ySplit="9" topLeftCell="C16" activePane="bottomRight" state="frozen"/>
      <selection pane="bottomRight" activeCell="E31" sqref="E31"/>
      <pageMargins left="0.7" right="0.7" top="0.75" bottom="0.75" header="0.3" footer="0.3"/>
      <pageSetup paperSize="9" orientation="portrait" r:id="rId19"/>
    </customSheetView>
    <customSheetView guid="{959E901C-5DDE-42EE-AE94-AB8976B5E00B}" scale="90">
      <pane xSplit="2" ySplit="9" topLeftCell="C10" activePane="bottomRight" state="frozen"/>
      <selection pane="bottomRight" activeCell="D16" sqref="D16"/>
      <pageMargins left="0.7" right="0.7" top="0.75" bottom="0.75" header="0.3" footer="0.3"/>
      <pageSetup paperSize="9" orientation="portrait" r:id="rId20"/>
    </customSheetView>
    <customSheetView guid="{F679EF4A-C5FD-4B86-B87B-D85968E0F2CA}" scale="90">
      <pane xSplit="2" ySplit="9" topLeftCell="C10" activePane="bottomRight" state="frozen"/>
      <selection pane="bottomRight" activeCell="D16" sqref="D16"/>
      <pageMargins left="0.7" right="0.7" top="0.75" bottom="0.75" header="0.3" footer="0.3"/>
      <pageSetup paperSize="9" orientation="portrait" r:id="rId21"/>
    </customSheetView>
    <customSheetView guid="{009B3074-D8EC-4952-BF50-43CD64449612}" scale="90">
      <pane xSplit="2" ySplit="9" topLeftCell="G28" activePane="bottomRight" state="frozen"/>
      <selection pane="bottomRight" activeCell="I30" activeCellId="2" sqref="M30 K30 I30"/>
      <pageMargins left="0.7" right="0.7" top="0.75" bottom="0.75" header="0.3" footer="0.3"/>
      <pageSetup paperSize="9" orientation="portrait" r:id="rId22"/>
    </customSheetView>
    <customSheetView guid="{770624BF-07F3-44B6-94C3-4CC447CDD45C}" scale="90">
      <pane xSplit="2" ySplit="9" topLeftCell="W19" activePane="bottomRight" state="frozen"/>
      <selection pane="bottomRight" activeCell="AI16" sqref="AI16"/>
      <pageMargins left="0.7" right="0.7" top="0.75" bottom="0.75" header="0.3" footer="0.3"/>
      <pageSetup paperSize="9" orientation="portrait" r:id="rId23"/>
    </customSheetView>
    <customSheetView guid="{B82BA08A-1A30-4F4D-A478-74A6BD09EA97}" scale="70">
      <pane xSplit="2" ySplit="9" topLeftCell="C10" activePane="bottomRight" state="frozen"/>
      <selection pane="bottomRight" activeCell="I20" sqref="I20"/>
      <pageMargins left="0.7" right="0.7" top="0.75" bottom="0.75" header="0.3" footer="0.3"/>
      <pageSetup paperSize="9" orientation="portrait" r:id="rId24"/>
    </customSheetView>
    <customSheetView guid="{874882D1-E741-4CCA-BF0D-E72FA60B771D}" scale="70">
      <pane xSplit="2" ySplit="9" topLeftCell="C25" activePane="bottomRight" state="frozen"/>
      <selection pane="bottomRight" activeCell="A27" sqref="A27"/>
      <pageMargins left="0.7" right="0.7" top="0.75" bottom="0.75" header="0.3" footer="0.3"/>
      <pageSetup paperSize="9" orientation="portrait" r:id="rId25"/>
    </customSheetView>
    <customSheetView guid="{C236B307-BD63-48C4-A75F-B3F3717BF55C}" scale="70">
      <pane xSplit="2" ySplit="9" topLeftCell="C25" activePane="bottomRight" state="frozen"/>
      <selection pane="bottomRight" activeCell="A27" sqref="A27"/>
      <pageMargins left="0.7" right="0.7" top="0.75" bottom="0.75" header="0.3" footer="0.3"/>
      <pageSetup paperSize="9" orientation="portrait" r:id="rId26"/>
    </customSheetView>
    <customSheetView guid="{BCD82A82-B724-4763-8580-D765356E09BA}" scale="70">
      <pane xSplit="2" ySplit="9" topLeftCell="C10" activePane="bottomRight" state="frozen"/>
      <selection pane="bottomRight" activeCell="A4" sqref="A4:AD4"/>
      <pageMargins left="0.7" right="0.7" top="0.75" bottom="0.75" header="0.3" footer="0.3"/>
      <pageSetup paperSize="9" orientation="portrait" r:id="rId27"/>
    </customSheetView>
    <customSheetView guid="{85F4575B-DBC5-482A-9916-255D8F0BC94E}" scale="90">
      <pane xSplit="2" ySplit="9" topLeftCell="C10" activePane="bottomRight" state="frozen"/>
      <selection pane="bottomRight" activeCell="D16" sqref="D16"/>
      <pageMargins left="0.7" right="0.7" top="0.75" bottom="0.75" header="0.3" footer="0.3"/>
      <pageSetup paperSize="9" orientation="portrait" r:id="rId28"/>
    </customSheetView>
    <customSheetView guid="{4D0DFB57-2CBA-42F2-9A97-C453A6851FBA}" scale="70">
      <pane xSplit="2" ySplit="9" topLeftCell="O10" activePane="bottomRight" state="frozen"/>
      <selection pane="bottomRight" activeCell="AF15" sqref="AF15"/>
      <pageMargins left="0.7" right="0.7" top="0.75" bottom="0.75" header="0.3" footer="0.3"/>
      <pageSetup paperSize="9" orientation="portrait" r:id="rId29"/>
    </customSheetView>
    <customSheetView guid="{CE1CCA00-200D-4EAA-9FBE-F8EE7C5F82FE}" scale="70">
      <pane xSplit="2" ySplit="9" topLeftCell="C10" activePane="bottomRight" state="frozen"/>
      <selection pane="bottomRight" activeCell="A14" sqref="A14"/>
      <pageMargins left="0.7" right="0.7" top="0.75" bottom="0.75" header="0.3" footer="0.3"/>
      <pageSetup paperSize="9" orientation="portrait" r:id="rId30"/>
    </customSheetView>
    <customSheetView guid="{AC2D5927-4079-4C74-AF69-1BFAC505648F}" scale="70">
      <pane xSplit="2" ySplit="9" topLeftCell="C16" activePane="bottomRight" state="frozen"/>
      <selection pane="bottomRight" activeCell="E31" sqref="E31"/>
      <pageMargins left="0.7" right="0.7" top="0.75" bottom="0.75" header="0.3" footer="0.3"/>
      <pageSetup paperSize="9" orientation="portrait" r:id="rId31"/>
    </customSheetView>
    <customSheetView guid="{3C3F523F-5F34-4CF7-831E-F1ABC4278CEB}" scale="85">
      <pane xSplit="2" ySplit="9" topLeftCell="C10" activePane="bottomRight" state="frozen"/>
      <selection pane="bottomRight" activeCell="D19" sqref="D19"/>
      <pageMargins left="0.7" right="0.7" top="0.75" bottom="0.75" header="0.3" footer="0.3"/>
      <pageSetup paperSize="9" orientation="portrait" r:id="rId32"/>
    </customSheetView>
    <customSheetView guid="{69DABE6F-6182-4403-A4A2-969F10F1C13A}" scale="71">
      <pane xSplit="2" ySplit="9" topLeftCell="C19" activePane="bottomRight" state="frozen"/>
      <selection pane="bottomRight" activeCell="C38" sqref="C38"/>
      <pageMargins left="0.7" right="0.7" top="0.75" bottom="0.75" header="0.3" footer="0.3"/>
      <pageSetup paperSize="9" orientation="portrait" r:id="rId33"/>
    </customSheetView>
    <customSheetView guid="{DAA8A688-7558-4B5B-8DBD-E2629BD9E9A8}" scale="71">
      <pane xSplit="2" ySplit="9" topLeftCell="O10" activePane="bottomRight" state="frozen"/>
      <selection pane="bottomRight" activeCell="AC14" sqref="AC14"/>
      <pageMargins left="0.7" right="0.7" top="0.75" bottom="0.75" header="0.3" footer="0.3"/>
      <pageSetup paperSize="9" orientation="portrait" r:id="rId34"/>
    </customSheetView>
    <customSheetView guid="{47B983AB-FE5F-4725-860C-A2F29420596D}" scale="71">
      <pane xSplit="2" ySplit="9" topLeftCell="O10" activePane="bottomRight" state="frozen"/>
      <selection pane="bottomRight" activeCell="AC14" sqref="AC14"/>
      <pageMargins left="0.7" right="0.7" top="0.75" bottom="0.75" header="0.3" footer="0.3"/>
      <pageSetup paperSize="9" orientation="portrait" r:id="rId35"/>
    </customSheetView>
    <customSheetView guid="{442F2C94-DD1B-4A01-8694-513D4D6F3BD9}" scale="71">
      <pane xSplit="2" ySplit="9" topLeftCell="O37" activePane="bottomRight" state="frozen"/>
      <selection pane="bottomRight" activeCell="AC14" sqref="AC14"/>
      <pageMargins left="0.7" right="0.7" top="0.75" bottom="0.75" header="0.3" footer="0.3"/>
      <pageSetup paperSize="9" orientation="portrait" r:id="rId36"/>
    </customSheetView>
    <customSheetView guid="{472DFAFE-DC7C-463D-92A0-F6A14555FDD6}" scale="71">
      <pane xSplit="2" ySplit="9" topLeftCell="C10" activePane="bottomRight" state="frozen"/>
      <selection pane="bottomRight" activeCell="AC14" sqref="AC14"/>
      <pageMargins left="0.7" right="0.7" top="0.75" bottom="0.75" header="0.3" footer="0.3"/>
      <pageSetup paperSize="9" orientation="portrait" r:id="rId37"/>
    </customSheetView>
    <customSheetView guid="{B43381A8-767B-4F49-BD2E-0056691293F3}" scale="55">
      <pane xSplit="2" ySplit="9" topLeftCell="E10" activePane="bottomRight" state="frozen"/>
      <selection pane="bottomRight" activeCell="J14" sqref="J14"/>
      <pageMargins left="0.7" right="0.7" top="0.75" bottom="0.75" header="0.3" footer="0.3"/>
      <pageSetup paperSize="9" orientation="portrait" r:id="rId38"/>
    </customSheetView>
  </customSheetViews>
  <mergeCells count="21">
    <mergeCell ref="Z6:AA6"/>
    <mergeCell ref="AB6:AC6"/>
    <mergeCell ref="AD6:AE6"/>
    <mergeCell ref="AF6:AF7"/>
    <mergeCell ref="A9:AF9"/>
    <mergeCell ref="N6:O6"/>
    <mergeCell ref="P6:Q6"/>
    <mergeCell ref="R6:S6"/>
    <mergeCell ref="T6:U6"/>
    <mergeCell ref="V6:W6"/>
    <mergeCell ref="X6:Y6"/>
    <mergeCell ref="A6:A7"/>
    <mergeCell ref="F6:G6"/>
    <mergeCell ref="H6:I6"/>
    <mergeCell ref="J6:K6"/>
    <mergeCell ref="L6:M6"/>
    <mergeCell ref="A1:AD1"/>
    <mergeCell ref="A2:AD2"/>
    <mergeCell ref="A3:AD3"/>
    <mergeCell ref="A4:AD4"/>
    <mergeCell ref="AB5:AD5"/>
  </mergeCells>
  <hyperlinks>
    <hyperlink ref="A4:AD4" location="Оглавление!A1" display="Комплексный план (сетевой график) по реализации муниципальной программы &quot;Управление муниципальными финансами в городе Когалыме&quot;"/>
  </hyperlinks>
  <pageMargins left="0.7" right="0.7" top="0.75" bottom="0.75" header="0.3" footer="0.3"/>
  <pageSetup paperSize="9" orientation="portrait" r:id="rId39"/>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7C130984-112A-4861-AA43-E2940708E3DC}" state="hidden">
      <pageMargins left="0.7" right="0.7" top="0.75" bottom="0.75" header="0.3" footer="0.3"/>
    </customSheetView>
    <customSheetView guid="{533DC55B-6AD4-4674-9488-685EF2039F3E}" state="hidden">
      <pageMargins left="0.7" right="0.7" top="0.75" bottom="0.75" header="0.3" footer="0.3"/>
    </customSheetView>
    <customSheetView guid="{09C3E205-981E-4A4E-BE89-8B7044192060}" state="hidden">
      <pageMargins left="0.7" right="0.7" top="0.75" bottom="0.75" header="0.3" footer="0.3"/>
    </customSheetView>
    <customSheetView guid="{B1BF08D1-D416-4B47-ADD0-4F59132DC9E8}" state="hidden">
      <pageMargins left="0.7" right="0.7" top="0.75" bottom="0.75" header="0.3" footer="0.3"/>
    </customSheetView>
    <customSheetView guid="{4F41B9CC-959D-442C-80B0-1F0DB2C76D27}" state="hidden">
      <pageMargins left="0.7" right="0.7" top="0.75" bottom="0.75" header="0.3" footer="0.3"/>
    </customSheetView>
    <customSheetView guid="{84867370-1F3E-4368-AF79-FBCE46FFFE92}" state="hidden">
      <pageMargins left="0.7" right="0.7" top="0.75" bottom="0.75" header="0.3" footer="0.3"/>
    </customSheetView>
    <customSheetView guid="{E508E171-4ED9-4B07-84DF-DA28C60E1969}" state="hidden">
      <pageMargins left="0.7" right="0.7" top="0.75" bottom="0.75" header="0.3" footer="0.3"/>
    </customSheetView>
    <customSheetView guid="{602C8EDB-B9EF-4C85-B0D5-0558C3A0ABAB}" state="hidden">
      <pageMargins left="0.7" right="0.7" top="0.75" bottom="0.75" header="0.3" footer="0.3"/>
    </customSheetView>
    <customSheetView guid="{84B3377A-1CDD-4881-99FA-112F8B470D6F}" state="hidden">
      <pageMargins left="0.7" right="0.7" top="0.75" bottom="0.75" header="0.3" footer="0.3"/>
    </customSheetView>
    <customSheetView guid="{87218168-6C8E-4D5B-A5E5-DCCC26803AA3}" state="hidden">
      <pageMargins left="0.7" right="0.7" top="0.75" bottom="0.75" header="0.3" footer="0.3"/>
    </customSheetView>
    <customSheetView guid="{6A602CB8-B24C-4ED4-B378-B27354BE0A1A}" state="hidden">
      <pageMargins left="0.7" right="0.7" top="0.75" bottom="0.75" header="0.3" footer="0.3"/>
    </customSheetView>
    <customSheetView guid="{D01FA037-9AEC-4167-ADB8-2F327C01ECE6}" state="hidden">
      <pageMargins left="0.7" right="0.7" top="0.75" bottom="0.75" header="0.3" footer="0.3"/>
    </customSheetView>
    <customSheetView guid="{74870EE6-26B9-40F7-9DC9-260EF16D8959}" state="hidden">
      <pageMargins left="0.7" right="0.7" top="0.75" bottom="0.75" header="0.3" footer="0.3"/>
    </customSheetView>
    <customSheetView guid="{7226EA2B-7866-416F-9240-410CC1BF0336}" state="hidden">
      <pageMargins left="0.7" right="0.7" top="0.75" bottom="0.75" header="0.3" footer="0.3"/>
    </customSheetView>
    <customSheetView guid="{F8CAB90F-9980-4EC7-B30B-1637EB515304}" state="hidden">
      <pageMargins left="0.7" right="0.7" top="0.75" bottom="0.75" header="0.3" footer="0.3"/>
    </customSheetView>
    <customSheetView guid="{415078CD-EB99-432D-90BA-2F3D5A746E20}" state="hidden">
      <pageMargins left="0.7" right="0.7" top="0.75" bottom="0.75" header="0.3" footer="0.3"/>
    </customSheetView>
    <customSheetView guid="{CB4792DB-A624-4844-AEB6-A6ADA80946BB}" state="hidden">
      <pageMargins left="0.7" right="0.7" top="0.75" bottom="0.75" header="0.3" footer="0.3"/>
    </customSheetView>
    <customSheetView guid="{0C2B9C2A-7B94-41EF-A2E6-F8AC9A67DE25}" state="hidden">
      <pageMargins left="0.7" right="0.7" top="0.75" bottom="0.75" header="0.3" footer="0.3"/>
    </customSheetView>
    <customSheetView guid="{391AB76E-B386-49C1-800F-016A48AA1A46}" state="hidden">
      <pageMargins left="0.7" right="0.7" top="0.75" bottom="0.75" header="0.3" footer="0.3"/>
    </customSheetView>
    <customSheetView guid="{959E901C-5DDE-42EE-AE94-AB8976B5E00B}">
      <pageMargins left="0.7" right="0.7" top="0.75" bottom="0.75" header="0.3" footer="0.3"/>
    </customSheetView>
    <customSheetView guid="{F679EF4A-C5FD-4B86-B87B-D85968E0F2CA}">
      <pageMargins left="0.7" right="0.7" top="0.75" bottom="0.75" header="0.3" footer="0.3"/>
    </customSheetView>
    <customSheetView guid="{009B3074-D8EC-4952-BF50-43CD64449612}">
      <pageMargins left="0.7" right="0.7" top="0.75" bottom="0.75" header="0.3" footer="0.3"/>
    </customSheetView>
    <customSheetView guid="{770624BF-07F3-44B6-94C3-4CC447CDD45C}">
      <pageMargins left="0.7" right="0.7" top="0.75" bottom="0.75" header="0.3" footer="0.3"/>
    </customSheetView>
    <customSheetView guid="{B82BA08A-1A30-4F4D-A478-74A6BD09EA97}">
      <pageMargins left="0.7" right="0.7" top="0.75" bottom="0.75" header="0.3" footer="0.3"/>
    </customSheetView>
    <customSheetView guid="{874882D1-E741-4CCA-BF0D-E72FA60B771D}">
      <pageMargins left="0.7" right="0.7" top="0.75" bottom="0.75" header="0.3" footer="0.3"/>
    </customSheetView>
    <customSheetView guid="{C236B307-BD63-48C4-A75F-B3F3717BF55C}">
      <pageMargins left="0.7" right="0.7" top="0.75" bottom="0.75" header="0.3" footer="0.3"/>
    </customSheetView>
    <customSheetView guid="{85F4575B-DBC5-482A-9916-255D8F0BC94E}">
      <pageMargins left="0.7" right="0.7" top="0.75" bottom="0.75" header="0.3" footer="0.3"/>
    </customSheetView>
    <customSheetView guid="{4D0DFB57-2CBA-42F2-9A97-C453A6851FBA}" state="hidden">
      <pageMargins left="0.7" right="0.7" top="0.75" bottom="0.75" header="0.3" footer="0.3"/>
    </customSheetView>
    <customSheetView guid="{CE1CCA00-200D-4EAA-9FBE-F8EE7C5F82FE}" state="hidden">
      <pageMargins left="0.7" right="0.7" top="0.75" bottom="0.75" header="0.3" footer="0.3"/>
    </customSheetView>
    <customSheetView guid="{AC2D5927-4079-4C74-AF69-1BFAC505648F}" state="hidden">
      <pageMargins left="0.7" right="0.7" top="0.75" bottom="0.75" header="0.3" footer="0.3"/>
    </customSheetView>
    <customSheetView guid="{3C3F523F-5F34-4CF7-831E-F1ABC4278CEB}" state="hidden">
      <pageMargins left="0.7" right="0.7" top="0.75" bottom="0.75" header="0.3" footer="0.3"/>
    </customSheetView>
    <customSheetView guid="{69DABE6F-6182-4403-A4A2-969F10F1C13A}" state="hidden">
      <pageMargins left="0.7" right="0.7" top="0.75" bottom="0.75" header="0.3" footer="0.3"/>
    </customSheetView>
    <customSheetView guid="{DAA8A688-7558-4B5B-8DBD-E2629BD9E9A8}" state="hidden">
      <pageMargins left="0.7" right="0.7" top="0.75" bottom="0.75" header="0.3" footer="0.3"/>
    </customSheetView>
    <customSheetView guid="{47B983AB-FE5F-4725-860C-A2F29420596D}" state="hidden">
      <pageMargins left="0.7" right="0.7" top="0.75" bottom="0.75" header="0.3" footer="0.3"/>
    </customSheetView>
    <customSheetView guid="{442F2C94-DD1B-4A01-8694-513D4D6F3BD9}" state="hidden">
      <pageMargins left="0.7" right="0.7" top="0.75" bottom="0.75" header="0.3" footer="0.3"/>
    </customSheetView>
    <customSheetView guid="{472DFAFE-DC7C-463D-92A0-F6A14555FDD6}" state="hidden">
      <pageMargins left="0.7" right="0.7" top="0.75" bottom="0.75" header="0.3" footer="0.3"/>
    </customSheetView>
    <customSheetView guid="{B43381A8-767B-4F49-BD2E-0056691293F3}" state="hidden">
      <pageMargins left="0.7" right="0.7" top="0.75" bottom="0.75" header="0.3" footer="0.3"/>
    </customSheetView>
  </customSheetView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G136"/>
  <sheetViews>
    <sheetView zoomScale="50" zoomScaleNormal="50" workbookViewId="0">
      <pane xSplit="2" ySplit="11" topLeftCell="T72" activePane="bottomRight" state="frozen"/>
      <selection activeCell="F284" sqref="F284:G284"/>
      <selection pane="topRight" activeCell="F284" sqref="F284:G284"/>
      <selection pane="bottomLeft" activeCell="F284" sqref="F284:G284"/>
      <selection pane="bottomRight" activeCell="AH26" sqref="AH26"/>
    </sheetView>
  </sheetViews>
  <sheetFormatPr defaultColWidth="9.140625" defaultRowHeight="18.75" x14ac:dyDescent="0.3"/>
  <cols>
    <col min="1" max="1" width="63.7109375" style="33" customWidth="1"/>
    <col min="2" max="3" width="16.7109375" style="33" customWidth="1"/>
    <col min="4" max="4" width="18.85546875" style="33" customWidth="1"/>
    <col min="5" max="5" width="16.42578125" style="33" customWidth="1"/>
    <col min="6" max="6" width="12.42578125" style="33" customWidth="1"/>
    <col min="7" max="7" width="12.85546875" style="33" customWidth="1"/>
    <col min="8" max="8" width="17.7109375" style="33" customWidth="1"/>
    <col min="9" max="9" width="13.140625" style="33" customWidth="1"/>
    <col min="10" max="10" width="14.7109375" style="33" customWidth="1"/>
    <col min="11" max="11" width="14.42578125" style="33" customWidth="1"/>
    <col min="12" max="12" width="14.85546875" style="33" customWidth="1"/>
    <col min="13" max="13" width="14.5703125" style="33" customWidth="1"/>
    <col min="14" max="14" width="14.42578125" style="33" customWidth="1"/>
    <col min="15" max="15" width="14.5703125" style="33" customWidth="1"/>
    <col min="16" max="16" width="16.28515625" style="33" customWidth="1"/>
    <col min="17" max="17" width="14.5703125" style="33" customWidth="1"/>
    <col min="18" max="18" width="15.5703125" style="33" customWidth="1"/>
    <col min="19" max="20" width="16" style="33" customWidth="1"/>
    <col min="21" max="21" width="15.140625" style="33" customWidth="1"/>
    <col min="22" max="22" width="13.42578125" style="33" customWidth="1"/>
    <col min="23" max="23" width="14.85546875" style="33" customWidth="1"/>
    <col min="24" max="25" width="13.42578125" style="33" customWidth="1"/>
    <col min="26" max="26" width="16.5703125" style="33" customWidth="1"/>
    <col min="27" max="27" width="13.42578125" style="33" customWidth="1"/>
    <col min="28" max="28" width="15.140625" style="33" customWidth="1"/>
    <col min="29" max="29" width="13.42578125" style="33" customWidth="1"/>
    <col min="30" max="30" width="15.85546875" style="33" customWidth="1"/>
    <col min="31" max="31" width="13.42578125" style="33" customWidth="1"/>
    <col min="32" max="32" width="80" style="33" customWidth="1"/>
    <col min="33" max="33" width="15" style="33" hidden="1" customWidth="1"/>
    <col min="34" max="16384" width="9.140625" style="33"/>
  </cols>
  <sheetData>
    <row r="4" spans="1:33" x14ac:dyDescent="0.3">
      <c r="A4" s="1157" t="s">
        <v>316</v>
      </c>
      <c r="B4" s="1157"/>
      <c r="C4" s="1157"/>
      <c r="D4" s="1157"/>
      <c r="E4" s="1157"/>
      <c r="F4" s="1157"/>
      <c r="G4" s="1157"/>
      <c r="H4" s="1157"/>
      <c r="I4" s="1157"/>
      <c r="J4" s="1157"/>
      <c r="K4" s="1157"/>
      <c r="L4" s="1157"/>
      <c r="M4" s="1157"/>
      <c r="N4" s="1157"/>
      <c r="O4" s="1157"/>
      <c r="P4" s="1157"/>
      <c r="Q4" s="1157"/>
      <c r="R4" s="1157"/>
      <c r="S4" s="1157"/>
      <c r="T4" s="1157"/>
      <c r="U4" s="1157"/>
      <c r="V4" s="1157"/>
      <c r="W4" s="1157"/>
      <c r="X4" s="1157"/>
      <c r="Y4" s="1157"/>
      <c r="Z4" s="1157"/>
      <c r="AA4" s="1157"/>
      <c r="AB4" s="1157"/>
      <c r="AC4" s="1157"/>
      <c r="AD4" s="1157"/>
      <c r="AE4" s="1157"/>
      <c r="AF4" s="1157"/>
    </row>
    <row r="6" spans="1:33" ht="50.25" customHeight="1" x14ac:dyDescent="0.3">
      <c r="A6" s="1158" t="s">
        <v>163</v>
      </c>
      <c r="B6" s="92" t="s">
        <v>3</v>
      </c>
      <c r="C6" s="92" t="s">
        <v>3</v>
      </c>
      <c r="D6" s="92" t="s">
        <v>4</v>
      </c>
      <c r="E6" s="92" t="s">
        <v>5</v>
      </c>
      <c r="F6" s="1159" t="s">
        <v>6</v>
      </c>
      <c r="G6" s="1160"/>
      <c r="H6" s="1159" t="s">
        <v>7</v>
      </c>
      <c r="I6" s="1161"/>
      <c r="J6" s="1159" t="s">
        <v>8</v>
      </c>
      <c r="K6" s="1161"/>
      <c r="L6" s="1159" t="s">
        <v>9</v>
      </c>
      <c r="M6" s="1161"/>
      <c r="N6" s="1159" t="s">
        <v>10</v>
      </c>
      <c r="O6" s="1161"/>
      <c r="P6" s="1159" t="s">
        <v>11</v>
      </c>
      <c r="Q6" s="1161"/>
      <c r="R6" s="1159" t="s">
        <v>12</v>
      </c>
      <c r="S6" s="1161"/>
      <c r="T6" s="1159" t="s">
        <v>13</v>
      </c>
      <c r="U6" s="1161"/>
      <c r="V6" s="1159" t="s">
        <v>14</v>
      </c>
      <c r="W6" s="1161"/>
      <c r="X6" s="1159" t="s">
        <v>15</v>
      </c>
      <c r="Y6" s="1161"/>
      <c r="Z6" s="1159" t="s">
        <v>16</v>
      </c>
      <c r="AA6" s="1161"/>
      <c r="AB6" s="1159" t="s">
        <v>17</v>
      </c>
      <c r="AC6" s="1161"/>
      <c r="AD6" s="1162" t="s">
        <v>18</v>
      </c>
      <c r="AE6" s="1162"/>
      <c r="AF6" s="1141" t="s">
        <v>19</v>
      </c>
    </row>
    <row r="7" spans="1:33" ht="56.25" x14ac:dyDescent="0.3">
      <c r="A7" s="1158"/>
      <c r="B7" s="3">
        <v>2024</v>
      </c>
      <c r="C7" s="4">
        <v>45658</v>
      </c>
      <c r="D7" s="4">
        <v>45658</v>
      </c>
      <c r="E7" s="4">
        <v>45658</v>
      </c>
      <c r="F7" s="5" t="s">
        <v>20</v>
      </c>
      <c r="G7" s="5" t="s">
        <v>21</v>
      </c>
      <c r="H7" s="93" t="s">
        <v>22</v>
      </c>
      <c r="I7" s="93" t="s">
        <v>164</v>
      </c>
      <c r="J7" s="93" t="s">
        <v>22</v>
      </c>
      <c r="K7" s="93" t="s">
        <v>164</v>
      </c>
      <c r="L7" s="93" t="s">
        <v>22</v>
      </c>
      <c r="M7" s="93" t="s">
        <v>164</v>
      </c>
      <c r="N7" s="93" t="s">
        <v>22</v>
      </c>
      <c r="O7" s="93" t="s">
        <v>164</v>
      </c>
      <c r="P7" s="93" t="s">
        <v>22</v>
      </c>
      <c r="Q7" s="93" t="s">
        <v>164</v>
      </c>
      <c r="R7" s="93" t="s">
        <v>22</v>
      </c>
      <c r="S7" s="93" t="s">
        <v>164</v>
      </c>
      <c r="T7" s="93" t="s">
        <v>22</v>
      </c>
      <c r="U7" s="93" t="s">
        <v>164</v>
      </c>
      <c r="V7" s="93" t="s">
        <v>22</v>
      </c>
      <c r="W7" s="93" t="s">
        <v>164</v>
      </c>
      <c r="X7" s="93" t="s">
        <v>22</v>
      </c>
      <c r="Y7" s="93" t="s">
        <v>164</v>
      </c>
      <c r="Z7" s="93" t="s">
        <v>22</v>
      </c>
      <c r="AA7" s="93" t="s">
        <v>164</v>
      </c>
      <c r="AB7" s="93" t="s">
        <v>22</v>
      </c>
      <c r="AC7" s="93" t="s">
        <v>164</v>
      </c>
      <c r="AD7" s="93" t="s">
        <v>165</v>
      </c>
      <c r="AE7" s="93" t="s">
        <v>164</v>
      </c>
      <c r="AF7" s="1142"/>
    </row>
    <row r="8" spans="1:33" x14ac:dyDescent="0.3">
      <c r="A8" s="6">
        <v>1</v>
      </c>
      <c r="B8" s="6">
        <v>2</v>
      </c>
      <c r="C8" s="6">
        <v>3</v>
      </c>
      <c r="D8" s="6">
        <v>4</v>
      </c>
      <c r="E8" s="6">
        <v>5</v>
      </c>
      <c r="F8" s="6">
        <v>6</v>
      </c>
      <c r="G8" s="6">
        <v>7</v>
      </c>
      <c r="H8" s="6">
        <v>8</v>
      </c>
      <c r="I8" s="6">
        <v>9</v>
      </c>
      <c r="J8" s="6">
        <v>10</v>
      </c>
      <c r="K8" s="6">
        <v>11</v>
      </c>
      <c r="L8" s="6">
        <v>12</v>
      </c>
      <c r="M8" s="6">
        <v>13</v>
      </c>
      <c r="N8" s="6">
        <v>14</v>
      </c>
      <c r="O8" s="6">
        <v>15</v>
      </c>
      <c r="P8" s="6">
        <v>16</v>
      </c>
      <c r="Q8" s="6">
        <v>17</v>
      </c>
      <c r="R8" s="6">
        <v>18</v>
      </c>
      <c r="S8" s="6">
        <v>19</v>
      </c>
      <c r="T8" s="6">
        <v>20</v>
      </c>
      <c r="U8" s="6">
        <v>21</v>
      </c>
      <c r="V8" s="6">
        <v>22</v>
      </c>
      <c r="W8" s="6">
        <v>23</v>
      </c>
      <c r="X8" s="6">
        <v>24</v>
      </c>
      <c r="Y8" s="6">
        <v>25</v>
      </c>
      <c r="Z8" s="6">
        <v>26</v>
      </c>
      <c r="AA8" s="6">
        <v>27</v>
      </c>
      <c r="AB8" s="6">
        <v>28</v>
      </c>
      <c r="AC8" s="6">
        <v>29</v>
      </c>
      <c r="AD8" s="6">
        <v>30</v>
      </c>
      <c r="AE8" s="6">
        <v>31</v>
      </c>
      <c r="AF8" s="6">
        <v>32</v>
      </c>
    </row>
    <row r="9" spans="1:33" s="583" customFormat="1" ht="37.5" x14ac:dyDescent="0.3">
      <c r="A9" s="911" t="s">
        <v>317</v>
      </c>
      <c r="B9" s="424"/>
      <c r="C9" s="424"/>
      <c r="D9" s="424"/>
      <c r="E9" s="424"/>
      <c r="F9" s="424"/>
      <c r="G9" s="424"/>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row>
    <row r="10" spans="1:33" s="583" customFormat="1" x14ac:dyDescent="0.3">
      <c r="A10" s="1179" t="s">
        <v>167</v>
      </c>
      <c r="B10" s="1180"/>
      <c r="C10" s="1180"/>
      <c r="D10" s="1180"/>
      <c r="E10" s="1180"/>
      <c r="F10" s="1180"/>
      <c r="G10" s="1180"/>
      <c r="H10" s="1180"/>
      <c r="I10" s="1180"/>
      <c r="J10" s="1180"/>
      <c r="K10" s="1180"/>
      <c r="L10" s="1180"/>
      <c r="M10" s="1180"/>
      <c r="N10" s="1180"/>
      <c r="O10" s="1180"/>
      <c r="P10" s="1180"/>
      <c r="Q10" s="1180"/>
      <c r="R10" s="1180"/>
      <c r="S10" s="1180"/>
      <c r="T10" s="1180"/>
      <c r="U10" s="1180"/>
      <c r="V10" s="1180"/>
      <c r="W10" s="1180"/>
      <c r="X10" s="1180"/>
      <c r="Y10" s="1180"/>
      <c r="Z10" s="1180"/>
      <c r="AA10" s="1180"/>
      <c r="AB10" s="1180"/>
      <c r="AC10" s="1180"/>
      <c r="AD10" s="1180"/>
      <c r="AE10" s="1180"/>
      <c r="AF10" s="1181"/>
    </row>
    <row r="11" spans="1:33" s="589" customFormat="1" ht="42.75" customHeight="1" x14ac:dyDescent="0.3">
      <c r="A11" s="584" t="s">
        <v>318</v>
      </c>
      <c r="B11" s="585"/>
      <c r="C11" s="586"/>
      <c r="D11" s="586"/>
      <c r="E11" s="586"/>
      <c r="F11" s="586"/>
      <c r="G11" s="586"/>
      <c r="H11" s="586"/>
      <c r="I11" s="586"/>
      <c r="J11" s="586"/>
      <c r="K11" s="586"/>
      <c r="L11" s="586"/>
      <c r="M11" s="586"/>
      <c r="N11" s="586"/>
      <c r="O11" s="586"/>
      <c r="P11" s="586"/>
      <c r="Q11" s="586"/>
      <c r="R11" s="586"/>
      <c r="S11" s="586"/>
      <c r="T11" s="586"/>
      <c r="U11" s="586"/>
      <c r="V11" s="586"/>
      <c r="W11" s="586"/>
      <c r="X11" s="586"/>
      <c r="Y11" s="586"/>
      <c r="Z11" s="586"/>
      <c r="AA11" s="586"/>
      <c r="AB11" s="586"/>
      <c r="AC11" s="586"/>
      <c r="AD11" s="586"/>
      <c r="AE11" s="586"/>
      <c r="AF11" s="587"/>
      <c r="AG11" s="588">
        <f>B11-H11-J11-L11-N11-P11-R11-T11-V11-X11-Z11-AB11-AD11</f>
        <v>0</v>
      </c>
    </row>
    <row r="12" spans="1:33" s="589" customFormat="1" x14ac:dyDescent="0.3">
      <c r="A12" s="590" t="s">
        <v>31</v>
      </c>
      <c r="B12" s="591">
        <f>B13+B14+B15+B16</f>
        <v>0</v>
      </c>
      <c r="C12" s="591">
        <f>C13+C14+C15+C16</f>
        <v>0</v>
      </c>
      <c r="D12" s="591">
        <f>D13+D14+D15+D16</f>
        <v>0</v>
      </c>
      <c r="E12" s="591">
        <f>E13+E14+E15+E16</f>
        <v>0</v>
      </c>
      <c r="F12" s="592">
        <f>IFERROR(E12/B12*100,0)</f>
        <v>0</v>
      </c>
      <c r="G12" s="592">
        <f>IFERROR(E12/C12*100,0)</f>
        <v>0</v>
      </c>
      <c r="H12" s="591">
        <f>H13+H14+H15+H16</f>
        <v>0</v>
      </c>
      <c r="I12" s="591">
        <f t="shared" ref="I12:AE12" si="0">I13+I14+I15+I16</f>
        <v>0</v>
      </c>
      <c r="J12" s="591">
        <f t="shared" si="0"/>
        <v>0</v>
      </c>
      <c r="K12" s="591">
        <f t="shared" si="0"/>
        <v>0</v>
      </c>
      <c r="L12" s="591">
        <f t="shared" si="0"/>
        <v>0</v>
      </c>
      <c r="M12" s="591">
        <f t="shared" si="0"/>
        <v>0</v>
      </c>
      <c r="N12" s="591">
        <f t="shared" si="0"/>
        <v>0</v>
      </c>
      <c r="O12" s="591">
        <f t="shared" si="0"/>
        <v>0</v>
      </c>
      <c r="P12" s="591">
        <f t="shared" si="0"/>
        <v>0</v>
      </c>
      <c r="Q12" s="591">
        <f t="shared" si="0"/>
        <v>0</v>
      </c>
      <c r="R12" s="591">
        <f t="shared" si="0"/>
        <v>0</v>
      </c>
      <c r="S12" s="591">
        <f t="shared" si="0"/>
        <v>0</v>
      </c>
      <c r="T12" s="591">
        <f t="shared" si="0"/>
        <v>0</v>
      </c>
      <c r="U12" s="591">
        <f t="shared" si="0"/>
        <v>0</v>
      </c>
      <c r="V12" s="591">
        <f t="shared" si="0"/>
        <v>0</v>
      </c>
      <c r="W12" s="591">
        <f t="shared" si="0"/>
        <v>0</v>
      </c>
      <c r="X12" s="591">
        <f t="shared" si="0"/>
        <v>0</v>
      </c>
      <c r="Y12" s="591">
        <f t="shared" si="0"/>
        <v>0</v>
      </c>
      <c r="Z12" s="591">
        <f t="shared" si="0"/>
        <v>0</v>
      </c>
      <c r="AA12" s="591">
        <f t="shared" si="0"/>
        <v>0</v>
      </c>
      <c r="AB12" s="591">
        <f t="shared" si="0"/>
        <v>0</v>
      </c>
      <c r="AC12" s="591">
        <f t="shared" si="0"/>
        <v>0</v>
      </c>
      <c r="AD12" s="591">
        <f t="shared" si="0"/>
        <v>0</v>
      </c>
      <c r="AE12" s="591">
        <f t="shared" si="0"/>
        <v>0</v>
      </c>
      <c r="AF12" s="587"/>
      <c r="AG12" s="588">
        <f t="shared" ref="AG12:AG86" si="1">B12-H12-J12-L12-N12-P12-R12-T12-V12-X12-Z12-AB12-AD12</f>
        <v>0</v>
      </c>
    </row>
    <row r="13" spans="1:33" s="589" customFormat="1" x14ac:dyDescent="0.3">
      <c r="A13" s="593" t="s">
        <v>169</v>
      </c>
      <c r="B13" s="594">
        <f>J13+L13+N13+P13+R13+T13+V13+X13+Z13+AB13+AD13+H13</f>
        <v>0</v>
      </c>
      <c r="C13" s="594">
        <f>SUM(H13)</f>
        <v>0</v>
      </c>
      <c r="D13" s="594">
        <f>E13</f>
        <v>0</v>
      </c>
      <c r="E13" s="594">
        <f>SUM(I13,K13,M13,O13,Q13,S13,U13,W13,Y13,AA13,AC13,AE13)</f>
        <v>0</v>
      </c>
      <c r="F13" s="594">
        <f>IFERROR(E13/B13*100,0)</f>
        <v>0</v>
      </c>
      <c r="G13" s="594">
        <f>IFERROR(E13/C13*100,0)</f>
        <v>0</v>
      </c>
      <c r="H13" s="594"/>
      <c r="I13" s="594"/>
      <c r="J13" s="594"/>
      <c r="K13" s="594"/>
      <c r="L13" s="594"/>
      <c r="M13" s="594"/>
      <c r="N13" s="594"/>
      <c r="O13" s="594"/>
      <c r="P13" s="594"/>
      <c r="Q13" s="594"/>
      <c r="R13" s="594"/>
      <c r="S13" s="594"/>
      <c r="T13" s="594"/>
      <c r="U13" s="594"/>
      <c r="V13" s="594"/>
      <c r="W13" s="594"/>
      <c r="X13" s="594"/>
      <c r="Y13" s="594"/>
      <c r="Z13" s="594"/>
      <c r="AA13" s="594"/>
      <c r="AB13" s="594"/>
      <c r="AC13" s="594"/>
      <c r="AD13" s="594"/>
      <c r="AE13" s="594"/>
      <c r="AF13" s="587"/>
      <c r="AG13" s="588">
        <f t="shared" si="1"/>
        <v>0</v>
      </c>
    </row>
    <row r="14" spans="1:33" s="589" customFormat="1" x14ac:dyDescent="0.3">
      <c r="A14" s="593" t="s">
        <v>32</v>
      </c>
      <c r="B14" s="594">
        <f>J14+L14+N14+P14+R14+T14+V14+X14+Z14+AB14+AD14+H14</f>
        <v>0</v>
      </c>
      <c r="C14" s="594">
        <f>SUM(H14)</f>
        <v>0</v>
      </c>
      <c r="D14" s="594">
        <f>E14</f>
        <v>0</v>
      </c>
      <c r="E14" s="594">
        <f>SUM(I14,K14,M14,O14,Q14,S14,U14,W14,Y14,AA14,AC14,AE14)</f>
        <v>0</v>
      </c>
      <c r="F14" s="594">
        <f>IFERROR(E14/B14*100,0)</f>
        <v>0</v>
      </c>
      <c r="G14" s="594">
        <f>IFERROR(E14/C14*100,0)</f>
        <v>0</v>
      </c>
      <c r="H14" s="594"/>
      <c r="I14" s="594"/>
      <c r="J14" s="594"/>
      <c r="K14" s="594"/>
      <c r="L14" s="594"/>
      <c r="M14" s="594"/>
      <c r="N14" s="594"/>
      <c r="O14" s="594"/>
      <c r="P14" s="594"/>
      <c r="Q14" s="594"/>
      <c r="R14" s="594"/>
      <c r="S14" s="594"/>
      <c r="T14" s="594"/>
      <c r="U14" s="594"/>
      <c r="V14" s="594"/>
      <c r="W14" s="594"/>
      <c r="X14" s="594"/>
      <c r="Y14" s="594"/>
      <c r="Z14" s="594"/>
      <c r="AA14" s="594"/>
      <c r="AB14" s="594">
        <v>0</v>
      </c>
      <c r="AC14" s="594"/>
      <c r="AD14" s="594"/>
      <c r="AE14" s="594"/>
      <c r="AF14" s="587"/>
      <c r="AG14" s="588">
        <f t="shared" si="1"/>
        <v>0</v>
      </c>
    </row>
    <row r="15" spans="1:33" s="589" customFormat="1" x14ac:dyDescent="0.3">
      <c r="A15" s="593" t="s">
        <v>33</v>
      </c>
      <c r="B15" s="594">
        <f>J15+L15+N15+P15+R15+T15+V15+X15+Z15+AB15+AD15+H15</f>
        <v>0</v>
      </c>
      <c r="C15" s="594">
        <f>SUM(H15)</f>
        <v>0</v>
      </c>
      <c r="D15" s="594">
        <f>E15</f>
        <v>0</v>
      </c>
      <c r="E15" s="594">
        <f>SUM(I15,K15,M15,O15,Q15,S15,U15,W15,Y15,AA15,AC15,AE15)</f>
        <v>0</v>
      </c>
      <c r="F15" s="594">
        <f>IFERROR(E15/B15*100,0)</f>
        <v>0</v>
      </c>
      <c r="G15" s="594">
        <f>IFERROR(E15/C15*100,0)</f>
        <v>0</v>
      </c>
      <c r="H15" s="594"/>
      <c r="I15" s="594"/>
      <c r="J15" s="594"/>
      <c r="K15" s="594"/>
      <c r="L15" s="594"/>
      <c r="M15" s="594"/>
      <c r="N15" s="594"/>
      <c r="O15" s="594"/>
      <c r="P15" s="594"/>
      <c r="Q15" s="594"/>
      <c r="R15" s="594"/>
      <c r="S15" s="594"/>
      <c r="T15" s="594"/>
      <c r="U15" s="594"/>
      <c r="V15" s="594"/>
      <c r="W15" s="594"/>
      <c r="X15" s="594"/>
      <c r="Y15" s="594"/>
      <c r="Z15" s="594"/>
      <c r="AA15" s="594"/>
      <c r="AB15" s="594"/>
      <c r="AC15" s="594"/>
      <c r="AD15" s="594"/>
      <c r="AE15" s="594"/>
      <c r="AF15" s="587"/>
      <c r="AG15" s="588">
        <f t="shared" si="1"/>
        <v>0</v>
      </c>
    </row>
    <row r="16" spans="1:33" s="589" customFormat="1" x14ac:dyDescent="0.3">
      <c r="A16" s="593" t="s">
        <v>170</v>
      </c>
      <c r="B16" s="594">
        <f>J16+L16+N16+P16+R16+T16+V16+X16+Z16+AB16+AD16+H16</f>
        <v>0</v>
      </c>
      <c r="C16" s="594">
        <f>SUM(H16)</f>
        <v>0</v>
      </c>
      <c r="D16" s="594">
        <f>E16</f>
        <v>0</v>
      </c>
      <c r="E16" s="594">
        <f>SUM(I16,K16,M16,O16,Q16,S16,U16,W16,Y16,AA16,AC16,AE16)</f>
        <v>0</v>
      </c>
      <c r="F16" s="594">
        <f>IFERROR(E16/B16*100,0)</f>
        <v>0</v>
      </c>
      <c r="G16" s="594">
        <f>IFERROR(E16/C16*100,0)</f>
        <v>0</v>
      </c>
      <c r="H16" s="594"/>
      <c r="I16" s="594"/>
      <c r="J16" s="594"/>
      <c r="K16" s="594"/>
      <c r="L16" s="594"/>
      <c r="M16" s="594"/>
      <c r="N16" s="594"/>
      <c r="O16" s="594"/>
      <c r="P16" s="594"/>
      <c r="Q16" s="594"/>
      <c r="R16" s="594"/>
      <c r="S16" s="594"/>
      <c r="T16" s="594"/>
      <c r="U16" s="594"/>
      <c r="V16" s="594"/>
      <c r="W16" s="594"/>
      <c r="X16" s="594"/>
      <c r="Y16" s="594"/>
      <c r="Z16" s="594"/>
      <c r="AA16" s="594"/>
      <c r="AB16" s="594"/>
      <c r="AC16" s="594"/>
      <c r="AD16" s="594"/>
      <c r="AE16" s="594"/>
      <c r="AF16" s="587"/>
      <c r="AG16" s="588">
        <f t="shared" si="1"/>
        <v>0</v>
      </c>
    </row>
    <row r="17" spans="1:33" s="589" customFormat="1" ht="82.5" customHeight="1" x14ac:dyDescent="0.3">
      <c r="A17" s="584" t="s">
        <v>319</v>
      </c>
      <c r="B17" s="585"/>
      <c r="C17" s="586"/>
      <c r="D17" s="586"/>
      <c r="E17" s="586"/>
      <c r="F17" s="586"/>
      <c r="G17" s="586"/>
      <c r="H17" s="586"/>
      <c r="I17" s="586"/>
      <c r="J17" s="586"/>
      <c r="K17" s="586"/>
      <c r="L17" s="586"/>
      <c r="M17" s="586"/>
      <c r="N17" s="586"/>
      <c r="O17" s="586"/>
      <c r="P17" s="586"/>
      <c r="Q17" s="586"/>
      <c r="R17" s="586"/>
      <c r="S17" s="586"/>
      <c r="T17" s="586"/>
      <c r="U17" s="586"/>
      <c r="V17" s="586"/>
      <c r="W17" s="586"/>
      <c r="X17" s="586"/>
      <c r="Y17" s="586"/>
      <c r="Z17" s="586"/>
      <c r="AA17" s="586"/>
      <c r="AB17" s="586"/>
      <c r="AC17" s="586"/>
      <c r="AD17" s="586"/>
      <c r="AE17" s="586"/>
      <c r="AF17" s="587"/>
      <c r="AG17" s="588">
        <f t="shared" ref="AG17:AG22" si="2">B17-H17-J17-L17-N17-P17-R17-T17-V17-X17-Z17-AB17-AD17</f>
        <v>0</v>
      </c>
    </row>
    <row r="18" spans="1:33" s="589" customFormat="1" x14ac:dyDescent="0.3">
      <c r="A18" s="590" t="s">
        <v>31</v>
      </c>
      <c r="B18" s="591">
        <f>B19+B20+B21+B22</f>
        <v>0</v>
      </c>
      <c r="C18" s="591">
        <f>C19+C20+C21+C22</f>
        <v>0</v>
      </c>
      <c r="D18" s="591">
        <f>D19+D20+D21+D22</f>
        <v>0</v>
      </c>
      <c r="E18" s="591">
        <f>E19+E20+E21+E22</f>
        <v>0</v>
      </c>
      <c r="F18" s="592">
        <f>IFERROR(E18/B18*100,0)</f>
        <v>0</v>
      </c>
      <c r="G18" s="592">
        <f>IFERROR(E18/C18*100,0)</f>
        <v>0</v>
      </c>
      <c r="H18" s="591">
        <f>H19+H20+H21+H22</f>
        <v>0</v>
      </c>
      <c r="I18" s="591">
        <f t="shared" ref="I18:AE18" si="3">I19+I20+I21+I22</f>
        <v>0</v>
      </c>
      <c r="J18" s="591">
        <f t="shared" si="3"/>
        <v>0</v>
      </c>
      <c r="K18" s="591">
        <f t="shared" si="3"/>
        <v>0</v>
      </c>
      <c r="L18" s="591">
        <f t="shared" si="3"/>
        <v>0</v>
      </c>
      <c r="M18" s="591">
        <f t="shared" si="3"/>
        <v>0</v>
      </c>
      <c r="N18" s="591">
        <f t="shared" si="3"/>
        <v>0</v>
      </c>
      <c r="O18" s="591">
        <f t="shared" si="3"/>
        <v>0</v>
      </c>
      <c r="P18" s="591">
        <f t="shared" si="3"/>
        <v>0</v>
      </c>
      <c r="Q18" s="591">
        <f t="shared" si="3"/>
        <v>0</v>
      </c>
      <c r="R18" s="591">
        <f t="shared" si="3"/>
        <v>0</v>
      </c>
      <c r="S18" s="591">
        <f t="shared" si="3"/>
        <v>0</v>
      </c>
      <c r="T18" s="591">
        <f t="shared" si="3"/>
        <v>0</v>
      </c>
      <c r="U18" s="591">
        <f t="shared" si="3"/>
        <v>0</v>
      </c>
      <c r="V18" s="591">
        <f t="shared" si="3"/>
        <v>0</v>
      </c>
      <c r="W18" s="591">
        <f t="shared" si="3"/>
        <v>0</v>
      </c>
      <c r="X18" s="591">
        <f t="shared" si="3"/>
        <v>0</v>
      </c>
      <c r="Y18" s="591">
        <f t="shared" si="3"/>
        <v>0</v>
      </c>
      <c r="Z18" s="591">
        <f t="shared" si="3"/>
        <v>0</v>
      </c>
      <c r="AA18" s="591">
        <f t="shared" si="3"/>
        <v>0</v>
      </c>
      <c r="AB18" s="591">
        <f t="shared" si="3"/>
        <v>0</v>
      </c>
      <c r="AC18" s="591">
        <f t="shared" si="3"/>
        <v>0</v>
      </c>
      <c r="AD18" s="591">
        <f t="shared" si="3"/>
        <v>0</v>
      </c>
      <c r="AE18" s="591">
        <f t="shared" si="3"/>
        <v>0</v>
      </c>
      <c r="AF18" s="587"/>
      <c r="AG18" s="588">
        <f t="shared" si="2"/>
        <v>0</v>
      </c>
    </row>
    <row r="19" spans="1:33" s="589" customFormat="1" x14ac:dyDescent="0.3">
      <c r="A19" s="593" t="s">
        <v>169</v>
      </c>
      <c r="B19" s="594">
        <f>J19+L19+N19+P19+R19+T19+V19+X19+Z19+AB19+AD19+H19</f>
        <v>0</v>
      </c>
      <c r="C19" s="594">
        <f>SUM(H19)</f>
        <v>0</v>
      </c>
      <c r="D19" s="594">
        <f>E19</f>
        <v>0</v>
      </c>
      <c r="E19" s="594">
        <f>SUM(I19,K19,M19,O19,Q19,S19,U19,W19,Y19,AA19,AC19,AE19)</f>
        <v>0</v>
      </c>
      <c r="F19" s="594">
        <f>IFERROR(E19/B19*100,0)</f>
        <v>0</v>
      </c>
      <c r="G19" s="594">
        <f>IFERROR(E19/C19*100,0)</f>
        <v>0</v>
      </c>
      <c r="H19" s="594"/>
      <c r="I19" s="594"/>
      <c r="J19" s="594"/>
      <c r="K19" s="594"/>
      <c r="L19" s="594"/>
      <c r="M19" s="594"/>
      <c r="N19" s="594"/>
      <c r="O19" s="594"/>
      <c r="P19" s="594"/>
      <c r="Q19" s="594"/>
      <c r="R19" s="594"/>
      <c r="S19" s="594"/>
      <c r="T19" s="594"/>
      <c r="U19" s="594"/>
      <c r="V19" s="594"/>
      <c r="W19" s="594"/>
      <c r="X19" s="594"/>
      <c r="Y19" s="594"/>
      <c r="Z19" s="594"/>
      <c r="AA19" s="594"/>
      <c r="AB19" s="594"/>
      <c r="AC19" s="594"/>
      <c r="AD19" s="594"/>
      <c r="AE19" s="594"/>
      <c r="AF19" s="587"/>
      <c r="AG19" s="588">
        <f t="shared" si="2"/>
        <v>0</v>
      </c>
    </row>
    <row r="20" spans="1:33" s="589" customFormat="1" x14ac:dyDescent="0.3">
      <c r="A20" s="593" t="s">
        <v>32</v>
      </c>
      <c r="B20" s="594">
        <f>J20+L20+N20+P20+R20+T20+V20+X20+Z20+AB20+AD20+H20</f>
        <v>0</v>
      </c>
      <c r="C20" s="594">
        <f>SUM(H20)</f>
        <v>0</v>
      </c>
      <c r="D20" s="594">
        <f>E20</f>
        <v>0</v>
      </c>
      <c r="E20" s="594">
        <f>SUM(I20,K20,M20,O20,Q20,S20,U20,W20,Y20,AA20,AC20,AE20)</f>
        <v>0</v>
      </c>
      <c r="F20" s="594">
        <f>IFERROR(E20/B20*100,0)</f>
        <v>0</v>
      </c>
      <c r="G20" s="594">
        <f>IFERROR(E20/C20*100,0)</f>
        <v>0</v>
      </c>
      <c r="H20" s="594"/>
      <c r="I20" s="594"/>
      <c r="J20" s="594"/>
      <c r="K20" s="594"/>
      <c r="L20" s="594"/>
      <c r="M20" s="594"/>
      <c r="N20" s="594"/>
      <c r="O20" s="594"/>
      <c r="P20" s="594"/>
      <c r="Q20" s="594"/>
      <c r="R20" s="594"/>
      <c r="S20" s="594"/>
      <c r="T20" s="594"/>
      <c r="U20" s="594"/>
      <c r="V20" s="594"/>
      <c r="W20" s="594"/>
      <c r="X20" s="594"/>
      <c r="Y20" s="594"/>
      <c r="Z20" s="594"/>
      <c r="AA20" s="594"/>
      <c r="AB20" s="594"/>
      <c r="AC20" s="594"/>
      <c r="AD20" s="594"/>
      <c r="AE20" s="594"/>
      <c r="AF20" s="587"/>
      <c r="AG20" s="588">
        <f t="shared" si="2"/>
        <v>0</v>
      </c>
    </row>
    <row r="21" spans="1:33" s="589" customFormat="1" x14ac:dyDescent="0.3">
      <c r="A21" s="593" t="s">
        <v>33</v>
      </c>
      <c r="B21" s="594">
        <f>J21+L21+N21+P21+R21+T21+V21+X21+Z21+AB21+AD21+H21</f>
        <v>0</v>
      </c>
      <c r="C21" s="594">
        <f>SUM(H21)</f>
        <v>0</v>
      </c>
      <c r="D21" s="594">
        <f>E21</f>
        <v>0</v>
      </c>
      <c r="E21" s="594">
        <f>SUM(I21,K21,M21,O21,Q21,S21,U21,W21,Y21,AA21,AC21,AE21)</f>
        <v>0</v>
      </c>
      <c r="F21" s="594">
        <f>IFERROR(E21/B21*100,0)</f>
        <v>0</v>
      </c>
      <c r="G21" s="594">
        <f>IFERROR(E21/C21*100,0)</f>
        <v>0</v>
      </c>
      <c r="H21" s="594"/>
      <c r="I21" s="594"/>
      <c r="J21" s="594"/>
      <c r="K21" s="594"/>
      <c r="L21" s="594">
        <v>0</v>
      </c>
      <c r="M21" s="594"/>
      <c r="N21" s="594"/>
      <c r="O21" s="594"/>
      <c r="P21" s="594"/>
      <c r="Q21" s="594"/>
      <c r="R21" s="594"/>
      <c r="S21" s="594"/>
      <c r="T21" s="594"/>
      <c r="U21" s="594"/>
      <c r="V21" s="594"/>
      <c r="W21" s="594"/>
      <c r="X21" s="594"/>
      <c r="Y21" s="594"/>
      <c r="Z21" s="594"/>
      <c r="AA21" s="594"/>
      <c r="AB21" s="594">
        <v>0</v>
      </c>
      <c r="AC21" s="594"/>
      <c r="AD21" s="594">
        <v>0</v>
      </c>
      <c r="AE21" s="594"/>
      <c r="AF21" s="587"/>
      <c r="AG21" s="588">
        <f t="shared" si="2"/>
        <v>0</v>
      </c>
    </row>
    <row r="22" spans="1:33" s="589" customFormat="1" x14ac:dyDescent="0.3">
      <c r="A22" s="593" t="s">
        <v>170</v>
      </c>
      <c r="B22" s="594">
        <f>J22+L22+N22+P22+R22+T22+V22+X22+Z22+AB22+AD22+H22</f>
        <v>0</v>
      </c>
      <c r="C22" s="594">
        <f>SUM(H22)</f>
        <v>0</v>
      </c>
      <c r="D22" s="594">
        <f>E22</f>
        <v>0</v>
      </c>
      <c r="E22" s="594">
        <f>SUM(I22,K22,M22,O22,Q22,S22,U22,W22,Y22,AA22,AC22,AE22)</f>
        <v>0</v>
      </c>
      <c r="F22" s="594">
        <f>IFERROR(E22/B22*100,0)</f>
        <v>0</v>
      </c>
      <c r="G22" s="594">
        <f>IFERROR(E22/C22*100,0)</f>
        <v>0</v>
      </c>
      <c r="H22" s="594"/>
      <c r="I22" s="594"/>
      <c r="J22" s="594"/>
      <c r="K22" s="594"/>
      <c r="L22" s="594"/>
      <c r="M22" s="594"/>
      <c r="N22" s="594"/>
      <c r="O22" s="594"/>
      <c r="P22" s="594"/>
      <c r="Q22" s="594"/>
      <c r="R22" s="594"/>
      <c r="S22" s="594"/>
      <c r="T22" s="594"/>
      <c r="U22" s="594"/>
      <c r="V22" s="594"/>
      <c r="W22" s="594"/>
      <c r="X22" s="594"/>
      <c r="Y22" s="594"/>
      <c r="Z22" s="594"/>
      <c r="AA22" s="594"/>
      <c r="AB22" s="594"/>
      <c r="AC22" s="594"/>
      <c r="AD22" s="594"/>
      <c r="AE22" s="594"/>
      <c r="AF22" s="587"/>
      <c r="AG22" s="588">
        <f t="shared" si="2"/>
        <v>0</v>
      </c>
    </row>
    <row r="23" spans="1:33" s="583" customFormat="1" x14ac:dyDescent="0.3">
      <c r="A23" s="1179" t="s">
        <v>54</v>
      </c>
      <c r="B23" s="1180"/>
      <c r="C23" s="1180"/>
      <c r="D23" s="1180"/>
      <c r="E23" s="1180"/>
      <c r="F23" s="1180"/>
      <c r="G23" s="1180"/>
      <c r="H23" s="1180"/>
      <c r="I23" s="1180"/>
      <c r="J23" s="1180"/>
      <c r="K23" s="1180"/>
      <c r="L23" s="1180"/>
      <c r="M23" s="1180"/>
      <c r="N23" s="1180"/>
      <c r="O23" s="1180"/>
      <c r="P23" s="1180"/>
      <c r="Q23" s="1180"/>
      <c r="R23" s="1180"/>
      <c r="S23" s="1180"/>
      <c r="T23" s="1180"/>
      <c r="U23" s="1180"/>
      <c r="V23" s="1180"/>
      <c r="W23" s="1180"/>
      <c r="X23" s="1180"/>
      <c r="Y23" s="1180"/>
      <c r="Z23" s="1180"/>
      <c r="AA23" s="1180"/>
      <c r="AB23" s="1180"/>
      <c r="AC23" s="1180"/>
      <c r="AD23" s="1180"/>
      <c r="AE23" s="1180"/>
      <c r="AF23" s="1181"/>
      <c r="AG23" s="588">
        <f t="shared" si="1"/>
        <v>0</v>
      </c>
    </row>
    <row r="24" spans="1:33" s="814" customFormat="1" ht="39.75" customHeight="1" x14ac:dyDescent="0.3">
      <c r="A24" s="954" t="s">
        <v>320</v>
      </c>
      <c r="B24" s="810"/>
      <c r="C24" s="811"/>
      <c r="D24" s="811"/>
      <c r="E24" s="811"/>
      <c r="F24" s="811"/>
      <c r="G24" s="811"/>
      <c r="H24" s="810"/>
      <c r="I24" s="810"/>
      <c r="J24" s="810"/>
      <c r="K24" s="810"/>
      <c r="L24" s="810"/>
      <c r="M24" s="810"/>
      <c r="N24" s="810"/>
      <c r="O24" s="810"/>
      <c r="P24" s="810"/>
      <c r="Q24" s="810"/>
      <c r="R24" s="810"/>
      <c r="S24" s="810"/>
      <c r="T24" s="810"/>
      <c r="U24" s="810"/>
      <c r="V24" s="810"/>
      <c r="W24" s="810"/>
      <c r="X24" s="810"/>
      <c r="Y24" s="810"/>
      <c r="Z24" s="810"/>
      <c r="AA24" s="810"/>
      <c r="AB24" s="810"/>
      <c r="AC24" s="810"/>
      <c r="AD24" s="810"/>
      <c r="AE24" s="810"/>
      <c r="AF24" s="812"/>
      <c r="AG24" s="813">
        <f t="shared" si="1"/>
        <v>0</v>
      </c>
    </row>
    <row r="25" spans="1:33" s="814" customFormat="1" x14ac:dyDescent="0.3">
      <c r="A25" s="815" t="s">
        <v>31</v>
      </c>
      <c r="B25" s="816">
        <f>B26+B27+B28+B30</f>
        <v>7926.2100000000009</v>
      </c>
      <c r="C25" s="816">
        <f>C26+C27+C28+C30</f>
        <v>7926.2100000000009</v>
      </c>
      <c r="D25" s="816">
        <f>D26+D27+D28+D30</f>
        <v>1595.9099999999999</v>
      </c>
      <c r="E25" s="816">
        <f>E26+E27+E28+E30</f>
        <v>1595.9099999999999</v>
      </c>
      <c r="F25" s="817">
        <f t="shared" ref="F25:F30" si="4">IFERROR(E25/B25*100,0)</f>
        <v>20.134591437774166</v>
      </c>
      <c r="G25" s="817">
        <f>IFERROR(E25/C25*100,0)</f>
        <v>20.134591437774166</v>
      </c>
      <c r="H25" s="816">
        <f>H26+H27+H28+H30</f>
        <v>0</v>
      </c>
      <c r="I25" s="816">
        <f t="shared" ref="I25:AE25" si="5">I26+I27+I28+I30</f>
        <v>0</v>
      </c>
      <c r="J25" s="816">
        <f t="shared" si="5"/>
        <v>0</v>
      </c>
      <c r="K25" s="816">
        <f t="shared" si="5"/>
        <v>0</v>
      </c>
      <c r="L25" s="816">
        <f t="shared" si="5"/>
        <v>765</v>
      </c>
      <c r="M25" s="816">
        <f t="shared" si="5"/>
        <v>0</v>
      </c>
      <c r="N25" s="816">
        <f t="shared" si="5"/>
        <v>0</v>
      </c>
      <c r="O25" s="816">
        <f t="shared" si="5"/>
        <v>0</v>
      </c>
      <c r="P25" s="816">
        <f t="shared" si="5"/>
        <v>0</v>
      </c>
      <c r="Q25" s="816">
        <f t="shared" si="5"/>
        <v>0</v>
      </c>
      <c r="R25" s="816">
        <f t="shared" si="5"/>
        <v>0</v>
      </c>
      <c r="S25" s="816">
        <f t="shared" si="5"/>
        <v>0</v>
      </c>
      <c r="T25" s="816">
        <f t="shared" si="5"/>
        <v>0</v>
      </c>
      <c r="U25" s="816">
        <f t="shared" si="5"/>
        <v>0</v>
      </c>
      <c r="V25" s="816">
        <f t="shared" si="5"/>
        <v>0</v>
      </c>
      <c r="W25" s="816">
        <f t="shared" si="5"/>
        <v>0</v>
      </c>
      <c r="X25" s="816">
        <f t="shared" si="5"/>
        <v>1595.95</v>
      </c>
      <c r="Y25" s="816">
        <f t="shared" si="5"/>
        <v>0</v>
      </c>
      <c r="Z25" s="816">
        <f t="shared" si="5"/>
        <v>1379.45</v>
      </c>
      <c r="AA25" s="816">
        <f t="shared" si="5"/>
        <v>1595.9099999999999</v>
      </c>
      <c r="AB25" s="816">
        <f t="shared" si="5"/>
        <v>3235.81</v>
      </c>
      <c r="AC25" s="816">
        <f t="shared" si="5"/>
        <v>0</v>
      </c>
      <c r="AD25" s="816">
        <f t="shared" si="5"/>
        <v>950</v>
      </c>
      <c r="AE25" s="816">
        <f t="shared" si="5"/>
        <v>0</v>
      </c>
      <c r="AF25" s="812"/>
      <c r="AG25" s="813">
        <f t="shared" si="1"/>
        <v>1.3642420526593924E-12</v>
      </c>
    </row>
    <row r="26" spans="1:33" s="814" customFormat="1" x14ac:dyDescent="0.3">
      <c r="A26" s="818" t="s">
        <v>169</v>
      </c>
      <c r="B26" s="819">
        <f>J26+L26+N26+P26+R26+T26+V26+X26+Z26+AB26+AD26+H26</f>
        <v>0</v>
      </c>
      <c r="C26" s="819">
        <f>H26+J26+L26+N26+P26+R26+T26+V26+X26+Z26+AB26+AD26</f>
        <v>0</v>
      </c>
      <c r="D26" s="819">
        <f>E26</f>
        <v>0</v>
      </c>
      <c r="E26" s="819">
        <f>SUM(I26,K26,M26,O26,Q26,S26,U26,W26,Y26,AA26,AC26,AE26)</f>
        <v>0</v>
      </c>
      <c r="F26" s="819">
        <f t="shared" si="4"/>
        <v>0</v>
      </c>
      <c r="G26" s="819">
        <f t="shared" ref="G26:G30" si="6">IFERROR(E26/C26*100,0)</f>
        <v>0</v>
      </c>
      <c r="H26" s="819"/>
      <c r="I26" s="819"/>
      <c r="J26" s="819"/>
      <c r="K26" s="819"/>
      <c r="L26" s="819"/>
      <c r="M26" s="819"/>
      <c r="N26" s="819"/>
      <c r="O26" s="819"/>
      <c r="P26" s="819"/>
      <c r="Q26" s="819"/>
      <c r="R26" s="819"/>
      <c r="S26" s="819"/>
      <c r="T26" s="819"/>
      <c r="U26" s="819"/>
      <c r="V26" s="819"/>
      <c r="W26" s="819"/>
      <c r="X26" s="819"/>
      <c r="Y26" s="819"/>
      <c r="Z26" s="819"/>
      <c r="AA26" s="819"/>
      <c r="AB26" s="819"/>
      <c r="AC26" s="819"/>
      <c r="AD26" s="819"/>
      <c r="AE26" s="819"/>
      <c r="AF26" s="812"/>
      <c r="AG26" s="813">
        <f t="shared" si="1"/>
        <v>0</v>
      </c>
    </row>
    <row r="27" spans="1:33" s="814" customFormat="1" x14ac:dyDescent="0.3">
      <c r="A27" s="818" t="s">
        <v>32</v>
      </c>
      <c r="B27" s="819">
        <f>J27+L27+N27+P27+R27+T27+V27+X27+Z27+AB27+AD27+H27</f>
        <v>5652.2000000000007</v>
      </c>
      <c r="C27" s="819">
        <f t="shared" ref="C27:C30" si="7">H27+J27+L27+N27+P27+R27+T27+V27+X27+Z27+AB27+AD27</f>
        <v>5652.2000000000007</v>
      </c>
      <c r="D27" s="819">
        <f>E27</f>
        <v>1452.28</v>
      </c>
      <c r="E27" s="819">
        <f>SUM(I27,K27,M27,O27,Q27,S27,U27,W27,Y27,AA27,AC27,AE27)</f>
        <v>1452.28</v>
      </c>
      <c r="F27" s="819">
        <f t="shared" si="4"/>
        <v>25.694066027387564</v>
      </c>
      <c r="G27" s="819">
        <f t="shared" si="6"/>
        <v>25.694066027387564</v>
      </c>
      <c r="H27" s="819"/>
      <c r="I27" s="819"/>
      <c r="J27" s="819"/>
      <c r="K27" s="819"/>
      <c r="L27" s="819"/>
      <c r="M27" s="819"/>
      <c r="N27" s="819"/>
      <c r="O27" s="819"/>
      <c r="P27" s="819"/>
      <c r="Q27" s="819"/>
      <c r="R27" s="819"/>
      <c r="S27" s="819"/>
      <c r="T27" s="819"/>
      <c r="U27" s="819"/>
      <c r="V27" s="819"/>
      <c r="W27" s="819"/>
      <c r="X27" s="819">
        <v>1452.3</v>
      </c>
      <c r="Y27" s="819"/>
      <c r="Z27" s="819">
        <v>1245.75</v>
      </c>
      <c r="AA27" s="819">
        <v>1452.28</v>
      </c>
      <c r="AB27" s="819">
        <v>2954.15</v>
      </c>
      <c r="AC27" s="819"/>
      <c r="AD27" s="819"/>
      <c r="AE27" s="819"/>
      <c r="AF27" s="812"/>
      <c r="AG27" s="813">
        <f t="shared" si="1"/>
        <v>4.5474735088646412E-13</v>
      </c>
    </row>
    <row r="28" spans="1:33" s="814" customFormat="1" x14ac:dyDescent="0.3">
      <c r="A28" s="818" t="s">
        <v>33</v>
      </c>
      <c r="B28" s="819">
        <f>J28+L28+N28+P28+R28+T28+V28+X28+Z28+AB28+AD28+H28</f>
        <v>559.01</v>
      </c>
      <c r="C28" s="819">
        <f t="shared" si="7"/>
        <v>559.01</v>
      </c>
      <c r="D28" s="819">
        <f>E28</f>
        <v>143.63</v>
      </c>
      <c r="E28" s="819">
        <f>SUM(I28,K28,M28,O28,Q28,S28,U28,W28,Y28,AA28,AC28,AE28)</f>
        <v>143.63</v>
      </c>
      <c r="F28" s="819">
        <f t="shared" si="4"/>
        <v>25.693636965349459</v>
      </c>
      <c r="G28" s="819">
        <f t="shared" si="6"/>
        <v>25.693636965349459</v>
      </c>
      <c r="H28" s="819"/>
      <c r="I28" s="819"/>
      <c r="J28" s="819"/>
      <c r="K28" s="819"/>
      <c r="L28" s="819"/>
      <c r="M28" s="819"/>
      <c r="N28" s="819"/>
      <c r="O28" s="819"/>
      <c r="P28" s="819"/>
      <c r="Q28" s="819"/>
      <c r="R28" s="819"/>
      <c r="S28" s="819"/>
      <c r="T28" s="819"/>
      <c r="U28" s="819"/>
      <c r="V28" s="819"/>
      <c r="W28" s="819"/>
      <c r="X28" s="819">
        <v>143.65</v>
      </c>
      <c r="Y28" s="819"/>
      <c r="Z28" s="819">
        <v>133.69999999999999</v>
      </c>
      <c r="AA28" s="819">
        <v>143.63</v>
      </c>
      <c r="AB28" s="819">
        <v>281.66000000000003</v>
      </c>
      <c r="AC28" s="819"/>
      <c r="AD28" s="819"/>
      <c r="AE28" s="819"/>
      <c r="AF28" s="812"/>
      <c r="AG28" s="813">
        <f t="shared" si="1"/>
        <v>0</v>
      </c>
    </row>
    <row r="29" spans="1:33" s="814" customFormat="1" ht="37.5" x14ac:dyDescent="0.3">
      <c r="A29" s="820" t="s">
        <v>174</v>
      </c>
      <c r="B29" s="819">
        <f>J29+L29+N29+P29+R29+T29+V29+X29+Z29+AB29+AD29+H29</f>
        <v>0</v>
      </c>
      <c r="C29" s="819">
        <f t="shared" si="7"/>
        <v>0</v>
      </c>
      <c r="D29" s="819">
        <f>E29</f>
        <v>0</v>
      </c>
      <c r="E29" s="819">
        <f>SUM(I29,K29,M29,O29,Q29,S29,U29,W29,Y29,AA29,AC29,AE29)</f>
        <v>0</v>
      </c>
      <c r="F29" s="819">
        <f t="shared" si="4"/>
        <v>0</v>
      </c>
      <c r="G29" s="819">
        <f t="shared" si="6"/>
        <v>0</v>
      </c>
      <c r="H29" s="819"/>
      <c r="I29" s="819"/>
      <c r="J29" s="819"/>
      <c r="K29" s="819"/>
      <c r="L29" s="819"/>
      <c r="M29" s="819"/>
      <c r="N29" s="819"/>
      <c r="O29" s="819"/>
      <c r="P29" s="819"/>
      <c r="Q29" s="819"/>
      <c r="R29" s="819"/>
      <c r="S29" s="819"/>
      <c r="T29" s="819"/>
      <c r="U29" s="819"/>
      <c r="V29" s="819"/>
      <c r="W29" s="819"/>
      <c r="X29" s="819"/>
      <c r="Y29" s="819"/>
      <c r="Z29" s="819"/>
      <c r="AA29" s="819"/>
      <c r="AB29" s="819"/>
      <c r="AC29" s="819"/>
      <c r="AD29" s="819"/>
      <c r="AE29" s="819"/>
      <c r="AF29" s="812"/>
      <c r="AG29" s="813"/>
    </row>
    <row r="30" spans="1:33" s="814" customFormat="1" ht="22.5" customHeight="1" x14ac:dyDescent="0.3">
      <c r="A30" s="818" t="s">
        <v>170</v>
      </c>
      <c r="B30" s="819">
        <f>J30+L30+N30+P30+R30+T30+V30+X30+Z30+AB30+AD30+H30</f>
        <v>1715</v>
      </c>
      <c r="C30" s="819">
        <f t="shared" si="7"/>
        <v>1715</v>
      </c>
      <c r="D30" s="819">
        <f>E30</f>
        <v>0</v>
      </c>
      <c r="E30" s="819">
        <f>SUM(I30,K30,M30,O30,Q30,S30,U30,W30,Y30,AA30,AC30,AE30)</f>
        <v>0</v>
      </c>
      <c r="F30" s="819">
        <f t="shared" si="4"/>
        <v>0</v>
      </c>
      <c r="G30" s="819">
        <f t="shared" si="6"/>
        <v>0</v>
      </c>
      <c r="H30" s="819"/>
      <c r="I30" s="819"/>
      <c r="J30" s="819"/>
      <c r="K30" s="819"/>
      <c r="L30" s="819">
        <v>765</v>
      </c>
      <c r="M30" s="819">
        <v>0</v>
      </c>
      <c r="N30" s="819"/>
      <c r="O30" s="819"/>
      <c r="P30" s="819"/>
      <c r="Q30" s="819"/>
      <c r="R30" s="819"/>
      <c r="S30" s="819"/>
      <c r="T30" s="819"/>
      <c r="U30" s="819"/>
      <c r="V30" s="819"/>
      <c r="W30" s="819"/>
      <c r="X30" s="819"/>
      <c r="Y30" s="819"/>
      <c r="Z30" s="819"/>
      <c r="AA30" s="819"/>
      <c r="AB30" s="819"/>
      <c r="AC30" s="819"/>
      <c r="AD30" s="819">
        <v>950</v>
      </c>
      <c r="AE30" s="819"/>
      <c r="AF30" s="812"/>
      <c r="AG30" s="813">
        <f t="shared" si="1"/>
        <v>0</v>
      </c>
    </row>
    <row r="31" spans="1:33" s="589" customFormat="1" ht="63.75" customHeight="1" x14ac:dyDescent="0.3">
      <c r="A31" s="596" t="s">
        <v>321</v>
      </c>
      <c r="B31" s="591"/>
      <c r="C31" s="597"/>
      <c r="D31" s="597"/>
      <c r="E31" s="597"/>
      <c r="F31" s="597"/>
      <c r="G31" s="597"/>
      <c r="H31" s="597"/>
      <c r="I31" s="597"/>
      <c r="J31" s="597"/>
      <c r="K31" s="597"/>
      <c r="L31" s="597"/>
      <c r="M31" s="597"/>
      <c r="N31" s="597"/>
      <c r="O31" s="597"/>
      <c r="P31" s="597"/>
      <c r="Q31" s="597"/>
      <c r="R31" s="597"/>
      <c r="S31" s="597"/>
      <c r="T31" s="597"/>
      <c r="U31" s="597"/>
      <c r="V31" s="597"/>
      <c r="W31" s="597"/>
      <c r="X31" s="597"/>
      <c r="Y31" s="597"/>
      <c r="Z31" s="597"/>
      <c r="AA31" s="597"/>
      <c r="AB31" s="597"/>
      <c r="AC31" s="597"/>
      <c r="AD31" s="597"/>
      <c r="AE31" s="597"/>
      <c r="AF31" s="915"/>
      <c r="AG31" s="588">
        <f t="shared" si="1"/>
        <v>0</v>
      </c>
    </row>
    <row r="32" spans="1:33" s="589" customFormat="1" x14ac:dyDescent="0.3">
      <c r="A32" s="590" t="s">
        <v>31</v>
      </c>
      <c r="B32" s="591">
        <f>B33+B34+B35</f>
        <v>34383</v>
      </c>
      <c r="C32" s="591">
        <f>C33+C34+C35</f>
        <v>34383</v>
      </c>
      <c r="D32" s="591">
        <f>D33+D34+D35</f>
        <v>13840.3</v>
      </c>
      <c r="E32" s="591">
        <f>E33+E34+E35</f>
        <v>13840.3</v>
      </c>
      <c r="F32" s="592">
        <f t="shared" ref="F32:F37" si="8">IFERROR(E32/B32*100,0)</f>
        <v>40.253322863042776</v>
      </c>
      <c r="G32" s="592">
        <f t="shared" ref="G32:G37" si="9">IFERROR(E32/C32*100,0)</f>
        <v>40.253322863042776</v>
      </c>
      <c r="H32" s="591">
        <f t="shared" ref="H32:AE32" si="10">H33+H34+H35</f>
        <v>4676.5</v>
      </c>
      <c r="I32" s="591">
        <f t="shared" si="10"/>
        <v>420.84</v>
      </c>
      <c r="J32" s="591">
        <f t="shared" si="10"/>
        <v>5487</v>
      </c>
      <c r="K32" s="591">
        <f t="shared" si="10"/>
        <v>9742.16</v>
      </c>
      <c r="L32" s="591">
        <f t="shared" si="10"/>
        <v>3626</v>
      </c>
      <c r="M32" s="591">
        <f t="shared" si="10"/>
        <v>326.33999999999997</v>
      </c>
      <c r="N32" s="591">
        <f t="shared" si="10"/>
        <v>570</v>
      </c>
      <c r="O32" s="591">
        <f t="shared" si="10"/>
        <v>3350.96</v>
      </c>
      <c r="P32" s="591">
        <f t="shared" si="10"/>
        <v>0</v>
      </c>
      <c r="Q32" s="591">
        <f t="shared" si="10"/>
        <v>0</v>
      </c>
      <c r="R32" s="591">
        <f t="shared" si="10"/>
        <v>0</v>
      </c>
      <c r="S32" s="591">
        <f t="shared" si="10"/>
        <v>0</v>
      </c>
      <c r="T32" s="591">
        <f t="shared" si="10"/>
        <v>0</v>
      </c>
      <c r="U32" s="591">
        <f t="shared" si="10"/>
        <v>0</v>
      </c>
      <c r="V32" s="591">
        <f t="shared" si="10"/>
        <v>0</v>
      </c>
      <c r="W32" s="591">
        <f t="shared" si="10"/>
        <v>0</v>
      </c>
      <c r="X32" s="591">
        <f t="shared" si="10"/>
        <v>0</v>
      </c>
      <c r="Y32" s="591">
        <f t="shared" si="10"/>
        <v>0</v>
      </c>
      <c r="Z32" s="591">
        <f t="shared" si="10"/>
        <v>0</v>
      </c>
      <c r="AA32" s="591">
        <f t="shared" si="10"/>
        <v>0</v>
      </c>
      <c r="AB32" s="591">
        <f t="shared" si="10"/>
        <v>0</v>
      </c>
      <c r="AC32" s="591">
        <f t="shared" si="10"/>
        <v>0</v>
      </c>
      <c r="AD32" s="591">
        <f t="shared" si="10"/>
        <v>20023.5</v>
      </c>
      <c r="AE32" s="591">
        <f t="shared" si="10"/>
        <v>0</v>
      </c>
      <c r="AF32" s="587"/>
      <c r="AG32" s="588">
        <f t="shared" si="1"/>
        <v>0</v>
      </c>
    </row>
    <row r="33" spans="1:33" s="589" customFormat="1" x14ac:dyDescent="0.3">
      <c r="A33" s="593" t="s">
        <v>169</v>
      </c>
      <c r="B33" s="594">
        <f>J33+L33+N33+P33+R33+T33+V33+X33+Z33+AB33+AD33+H33</f>
        <v>0</v>
      </c>
      <c r="C33" s="594">
        <f>SUM(H33+J33+L33+N33+P33+R33+T33+V33+X33+Z33+AB33+AD33)</f>
        <v>0</v>
      </c>
      <c r="D33" s="594">
        <f>E33</f>
        <v>0</v>
      </c>
      <c r="E33" s="594">
        <f>SUM(I33,K33,M33,O33,Q33,S33,U33,W33,Y33,AA33,AC33,AE33)</f>
        <v>0</v>
      </c>
      <c r="F33" s="594">
        <f t="shared" si="8"/>
        <v>0</v>
      </c>
      <c r="G33" s="594">
        <f t="shared" si="9"/>
        <v>0</v>
      </c>
      <c r="H33" s="594"/>
      <c r="I33" s="594"/>
      <c r="J33" s="594"/>
      <c r="K33" s="594"/>
      <c r="L33" s="594"/>
      <c r="M33" s="594"/>
      <c r="N33" s="594"/>
      <c r="O33" s="594"/>
      <c r="P33" s="594"/>
      <c r="Q33" s="594"/>
      <c r="R33" s="594"/>
      <c r="S33" s="594"/>
      <c r="T33" s="594"/>
      <c r="U33" s="594"/>
      <c r="V33" s="594"/>
      <c r="W33" s="594"/>
      <c r="X33" s="594"/>
      <c r="Y33" s="594"/>
      <c r="Z33" s="594"/>
      <c r="AA33" s="594"/>
      <c r="AB33" s="594"/>
      <c r="AC33" s="594"/>
      <c r="AD33" s="594"/>
      <c r="AE33" s="594"/>
      <c r="AF33" s="587"/>
      <c r="AG33" s="588">
        <f t="shared" si="1"/>
        <v>0</v>
      </c>
    </row>
    <row r="34" spans="1:33" s="589" customFormat="1" x14ac:dyDescent="0.3">
      <c r="A34" s="593" t="s">
        <v>32</v>
      </c>
      <c r="B34" s="594">
        <f>J34+L34+N34+P34+R34+T34+V34+X34+Z34+AB34+AD34+H34</f>
        <v>31288.5</v>
      </c>
      <c r="C34" s="594">
        <f t="shared" ref="C34:C37" si="11">SUM(H34+J34+L34+N34+P34+R34+T34+V34+X34+Z34+AB34+AD34)</f>
        <v>31288.5</v>
      </c>
      <c r="D34" s="594">
        <f>E34</f>
        <v>12547.99</v>
      </c>
      <c r="E34" s="594">
        <f>SUM(I34,K34,M34,O34,Q34,S34,U34,W34,Y34,AA34,AC34,AE34)</f>
        <v>12547.99</v>
      </c>
      <c r="F34" s="594">
        <f t="shared" si="8"/>
        <v>40.104159675280052</v>
      </c>
      <c r="G34" s="594">
        <f t="shared" si="9"/>
        <v>40.104159675280052</v>
      </c>
      <c r="H34" s="594">
        <v>4255.5</v>
      </c>
      <c r="I34" s="594"/>
      <c r="J34" s="594">
        <v>4993.17</v>
      </c>
      <c r="K34" s="594">
        <v>9248.33</v>
      </c>
      <c r="L34" s="594">
        <v>3299.66</v>
      </c>
      <c r="M34" s="594"/>
      <c r="N34" s="594">
        <v>518.70000000000005</v>
      </c>
      <c r="O34" s="594">
        <v>3299.66</v>
      </c>
      <c r="P34" s="594"/>
      <c r="Q34" s="594"/>
      <c r="R34" s="594"/>
      <c r="S34" s="594"/>
      <c r="T34" s="594"/>
      <c r="U34" s="594"/>
      <c r="V34" s="594"/>
      <c r="W34" s="594"/>
      <c r="X34" s="594"/>
      <c r="Y34" s="594"/>
      <c r="Z34" s="594"/>
      <c r="AA34" s="594"/>
      <c r="AB34" s="594"/>
      <c r="AC34" s="594"/>
      <c r="AD34" s="594">
        <v>18221.47</v>
      </c>
      <c r="AE34" s="594"/>
      <c r="AF34" s="587"/>
      <c r="AG34" s="588">
        <f t="shared" si="1"/>
        <v>0</v>
      </c>
    </row>
    <row r="35" spans="1:33" s="589" customFormat="1" x14ac:dyDescent="0.3">
      <c r="A35" s="593" t="s">
        <v>33</v>
      </c>
      <c r="B35" s="594">
        <f>J35+L35+N35+P35+R35+T35+V35+X35+Z35+AB35+AD35+H35</f>
        <v>3094.5</v>
      </c>
      <c r="C35" s="594">
        <f t="shared" si="11"/>
        <v>3094.5</v>
      </c>
      <c r="D35" s="594">
        <f>E35</f>
        <v>1292.31</v>
      </c>
      <c r="E35" s="594">
        <f>SUM(I35,K35,M35,O35,Q35,S35,U35,W35,Y35,AA35,AC35,AE35)</f>
        <v>1292.31</v>
      </c>
      <c r="F35" s="594">
        <f t="shared" si="8"/>
        <v>41.761512360639841</v>
      </c>
      <c r="G35" s="594">
        <f t="shared" si="9"/>
        <v>41.761512360639841</v>
      </c>
      <c r="H35" s="594">
        <v>421</v>
      </c>
      <c r="I35" s="594">
        <v>420.84</v>
      </c>
      <c r="J35" s="594">
        <v>493.83</v>
      </c>
      <c r="K35" s="594">
        <v>493.83</v>
      </c>
      <c r="L35" s="594">
        <v>326.33999999999997</v>
      </c>
      <c r="M35" s="594">
        <v>326.33999999999997</v>
      </c>
      <c r="N35" s="594">
        <v>51.3</v>
      </c>
      <c r="O35" s="594">
        <v>51.3</v>
      </c>
      <c r="P35" s="594"/>
      <c r="Q35" s="594"/>
      <c r="R35" s="594"/>
      <c r="S35" s="594"/>
      <c r="T35" s="594"/>
      <c r="U35" s="594"/>
      <c r="V35" s="594"/>
      <c r="W35" s="594"/>
      <c r="X35" s="594"/>
      <c r="Y35" s="594"/>
      <c r="Z35" s="594"/>
      <c r="AA35" s="594"/>
      <c r="AB35" s="594"/>
      <c r="AC35" s="594"/>
      <c r="AD35" s="594">
        <v>1802.03</v>
      </c>
      <c r="AE35" s="594"/>
      <c r="AF35" s="587"/>
      <c r="AG35" s="588">
        <f t="shared" si="1"/>
        <v>0</v>
      </c>
    </row>
    <row r="36" spans="1:33" s="589" customFormat="1" ht="37.5" x14ac:dyDescent="0.3">
      <c r="A36" s="600" t="s">
        <v>174</v>
      </c>
      <c r="B36" s="594">
        <f>J36+L36+N36+P36+R36+T36+V36+X36+Z36+AB36+AD36+H36</f>
        <v>3094.5</v>
      </c>
      <c r="C36" s="594">
        <f t="shared" si="11"/>
        <v>3094.5</v>
      </c>
      <c r="D36" s="594">
        <f>E36</f>
        <v>1292.31</v>
      </c>
      <c r="E36" s="594">
        <f>SUM(I36,K36,M36,O36,Q36,S36,U36,W36,Y36,AA36,AC36,AE36)</f>
        <v>1292.31</v>
      </c>
      <c r="F36" s="594">
        <f t="shared" si="8"/>
        <v>41.761512360639841</v>
      </c>
      <c r="G36" s="594">
        <f t="shared" si="9"/>
        <v>41.761512360639841</v>
      </c>
      <c r="H36" s="594">
        <v>421</v>
      </c>
      <c r="I36" s="594">
        <v>420.84</v>
      </c>
      <c r="J36" s="594">
        <v>493.83</v>
      </c>
      <c r="K36" s="594">
        <v>493.83</v>
      </c>
      <c r="L36" s="594">
        <v>326.33999999999997</v>
      </c>
      <c r="M36" s="594">
        <v>326.33999999999997</v>
      </c>
      <c r="N36" s="594">
        <v>51.3</v>
      </c>
      <c r="O36" s="594">
        <v>51.3</v>
      </c>
      <c r="P36" s="594"/>
      <c r="Q36" s="594"/>
      <c r="R36" s="594"/>
      <c r="S36" s="594"/>
      <c r="T36" s="594"/>
      <c r="U36" s="594"/>
      <c r="V36" s="594"/>
      <c r="W36" s="594"/>
      <c r="X36" s="594"/>
      <c r="Y36" s="594"/>
      <c r="Z36" s="594"/>
      <c r="AA36" s="594"/>
      <c r="AB36" s="594"/>
      <c r="AC36" s="594"/>
      <c r="AD36" s="594">
        <v>1802.03</v>
      </c>
      <c r="AE36" s="594"/>
      <c r="AF36" s="587"/>
      <c r="AG36" s="588"/>
    </row>
    <row r="37" spans="1:33" s="589" customFormat="1" x14ac:dyDescent="0.3">
      <c r="A37" s="593" t="s">
        <v>170</v>
      </c>
      <c r="B37" s="594">
        <f>J37+L37+N37+P37+R37+T37+V37+X37+Z37+AB37+AD37+H37</f>
        <v>0</v>
      </c>
      <c r="C37" s="594">
        <f t="shared" si="11"/>
        <v>0</v>
      </c>
      <c r="D37" s="594">
        <f>E37</f>
        <v>0</v>
      </c>
      <c r="E37" s="594">
        <f>SUM(I37,K37,M37,O37,Q37,S37,U37,W37,Y37,AA37,AC37,AE37)</f>
        <v>0</v>
      </c>
      <c r="F37" s="594">
        <f t="shared" si="8"/>
        <v>0</v>
      </c>
      <c r="G37" s="594">
        <f t="shared" si="9"/>
        <v>0</v>
      </c>
      <c r="H37" s="594"/>
      <c r="I37" s="594"/>
      <c r="J37" s="594"/>
      <c r="K37" s="594"/>
      <c r="L37" s="594"/>
      <c r="M37" s="594"/>
      <c r="N37" s="594"/>
      <c r="O37" s="594"/>
      <c r="P37" s="594"/>
      <c r="Q37" s="594"/>
      <c r="R37" s="594"/>
      <c r="S37" s="594"/>
      <c r="T37" s="594"/>
      <c r="U37" s="594"/>
      <c r="V37" s="594"/>
      <c r="W37" s="594"/>
      <c r="X37" s="594"/>
      <c r="Y37" s="594"/>
      <c r="Z37" s="594"/>
      <c r="AA37" s="594"/>
      <c r="AB37" s="594"/>
      <c r="AC37" s="594"/>
      <c r="AD37" s="594"/>
      <c r="AE37" s="594"/>
      <c r="AF37" s="587"/>
      <c r="AG37" s="588">
        <f t="shared" si="1"/>
        <v>0</v>
      </c>
    </row>
    <row r="38" spans="1:33" s="589" customFormat="1" ht="100.5" customHeight="1" x14ac:dyDescent="0.3">
      <c r="A38" s="596" t="s">
        <v>322</v>
      </c>
      <c r="B38" s="591"/>
      <c r="C38" s="597"/>
      <c r="D38" s="597"/>
      <c r="E38" s="597"/>
      <c r="F38" s="597"/>
      <c r="G38" s="597"/>
      <c r="H38" s="591"/>
      <c r="I38" s="591"/>
      <c r="J38" s="591"/>
      <c r="K38" s="591"/>
      <c r="L38" s="591"/>
      <c r="M38" s="591"/>
      <c r="N38" s="591"/>
      <c r="O38" s="591"/>
      <c r="P38" s="591"/>
      <c r="Q38" s="591"/>
      <c r="R38" s="591"/>
      <c r="S38" s="591"/>
      <c r="T38" s="591"/>
      <c r="U38" s="591"/>
      <c r="V38" s="591"/>
      <c r="W38" s="591"/>
      <c r="X38" s="591"/>
      <c r="Y38" s="591"/>
      <c r="Z38" s="591"/>
      <c r="AA38" s="591"/>
      <c r="AB38" s="591"/>
      <c r="AC38" s="591"/>
      <c r="AD38" s="591"/>
      <c r="AE38" s="591"/>
      <c r="AF38" s="709" t="s">
        <v>604</v>
      </c>
      <c r="AG38" s="588">
        <f t="shared" si="1"/>
        <v>0</v>
      </c>
    </row>
    <row r="39" spans="1:33" s="589" customFormat="1" x14ac:dyDescent="0.3">
      <c r="A39" s="598" t="s">
        <v>31</v>
      </c>
      <c r="B39" s="591">
        <f>B40+B41+B42+B44</f>
        <v>28278.424999999996</v>
      </c>
      <c r="C39" s="591">
        <f>C40+C41+C42</f>
        <v>28278.424999999996</v>
      </c>
      <c r="D39" s="591">
        <f>D40+D41+D42</f>
        <v>14699.400000000001</v>
      </c>
      <c r="E39" s="591">
        <f>E40+E41+E42</f>
        <v>14699.400000000001</v>
      </c>
      <c r="F39" s="592">
        <f t="shared" ref="F39:F44" si="12">IFERROR(E39/B39*100,0)</f>
        <v>51.980971358907027</v>
      </c>
      <c r="G39" s="592">
        <f t="shared" ref="G39:G44" si="13">IFERROR(E39/C39*100,0)</f>
        <v>51.980971358907027</v>
      </c>
      <c r="H39" s="591">
        <f>H40+H41+H42+H44</f>
        <v>0</v>
      </c>
      <c r="I39" s="591">
        <f t="shared" ref="I39:AE39" si="14">I40+I41+I42+I44</f>
        <v>0</v>
      </c>
      <c r="J39" s="591">
        <f t="shared" si="14"/>
        <v>1918</v>
      </c>
      <c r="K39" s="591">
        <f t="shared" si="14"/>
        <v>1318</v>
      </c>
      <c r="L39" s="591">
        <f t="shared" si="14"/>
        <v>3264.4450000000002</v>
      </c>
      <c r="M39" s="591">
        <f t="shared" si="14"/>
        <v>2954.4450000000002</v>
      </c>
      <c r="N39" s="591">
        <f t="shared" si="14"/>
        <v>0</v>
      </c>
      <c r="O39" s="591">
        <f t="shared" si="14"/>
        <v>909.995</v>
      </c>
      <c r="P39" s="591">
        <f t="shared" si="14"/>
        <v>3969.37</v>
      </c>
      <c r="Q39" s="591">
        <f t="shared" si="14"/>
        <v>3286.87</v>
      </c>
      <c r="R39" s="591">
        <f t="shared" si="14"/>
        <v>2734.83</v>
      </c>
      <c r="S39" s="591">
        <f t="shared" si="14"/>
        <v>3203.1800000000003</v>
      </c>
      <c r="T39" s="591">
        <f t="shared" si="14"/>
        <v>2266.7599999999998</v>
      </c>
      <c r="U39" s="591">
        <f t="shared" si="14"/>
        <v>2480.91</v>
      </c>
      <c r="V39" s="591">
        <f t="shared" si="14"/>
        <v>546</v>
      </c>
      <c r="W39" s="591">
        <f t="shared" si="14"/>
        <v>546</v>
      </c>
      <c r="X39" s="591">
        <f t="shared" si="14"/>
        <v>0</v>
      </c>
      <c r="Y39" s="591">
        <f t="shared" si="14"/>
        <v>0</v>
      </c>
      <c r="Z39" s="591">
        <f t="shared" si="14"/>
        <v>7149.47</v>
      </c>
      <c r="AA39" s="591">
        <f t="shared" si="14"/>
        <v>0</v>
      </c>
      <c r="AB39" s="591">
        <f t="shared" si="14"/>
        <v>0</v>
      </c>
      <c r="AC39" s="591">
        <f t="shared" si="14"/>
        <v>0</v>
      </c>
      <c r="AD39" s="591">
        <f t="shared" si="14"/>
        <v>6429.55</v>
      </c>
      <c r="AE39" s="591">
        <f t="shared" si="14"/>
        <v>0</v>
      </c>
      <c r="AF39" s="587"/>
      <c r="AG39" s="588">
        <f t="shared" si="1"/>
        <v>0</v>
      </c>
    </row>
    <row r="40" spans="1:33" s="589" customFormat="1" x14ac:dyDescent="0.3">
      <c r="A40" s="599" t="s">
        <v>169</v>
      </c>
      <c r="B40" s="594">
        <f>J40+L40+N40+P40+R40+T40+V40+X40+Z40+AB40+AD40+H40</f>
        <v>0</v>
      </c>
      <c r="C40" s="594">
        <f>SUM(H40+J40+L40+N40+P40+R40+T40+V40+X40+Z40+AB40+AD40)</f>
        <v>0</v>
      </c>
      <c r="D40" s="594">
        <f>E40</f>
        <v>0</v>
      </c>
      <c r="E40" s="594">
        <f>SUM(I40,K40,M40,O40,Q40,S40,U40,W40,Y40,AA40,AC40,AE40)</f>
        <v>0</v>
      </c>
      <c r="F40" s="594">
        <f t="shared" si="12"/>
        <v>0</v>
      </c>
      <c r="G40" s="594">
        <f t="shared" si="13"/>
        <v>0</v>
      </c>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87"/>
      <c r="AG40" s="588">
        <f t="shared" si="1"/>
        <v>0</v>
      </c>
    </row>
    <row r="41" spans="1:33" s="589" customFormat="1" x14ac:dyDescent="0.3">
      <c r="A41" s="599" t="s">
        <v>32</v>
      </c>
      <c r="B41" s="594">
        <f>J41+L41+N41+P41+R41+T41+V41+X41+Z41+AB41+AD41+H41</f>
        <v>18224.614999999998</v>
      </c>
      <c r="C41" s="594">
        <f t="shared" ref="C41:C44" si="15">SUM(H41+J41+L41+N41+P41+R41+T41+V41+X41+Z41+AB41+AD41)</f>
        <v>18224.614999999998</v>
      </c>
      <c r="D41" s="594">
        <f>E41</f>
        <v>12284.45</v>
      </c>
      <c r="E41" s="594">
        <f>SUM(I41,K41,M41,O41,Q41,S41,U41,W41,Y41,AA41,AC41,AE41)</f>
        <v>12284.45</v>
      </c>
      <c r="F41" s="594">
        <f t="shared" si="12"/>
        <v>67.405813511012454</v>
      </c>
      <c r="G41" s="594">
        <f t="shared" si="13"/>
        <v>67.405813511012454</v>
      </c>
      <c r="H41" s="594"/>
      <c r="I41" s="594"/>
      <c r="J41" s="594">
        <v>1745.38</v>
      </c>
      <c r="K41" s="594">
        <v>1199.3800000000001</v>
      </c>
      <c r="L41" s="594">
        <v>2970.645</v>
      </c>
      <c r="M41" s="594">
        <v>2606.645</v>
      </c>
      <c r="N41" s="594"/>
      <c r="O41" s="594">
        <v>909.995</v>
      </c>
      <c r="P41" s="594">
        <v>3612.13</v>
      </c>
      <c r="Q41" s="594">
        <v>2929.63</v>
      </c>
      <c r="R41" s="594">
        <v>2488.66</v>
      </c>
      <c r="S41" s="594">
        <v>2976.32</v>
      </c>
      <c r="T41" s="594">
        <v>921.64</v>
      </c>
      <c r="U41" s="594">
        <v>1116.48</v>
      </c>
      <c r="V41" s="594">
        <v>546</v>
      </c>
      <c r="W41" s="594">
        <v>546</v>
      </c>
      <c r="X41" s="594"/>
      <c r="Y41" s="594"/>
      <c r="Z41" s="594">
        <v>89.33</v>
      </c>
      <c r="AA41" s="594"/>
      <c r="AB41" s="594"/>
      <c r="AC41" s="594"/>
      <c r="AD41" s="594">
        <v>5850.83</v>
      </c>
      <c r="AE41" s="594"/>
      <c r="AF41" s="587"/>
      <c r="AG41" s="588">
        <f t="shared" si="1"/>
        <v>0</v>
      </c>
    </row>
    <row r="42" spans="1:33" s="589" customFormat="1" x14ac:dyDescent="0.3">
      <c r="A42" s="599" t="s">
        <v>33</v>
      </c>
      <c r="B42" s="594">
        <f>J42+L42+N42+P42+R42+T42+V42+X42+Z42+AB42+AD42+H42</f>
        <v>10053.81</v>
      </c>
      <c r="C42" s="594">
        <f t="shared" si="15"/>
        <v>10053.81</v>
      </c>
      <c r="D42" s="594">
        <f>E42</f>
        <v>2414.9499999999998</v>
      </c>
      <c r="E42" s="594">
        <f>SUM(I42,K42,M42,O42,Q42,S42,U42,W42,Y42,AA42,AC42,AE42)</f>
        <v>2414.9499999999998</v>
      </c>
      <c r="F42" s="594">
        <f t="shared" si="12"/>
        <v>24.020247050620611</v>
      </c>
      <c r="G42" s="594">
        <f t="shared" si="13"/>
        <v>24.020247050620611</v>
      </c>
      <c r="H42" s="594"/>
      <c r="I42" s="594"/>
      <c r="J42" s="594">
        <v>172.62</v>
      </c>
      <c r="K42" s="594">
        <v>118.62</v>
      </c>
      <c r="L42" s="594">
        <v>293.8</v>
      </c>
      <c r="M42" s="594">
        <v>347.8</v>
      </c>
      <c r="N42" s="594"/>
      <c r="O42" s="594"/>
      <c r="P42" s="594">
        <v>357.24</v>
      </c>
      <c r="Q42" s="594">
        <v>357.24</v>
      </c>
      <c r="R42" s="594">
        <v>246.17</v>
      </c>
      <c r="S42" s="594">
        <v>226.86</v>
      </c>
      <c r="T42" s="594">
        <v>1345.12</v>
      </c>
      <c r="U42" s="594">
        <v>1364.43</v>
      </c>
      <c r="V42" s="594"/>
      <c r="W42" s="594"/>
      <c r="X42" s="594"/>
      <c r="Y42" s="594"/>
      <c r="Z42" s="594">
        <v>7060.14</v>
      </c>
      <c r="AA42" s="594"/>
      <c r="AB42" s="594"/>
      <c r="AC42" s="594"/>
      <c r="AD42" s="594">
        <v>578.72</v>
      </c>
      <c r="AE42" s="594"/>
      <c r="AF42" s="587"/>
      <c r="AG42" s="588">
        <f t="shared" si="1"/>
        <v>0</v>
      </c>
    </row>
    <row r="43" spans="1:33" s="589" customFormat="1" ht="37.5" x14ac:dyDescent="0.3">
      <c r="A43" s="600" t="s">
        <v>174</v>
      </c>
      <c r="B43" s="594">
        <f>J43+L43+N43+P43+R43+T43+V43+X43+Z43+AB43+AD43+H43</f>
        <v>1802.5100000000002</v>
      </c>
      <c r="C43" s="594">
        <f t="shared" si="15"/>
        <v>1802.5100000000002</v>
      </c>
      <c r="D43" s="594">
        <f>E43</f>
        <v>1214.95</v>
      </c>
      <c r="E43" s="594">
        <f>SUM(I43,K43,M43,O43,Q43,S43,U43,W43,Y43,AA43,AC43,AE43)</f>
        <v>1214.95</v>
      </c>
      <c r="F43" s="594">
        <f t="shared" si="12"/>
        <v>67.403232159599668</v>
      </c>
      <c r="G43" s="594">
        <f t="shared" si="13"/>
        <v>67.403232159599668</v>
      </c>
      <c r="H43" s="594"/>
      <c r="I43" s="594"/>
      <c r="J43" s="594">
        <v>172.62</v>
      </c>
      <c r="K43" s="594">
        <v>118.62</v>
      </c>
      <c r="L43" s="594">
        <v>293.8</v>
      </c>
      <c r="M43" s="594">
        <v>347.8</v>
      </c>
      <c r="N43" s="594"/>
      <c r="O43" s="594"/>
      <c r="P43" s="594">
        <v>357.24</v>
      </c>
      <c r="Q43" s="594">
        <v>357.24</v>
      </c>
      <c r="R43" s="594">
        <v>246.17</v>
      </c>
      <c r="S43" s="594">
        <v>226.86</v>
      </c>
      <c r="T43" s="594">
        <v>145.12</v>
      </c>
      <c r="U43" s="594">
        <v>164.43</v>
      </c>
      <c r="V43" s="594"/>
      <c r="W43" s="594"/>
      <c r="X43" s="594"/>
      <c r="Y43" s="594"/>
      <c r="Z43" s="594">
        <v>8.84</v>
      </c>
      <c r="AA43" s="594"/>
      <c r="AB43" s="594"/>
      <c r="AC43" s="594"/>
      <c r="AD43" s="594">
        <v>578.72</v>
      </c>
      <c r="AE43" s="594"/>
      <c r="AF43" s="587"/>
      <c r="AG43" s="588"/>
    </row>
    <row r="44" spans="1:33" s="589" customFormat="1" x14ac:dyDescent="0.3">
      <c r="A44" s="599" t="s">
        <v>170</v>
      </c>
      <c r="B44" s="594">
        <f>J44+L44+N44+P44+R44+T44+V44+X44+Z44+AB44+AD44+H44</f>
        <v>0</v>
      </c>
      <c r="C44" s="594">
        <f t="shared" si="15"/>
        <v>0</v>
      </c>
      <c r="D44" s="594">
        <f>E44</f>
        <v>0</v>
      </c>
      <c r="E44" s="594">
        <f>SUM(I44,K44,M44,O44,Q44,S44,U44,W44,Y44,AA44,AC44,AE44)</f>
        <v>0</v>
      </c>
      <c r="F44" s="594">
        <f t="shared" si="12"/>
        <v>0</v>
      </c>
      <c r="G44" s="594">
        <f t="shared" si="13"/>
        <v>0</v>
      </c>
      <c r="H44" s="594"/>
      <c r="I44" s="594"/>
      <c r="J44" s="594"/>
      <c r="K44" s="594"/>
      <c r="L44" s="594"/>
      <c r="M44" s="594"/>
      <c r="N44" s="594"/>
      <c r="O44" s="594"/>
      <c r="P44" s="594"/>
      <c r="Q44" s="594"/>
      <c r="R44" s="594"/>
      <c r="S44" s="594"/>
      <c r="T44" s="594"/>
      <c r="U44" s="594"/>
      <c r="V44" s="594"/>
      <c r="W44" s="594"/>
      <c r="X44" s="594"/>
      <c r="Y44" s="594"/>
      <c r="Z44" s="594"/>
      <c r="AA44" s="594"/>
      <c r="AB44" s="594"/>
      <c r="AC44" s="594"/>
      <c r="AD44" s="594"/>
      <c r="AE44" s="594"/>
      <c r="AF44" s="587"/>
      <c r="AG44" s="588">
        <f t="shared" si="1"/>
        <v>0</v>
      </c>
    </row>
    <row r="45" spans="1:33" s="589" customFormat="1" ht="80.25" customHeight="1" x14ac:dyDescent="0.3">
      <c r="A45" s="596" t="s">
        <v>323</v>
      </c>
      <c r="B45" s="591"/>
      <c r="C45" s="597"/>
      <c r="D45" s="597"/>
      <c r="E45" s="597"/>
      <c r="F45" s="597"/>
      <c r="G45" s="597"/>
      <c r="H45" s="597"/>
      <c r="I45" s="597"/>
      <c r="J45" s="597"/>
      <c r="K45" s="597"/>
      <c r="L45" s="597"/>
      <c r="M45" s="597"/>
      <c r="N45" s="597"/>
      <c r="O45" s="597"/>
      <c r="P45" s="597"/>
      <c r="Q45" s="597"/>
      <c r="R45" s="597"/>
      <c r="S45" s="597"/>
      <c r="T45" s="597"/>
      <c r="U45" s="597"/>
      <c r="V45" s="597"/>
      <c r="W45" s="597"/>
      <c r="X45" s="597"/>
      <c r="Y45" s="597"/>
      <c r="Z45" s="597"/>
      <c r="AA45" s="597"/>
      <c r="AB45" s="597"/>
      <c r="AC45" s="597"/>
      <c r="AD45" s="597"/>
      <c r="AE45" s="597"/>
      <c r="AF45" s="587"/>
      <c r="AG45" s="588">
        <f t="shared" si="1"/>
        <v>0</v>
      </c>
    </row>
    <row r="46" spans="1:33" s="589" customFormat="1" x14ac:dyDescent="0.3">
      <c r="A46" s="598" t="s">
        <v>31</v>
      </c>
      <c r="B46" s="591">
        <f>B47+B48+B49+B50</f>
        <v>0</v>
      </c>
      <c r="C46" s="591">
        <f>C47+C48+C49</f>
        <v>0</v>
      </c>
      <c r="D46" s="591">
        <f>D47+D48+D49</f>
        <v>0</v>
      </c>
      <c r="E46" s="591">
        <f>E47+E48+E49</f>
        <v>0</v>
      </c>
      <c r="F46" s="591">
        <f>IFERROR(E46/B46*100,0)</f>
        <v>0</v>
      </c>
      <c r="G46" s="591">
        <f>IFERROR(E46/C46*100,0)</f>
        <v>0</v>
      </c>
      <c r="H46" s="591">
        <f>H47+H48+H49</f>
        <v>0</v>
      </c>
      <c r="I46" s="591">
        <f t="shared" ref="I46:AE46" si="16">I47+I48+I49</f>
        <v>0</v>
      </c>
      <c r="J46" s="591">
        <f t="shared" si="16"/>
        <v>0</v>
      </c>
      <c r="K46" s="591">
        <f t="shared" si="16"/>
        <v>0</v>
      </c>
      <c r="L46" s="591">
        <f t="shared" si="16"/>
        <v>0</v>
      </c>
      <c r="M46" s="591">
        <f t="shared" si="16"/>
        <v>0</v>
      </c>
      <c r="N46" s="591">
        <f t="shared" si="16"/>
        <v>0</v>
      </c>
      <c r="O46" s="591">
        <f t="shared" si="16"/>
        <v>0</v>
      </c>
      <c r="P46" s="591">
        <f t="shared" si="16"/>
        <v>0</v>
      </c>
      <c r="Q46" s="591">
        <f t="shared" si="16"/>
        <v>0</v>
      </c>
      <c r="R46" s="591">
        <f t="shared" si="16"/>
        <v>0</v>
      </c>
      <c r="S46" s="591">
        <f t="shared" si="16"/>
        <v>0</v>
      </c>
      <c r="T46" s="591">
        <f t="shared" si="16"/>
        <v>0</v>
      </c>
      <c r="U46" s="591">
        <f t="shared" si="16"/>
        <v>0</v>
      </c>
      <c r="V46" s="591">
        <f t="shared" si="16"/>
        <v>0</v>
      </c>
      <c r="W46" s="591">
        <f t="shared" si="16"/>
        <v>0</v>
      </c>
      <c r="X46" s="591">
        <f t="shared" si="16"/>
        <v>0</v>
      </c>
      <c r="Y46" s="591">
        <f t="shared" si="16"/>
        <v>0</v>
      </c>
      <c r="Z46" s="591">
        <f t="shared" si="16"/>
        <v>0</v>
      </c>
      <c r="AA46" s="591">
        <f t="shared" si="16"/>
        <v>0</v>
      </c>
      <c r="AB46" s="591">
        <f t="shared" si="16"/>
        <v>0</v>
      </c>
      <c r="AC46" s="591">
        <f t="shared" si="16"/>
        <v>0</v>
      </c>
      <c r="AD46" s="591">
        <f t="shared" si="16"/>
        <v>0</v>
      </c>
      <c r="AE46" s="591">
        <f t="shared" si="16"/>
        <v>0</v>
      </c>
      <c r="AF46" s="587"/>
      <c r="AG46" s="588">
        <f t="shared" si="1"/>
        <v>0</v>
      </c>
    </row>
    <row r="47" spans="1:33" s="589" customFormat="1" x14ac:dyDescent="0.3">
      <c r="A47" s="599" t="s">
        <v>169</v>
      </c>
      <c r="B47" s="594">
        <f>J47+L47+N47+P47+R47+T47+V47+X47+Z47+AB47+AD47+H47</f>
        <v>0</v>
      </c>
      <c r="C47" s="594">
        <f>SUM(H47+J47+L47+N47+P47+R47+T47+V47+X47+Z47+AB47+AD47)</f>
        <v>0</v>
      </c>
      <c r="D47" s="594">
        <f>E47</f>
        <v>0</v>
      </c>
      <c r="E47" s="594">
        <f>SUM(I47,K47,M47,O47,Q47,S47,U47,W47,Y47,AA47,AC47,AE47)</f>
        <v>0</v>
      </c>
      <c r="F47" s="594">
        <f>IFERROR(E47/B47*100,0)</f>
        <v>0</v>
      </c>
      <c r="G47" s="594">
        <f>IFERROR(E47/C47*100,0)</f>
        <v>0</v>
      </c>
      <c r="H47" s="594"/>
      <c r="I47" s="594"/>
      <c r="J47" s="594"/>
      <c r="K47" s="594"/>
      <c r="L47" s="594"/>
      <c r="M47" s="594"/>
      <c r="N47" s="594"/>
      <c r="O47" s="594"/>
      <c r="P47" s="594"/>
      <c r="Q47" s="594"/>
      <c r="R47" s="594"/>
      <c r="S47" s="594"/>
      <c r="T47" s="594"/>
      <c r="U47" s="594"/>
      <c r="V47" s="594"/>
      <c r="W47" s="594"/>
      <c r="X47" s="594"/>
      <c r="Y47" s="594"/>
      <c r="Z47" s="594"/>
      <c r="AA47" s="594"/>
      <c r="AB47" s="594"/>
      <c r="AC47" s="594"/>
      <c r="AD47" s="594"/>
      <c r="AE47" s="594"/>
      <c r="AF47" s="587"/>
      <c r="AG47" s="588">
        <f t="shared" si="1"/>
        <v>0</v>
      </c>
    </row>
    <row r="48" spans="1:33" s="589" customFormat="1" x14ac:dyDescent="0.3">
      <c r="A48" s="599" t="s">
        <v>32</v>
      </c>
      <c r="B48" s="594">
        <f>J48+L48+N48+P48+R48+T48+V48+X48+Z48+AB48+AD48+H48</f>
        <v>0</v>
      </c>
      <c r="C48" s="594">
        <f t="shared" ref="C48:C50" si="17">SUM(H48+J48+L48+N48+P48+R48+T48+V48+X48+Z48+AB48+AD48)</f>
        <v>0</v>
      </c>
      <c r="D48" s="594">
        <f>E48</f>
        <v>0</v>
      </c>
      <c r="E48" s="594">
        <f>SUM(I48,K48,M48,O48,Q48,S48,U48,W48,Y48,AA48,AC48,AE48)</f>
        <v>0</v>
      </c>
      <c r="F48" s="594">
        <f>IFERROR(E48/B48*100,0)</f>
        <v>0</v>
      </c>
      <c r="G48" s="594">
        <f>IFERROR(E48/C48*100,0)</f>
        <v>0</v>
      </c>
      <c r="H48" s="594"/>
      <c r="I48" s="594"/>
      <c r="J48" s="594"/>
      <c r="K48" s="594"/>
      <c r="L48" s="594"/>
      <c r="M48" s="594"/>
      <c r="N48" s="594"/>
      <c r="O48" s="594"/>
      <c r="P48" s="594"/>
      <c r="Q48" s="594"/>
      <c r="R48" s="594"/>
      <c r="S48" s="594"/>
      <c r="T48" s="594"/>
      <c r="U48" s="594"/>
      <c r="V48" s="594"/>
      <c r="W48" s="594"/>
      <c r="X48" s="594"/>
      <c r="Y48" s="594"/>
      <c r="Z48" s="594"/>
      <c r="AA48" s="594"/>
      <c r="AB48" s="594"/>
      <c r="AC48" s="594"/>
      <c r="AD48" s="594"/>
      <c r="AE48" s="594"/>
      <c r="AF48" s="587"/>
      <c r="AG48" s="588">
        <f t="shared" si="1"/>
        <v>0</v>
      </c>
    </row>
    <row r="49" spans="1:33" s="589" customFormat="1" x14ac:dyDescent="0.3">
      <c r="A49" s="599" t="s">
        <v>33</v>
      </c>
      <c r="B49" s="594">
        <f>J49+L49+N49+P49+R49+T49+V49+X49+Z49+AB49+AD49+H49</f>
        <v>0</v>
      </c>
      <c r="C49" s="594">
        <f t="shared" si="17"/>
        <v>0</v>
      </c>
      <c r="D49" s="594">
        <f>E49</f>
        <v>0</v>
      </c>
      <c r="E49" s="594">
        <f>SUM(I49,K49,M49,O49,Q49,S49,U49,W49,Y49,AA49,AC49,AE49)</f>
        <v>0</v>
      </c>
      <c r="F49" s="594">
        <f>IFERROR(E49/B49*100,0)</f>
        <v>0</v>
      </c>
      <c r="G49" s="594">
        <f>IFERROR(E49/C49*100,0)</f>
        <v>0</v>
      </c>
      <c r="H49" s="594"/>
      <c r="I49" s="594"/>
      <c r="J49" s="594"/>
      <c r="K49" s="594"/>
      <c r="L49" s="594"/>
      <c r="M49" s="594"/>
      <c r="N49" s="594"/>
      <c r="O49" s="594"/>
      <c r="P49" s="594"/>
      <c r="Q49" s="594"/>
      <c r="R49" s="594"/>
      <c r="S49" s="594"/>
      <c r="T49" s="594"/>
      <c r="U49" s="594"/>
      <c r="V49" s="594"/>
      <c r="W49" s="594"/>
      <c r="X49" s="594"/>
      <c r="Y49" s="594"/>
      <c r="Z49" s="594"/>
      <c r="AA49" s="594"/>
      <c r="AB49" s="594"/>
      <c r="AC49" s="594"/>
      <c r="AD49" s="594"/>
      <c r="AE49" s="594"/>
      <c r="AF49" s="587"/>
      <c r="AG49" s="588">
        <f t="shared" si="1"/>
        <v>0</v>
      </c>
    </row>
    <row r="50" spans="1:33" s="589" customFormat="1" x14ac:dyDescent="0.3">
      <c r="A50" s="599" t="s">
        <v>170</v>
      </c>
      <c r="B50" s="594">
        <f>J50+L50+N50+P50+R50+T50+V50+X50+Z50+AB50+AD50+H50</f>
        <v>0</v>
      </c>
      <c r="C50" s="594">
        <f t="shared" si="17"/>
        <v>0</v>
      </c>
      <c r="D50" s="594">
        <f>E50</f>
        <v>0</v>
      </c>
      <c r="E50" s="594">
        <f>SUM(I50,K50,M50,O50,Q50,S50,U50,W50,Y50,AA50,AC50,AE50)</f>
        <v>0</v>
      </c>
      <c r="F50" s="594">
        <f>IFERROR(E50/B50*100,0)</f>
        <v>0</v>
      </c>
      <c r="G50" s="594">
        <f>IFERROR(E50/C50*100,0)</f>
        <v>0</v>
      </c>
      <c r="H50" s="594"/>
      <c r="I50" s="594"/>
      <c r="J50" s="594"/>
      <c r="K50" s="594"/>
      <c r="L50" s="594"/>
      <c r="M50" s="594"/>
      <c r="N50" s="594"/>
      <c r="O50" s="594"/>
      <c r="P50" s="594"/>
      <c r="Q50" s="594"/>
      <c r="R50" s="594"/>
      <c r="S50" s="594"/>
      <c r="T50" s="594"/>
      <c r="U50" s="594"/>
      <c r="V50" s="594"/>
      <c r="W50" s="594"/>
      <c r="X50" s="594"/>
      <c r="Y50" s="594"/>
      <c r="Z50" s="594"/>
      <c r="AA50" s="594"/>
      <c r="AB50" s="594"/>
      <c r="AC50" s="594"/>
      <c r="AD50" s="594"/>
      <c r="AE50" s="594"/>
      <c r="AF50" s="587"/>
      <c r="AG50" s="588">
        <f t="shared" si="1"/>
        <v>0</v>
      </c>
    </row>
    <row r="51" spans="1:33" s="589" customFormat="1" ht="375" x14ac:dyDescent="0.3">
      <c r="A51" s="596" t="s">
        <v>484</v>
      </c>
      <c r="B51" s="594"/>
      <c r="C51" s="594"/>
      <c r="D51" s="594"/>
      <c r="E51" s="594"/>
      <c r="F51" s="594"/>
      <c r="G51" s="594"/>
      <c r="H51" s="594"/>
      <c r="I51" s="594"/>
      <c r="J51" s="594"/>
      <c r="K51" s="594"/>
      <c r="L51" s="594"/>
      <c r="M51" s="594"/>
      <c r="N51" s="594"/>
      <c r="O51" s="594"/>
      <c r="P51" s="594"/>
      <c r="Q51" s="594"/>
      <c r="R51" s="594"/>
      <c r="S51" s="594"/>
      <c r="T51" s="594"/>
      <c r="U51" s="594"/>
      <c r="V51" s="594"/>
      <c r="W51" s="594"/>
      <c r="X51" s="594"/>
      <c r="Y51" s="594"/>
      <c r="Z51" s="594"/>
      <c r="AA51" s="594"/>
      <c r="AB51" s="594"/>
      <c r="AC51" s="594"/>
      <c r="AD51" s="594"/>
      <c r="AE51" s="594"/>
      <c r="AF51" s="709" t="s">
        <v>605</v>
      </c>
      <c r="AG51" s="588"/>
    </row>
    <row r="52" spans="1:33" s="589" customFormat="1" x14ac:dyDescent="0.3">
      <c r="A52" s="598" t="s">
        <v>31</v>
      </c>
      <c r="B52" s="591">
        <f>B53+B54+B55+B57</f>
        <v>2598.87</v>
      </c>
      <c r="C52" s="591">
        <f>C53+C54+C55+C57</f>
        <v>2598.87</v>
      </c>
      <c r="D52" s="591">
        <f>D53+D54+D55+D57</f>
        <v>2598.87</v>
      </c>
      <c r="E52" s="591">
        <f>E53+E54+E55+E57</f>
        <v>2598.87</v>
      </c>
      <c r="F52" s="591">
        <f t="shared" ref="F52:F57" si="18">IFERROR(E52/B52*100,0)</f>
        <v>100</v>
      </c>
      <c r="G52" s="591">
        <f t="shared" ref="G52:G57" si="19">IFERROR(E52/C52*100,0)</f>
        <v>100</v>
      </c>
      <c r="H52" s="591">
        <f>H53+H54+H55+H57</f>
        <v>0</v>
      </c>
      <c r="I52" s="591">
        <f t="shared" ref="I52:AE52" si="20">I53+I54+I55+I57</f>
        <v>0</v>
      </c>
      <c r="J52" s="591">
        <f t="shared" si="20"/>
        <v>0</v>
      </c>
      <c r="K52" s="591">
        <f t="shared" si="20"/>
        <v>0</v>
      </c>
      <c r="L52" s="591">
        <f t="shared" si="20"/>
        <v>0</v>
      </c>
      <c r="M52" s="591">
        <f t="shared" si="20"/>
        <v>0</v>
      </c>
      <c r="N52" s="591">
        <f t="shared" si="20"/>
        <v>0</v>
      </c>
      <c r="O52" s="591">
        <f t="shared" si="20"/>
        <v>0</v>
      </c>
      <c r="P52" s="591">
        <f t="shared" si="20"/>
        <v>0</v>
      </c>
      <c r="Q52" s="591">
        <f t="shared" si="20"/>
        <v>0</v>
      </c>
      <c r="R52" s="591">
        <f t="shared" si="20"/>
        <v>2598.87</v>
      </c>
      <c r="S52" s="591">
        <f t="shared" si="20"/>
        <v>0</v>
      </c>
      <c r="T52" s="591">
        <f t="shared" si="20"/>
        <v>0</v>
      </c>
      <c r="U52" s="591">
        <f t="shared" si="20"/>
        <v>0</v>
      </c>
      <c r="V52" s="591">
        <f t="shared" si="20"/>
        <v>0</v>
      </c>
      <c r="W52" s="591">
        <f t="shared" si="20"/>
        <v>2598.87</v>
      </c>
      <c r="X52" s="591">
        <f t="shared" si="20"/>
        <v>0</v>
      </c>
      <c r="Y52" s="591">
        <f t="shared" si="20"/>
        <v>0</v>
      </c>
      <c r="Z52" s="591">
        <f t="shared" si="20"/>
        <v>0</v>
      </c>
      <c r="AA52" s="591">
        <f t="shared" si="20"/>
        <v>0</v>
      </c>
      <c r="AB52" s="591">
        <f t="shared" si="20"/>
        <v>0</v>
      </c>
      <c r="AC52" s="591">
        <f t="shared" si="20"/>
        <v>0</v>
      </c>
      <c r="AD52" s="591">
        <f t="shared" si="20"/>
        <v>0</v>
      </c>
      <c r="AE52" s="591">
        <f t="shared" si="20"/>
        <v>0</v>
      </c>
      <c r="AF52" s="591"/>
      <c r="AG52" s="588"/>
    </row>
    <row r="53" spans="1:33" s="589" customFormat="1" x14ac:dyDescent="0.3">
      <c r="A53" s="599" t="s">
        <v>169</v>
      </c>
      <c r="B53" s="594">
        <f>H53+J53+L53+N53+P53+R53+T53+V53+X53+Z53+AB53+AD53+AF53</f>
        <v>0</v>
      </c>
      <c r="C53" s="594">
        <f>H53+J53+L53+N53+P53+R53+T53+V53+X53+Z53+AB53+AD53</f>
        <v>0</v>
      </c>
      <c r="D53" s="594">
        <f>E53</f>
        <v>0</v>
      </c>
      <c r="E53" s="594">
        <f>I53+K53+M53+O53+Q53+S53+U53+W53+Y53+AA53+AC53+AE53</f>
        <v>0</v>
      </c>
      <c r="F53" s="594">
        <f t="shared" si="18"/>
        <v>0</v>
      </c>
      <c r="G53" s="594">
        <f t="shared" si="19"/>
        <v>0</v>
      </c>
      <c r="H53" s="594"/>
      <c r="I53" s="594"/>
      <c r="J53" s="594"/>
      <c r="K53" s="594"/>
      <c r="L53" s="594"/>
      <c r="M53" s="594"/>
      <c r="N53" s="594"/>
      <c r="O53" s="594"/>
      <c r="P53" s="594"/>
      <c r="Q53" s="594"/>
      <c r="R53" s="594"/>
      <c r="S53" s="594"/>
      <c r="T53" s="594"/>
      <c r="U53" s="594"/>
      <c r="V53" s="594"/>
      <c r="W53" s="594"/>
      <c r="X53" s="594"/>
      <c r="Y53" s="594"/>
      <c r="Z53" s="594"/>
      <c r="AA53" s="594"/>
      <c r="AB53" s="594"/>
      <c r="AC53" s="594"/>
      <c r="AD53" s="594"/>
      <c r="AE53" s="594"/>
      <c r="AF53" s="587"/>
      <c r="AG53" s="588"/>
    </row>
    <row r="54" spans="1:33" s="589" customFormat="1" x14ac:dyDescent="0.3">
      <c r="A54" s="599" t="s">
        <v>32</v>
      </c>
      <c r="B54" s="594">
        <f>H54+J54+L54+N54+P54+R54+T54+V54+X54+Z54+AB54+AD54+AF54</f>
        <v>2364.98</v>
      </c>
      <c r="C54" s="594">
        <f t="shared" ref="C54:C57" si="21">H54+J54+L54+N54+P54+R54+T54+V54+X54+Z54+AB54+AD54</f>
        <v>2364.98</v>
      </c>
      <c r="D54" s="594">
        <f>E54</f>
        <v>2364.9699999999998</v>
      </c>
      <c r="E54" s="594">
        <f>I54+K54+M54+O54+Q54+S54+U54+W54+Y54+AA54+AC54+AE54</f>
        <v>2364.9699999999998</v>
      </c>
      <c r="F54" s="594">
        <f t="shared" si="18"/>
        <v>99.999577163443234</v>
      </c>
      <c r="G54" s="594">
        <f t="shared" si="19"/>
        <v>99.999577163443234</v>
      </c>
      <c r="H54" s="594"/>
      <c r="I54" s="594"/>
      <c r="J54" s="594"/>
      <c r="K54" s="594"/>
      <c r="L54" s="594"/>
      <c r="M54" s="594"/>
      <c r="N54" s="594"/>
      <c r="O54" s="594"/>
      <c r="P54" s="594"/>
      <c r="Q54" s="594"/>
      <c r="R54" s="594">
        <v>2364.98</v>
      </c>
      <c r="S54" s="594"/>
      <c r="T54" s="594"/>
      <c r="U54" s="594"/>
      <c r="V54" s="594"/>
      <c r="W54" s="594">
        <v>2364.9699999999998</v>
      </c>
      <c r="X54" s="594"/>
      <c r="Y54" s="594"/>
      <c r="Z54" s="594"/>
      <c r="AA54" s="594"/>
      <c r="AB54" s="594"/>
      <c r="AC54" s="594"/>
      <c r="AD54" s="594"/>
      <c r="AE54" s="594"/>
      <c r="AF54" s="587"/>
      <c r="AG54" s="588"/>
    </row>
    <row r="55" spans="1:33" s="589" customFormat="1" x14ac:dyDescent="0.3">
      <c r="A55" s="599" t="s">
        <v>33</v>
      </c>
      <c r="B55" s="594">
        <f>H55+J55+L55+N55+P55+R55+T55+V55+X55+Z55+AB55+AD55+AF55</f>
        <v>233.89</v>
      </c>
      <c r="C55" s="594">
        <f t="shared" si="21"/>
        <v>233.89</v>
      </c>
      <c r="D55" s="594">
        <f>E55</f>
        <v>233.9</v>
      </c>
      <c r="E55" s="594">
        <f>I55+K55+M55+O55+Q55+S55+U55+W55+Y55+AA55+AC55+AE55</f>
        <v>233.9</v>
      </c>
      <c r="F55" s="594">
        <f t="shared" si="18"/>
        <v>100.00427551413058</v>
      </c>
      <c r="G55" s="594">
        <f t="shared" si="19"/>
        <v>100.00427551413058</v>
      </c>
      <c r="H55" s="594"/>
      <c r="I55" s="594"/>
      <c r="J55" s="594"/>
      <c r="K55" s="594"/>
      <c r="L55" s="594"/>
      <c r="M55" s="594"/>
      <c r="N55" s="594"/>
      <c r="O55" s="594"/>
      <c r="P55" s="594"/>
      <c r="Q55" s="594"/>
      <c r="R55" s="594">
        <v>233.89</v>
      </c>
      <c r="S55" s="594"/>
      <c r="T55" s="594"/>
      <c r="U55" s="594"/>
      <c r="V55" s="594"/>
      <c r="W55" s="594">
        <v>233.9</v>
      </c>
      <c r="X55" s="594"/>
      <c r="Y55" s="594"/>
      <c r="Z55" s="594"/>
      <c r="AA55" s="594"/>
      <c r="AB55" s="594"/>
      <c r="AC55" s="594"/>
      <c r="AD55" s="594"/>
      <c r="AE55" s="594"/>
      <c r="AF55" s="587"/>
      <c r="AG55" s="588"/>
    </row>
    <row r="56" spans="1:33" s="589" customFormat="1" ht="37.5" x14ac:dyDescent="0.3">
      <c r="A56" s="594" t="s">
        <v>174</v>
      </c>
      <c r="B56" s="594">
        <f>H56+J56+L56+N56+P56+R56+T56+V56+X56+Z56+AB56+AD56+AF56</f>
        <v>233.89</v>
      </c>
      <c r="C56" s="594">
        <f t="shared" si="21"/>
        <v>233.89</v>
      </c>
      <c r="D56" s="594">
        <f>E56</f>
        <v>233.9</v>
      </c>
      <c r="E56" s="594">
        <f>I56+K56+M56+O56+Q56+S56+U56+W56+Y56+AA56+AC56+AE56</f>
        <v>233.9</v>
      </c>
      <c r="F56" s="594">
        <f t="shared" si="18"/>
        <v>100.00427551413058</v>
      </c>
      <c r="G56" s="594">
        <f t="shared" si="19"/>
        <v>100.00427551413058</v>
      </c>
      <c r="H56" s="594"/>
      <c r="I56" s="594"/>
      <c r="J56" s="594"/>
      <c r="K56" s="594"/>
      <c r="L56" s="594"/>
      <c r="M56" s="594"/>
      <c r="N56" s="594"/>
      <c r="O56" s="594"/>
      <c r="P56" s="594"/>
      <c r="Q56" s="594"/>
      <c r="R56" s="594">
        <v>233.89</v>
      </c>
      <c r="S56" s="594"/>
      <c r="T56" s="594"/>
      <c r="U56" s="594"/>
      <c r="V56" s="594"/>
      <c r="W56" s="594">
        <v>233.9</v>
      </c>
      <c r="X56" s="594"/>
      <c r="Y56" s="594"/>
      <c r="Z56" s="594"/>
      <c r="AA56" s="594"/>
      <c r="AB56" s="594"/>
      <c r="AC56" s="594"/>
      <c r="AD56" s="594"/>
      <c r="AE56" s="594"/>
      <c r="AF56" s="587"/>
      <c r="AG56" s="588"/>
    </row>
    <row r="57" spans="1:33" s="589" customFormat="1" x14ac:dyDescent="0.3">
      <c r="A57" s="599" t="s">
        <v>170</v>
      </c>
      <c r="B57" s="594">
        <f>H57+J57+L57+N57+P57+R57+T57+V57+X57+Z57+AB57+AD57+AF57</f>
        <v>0</v>
      </c>
      <c r="C57" s="594">
        <f t="shared" si="21"/>
        <v>0</v>
      </c>
      <c r="D57" s="594">
        <f>E57</f>
        <v>0</v>
      </c>
      <c r="E57" s="594">
        <f>I57+K57+M57+O57+Q57+S57+U57+W57+Y57+AA57+AC57+AE57</f>
        <v>0</v>
      </c>
      <c r="F57" s="594">
        <f t="shared" si="18"/>
        <v>0</v>
      </c>
      <c r="G57" s="594">
        <f t="shared" si="19"/>
        <v>0</v>
      </c>
      <c r="H57" s="594"/>
      <c r="I57" s="594"/>
      <c r="J57" s="594"/>
      <c r="K57" s="594"/>
      <c r="L57" s="594"/>
      <c r="M57" s="594"/>
      <c r="N57" s="594"/>
      <c r="O57" s="594"/>
      <c r="P57" s="594"/>
      <c r="Q57" s="594"/>
      <c r="R57" s="594"/>
      <c r="S57" s="594"/>
      <c r="T57" s="594"/>
      <c r="U57" s="594"/>
      <c r="V57" s="594"/>
      <c r="W57" s="594"/>
      <c r="X57" s="594"/>
      <c r="Y57" s="594"/>
      <c r="Z57" s="594"/>
      <c r="AA57" s="594"/>
      <c r="AB57" s="594"/>
      <c r="AC57" s="594"/>
      <c r="AD57" s="594"/>
      <c r="AE57" s="594"/>
      <c r="AF57" s="587"/>
      <c r="AG57" s="588"/>
    </row>
    <row r="58" spans="1:33" ht="75" x14ac:dyDescent="0.3">
      <c r="A58" s="911" t="s">
        <v>324</v>
      </c>
      <c r="B58" s="595"/>
      <c r="C58" s="595"/>
      <c r="D58" s="595"/>
      <c r="E58" s="595"/>
      <c r="F58" s="595"/>
      <c r="G58" s="595"/>
      <c r="H58" s="595"/>
      <c r="I58" s="595"/>
      <c r="J58" s="595"/>
      <c r="K58" s="595"/>
      <c r="L58" s="595"/>
      <c r="M58" s="595"/>
      <c r="N58" s="595"/>
      <c r="O58" s="595"/>
      <c r="P58" s="595"/>
      <c r="Q58" s="595"/>
      <c r="R58" s="595"/>
      <c r="S58" s="595"/>
      <c r="T58" s="595"/>
      <c r="U58" s="595"/>
      <c r="V58" s="595"/>
      <c r="W58" s="595"/>
      <c r="X58" s="595"/>
      <c r="Y58" s="595"/>
      <c r="Z58" s="595"/>
      <c r="AA58" s="595"/>
      <c r="AB58" s="595"/>
      <c r="AC58" s="595"/>
      <c r="AD58" s="595"/>
      <c r="AE58" s="595"/>
      <c r="AF58" s="595"/>
      <c r="AG58" s="99">
        <f t="shared" si="1"/>
        <v>0</v>
      </c>
    </row>
    <row r="59" spans="1:33" s="589" customFormat="1" x14ac:dyDescent="0.3">
      <c r="A59" s="1179" t="s">
        <v>54</v>
      </c>
      <c r="B59" s="1180"/>
      <c r="C59" s="1180"/>
      <c r="D59" s="1180"/>
      <c r="E59" s="1180"/>
      <c r="F59" s="1180"/>
      <c r="G59" s="1180"/>
      <c r="H59" s="1180"/>
      <c r="I59" s="1180"/>
      <c r="J59" s="1180"/>
      <c r="K59" s="1180"/>
      <c r="L59" s="1180"/>
      <c r="M59" s="1180"/>
      <c r="N59" s="1180"/>
      <c r="O59" s="1180"/>
      <c r="P59" s="1180"/>
      <c r="Q59" s="1180"/>
      <c r="R59" s="1180"/>
      <c r="S59" s="1180"/>
      <c r="T59" s="1180"/>
      <c r="U59" s="1180"/>
      <c r="V59" s="1180"/>
      <c r="W59" s="1180"/>
      <c r="X59" s="1180"/>
      <c r="Y59" s="1180"/>
      <c r="Z59" s="1180"/>
      <c r="AA59" s="1180"/>
      <c r="AB59" s="1180"/>
      <c r="AC59" s="1180"/>
      <c r="AD59" s="1180"/>
      <c r="AE59" s="1180"/>
      <c r="AF59" s="1181"/>
      <c r="AG59" s="588">
        <f t="shared" si="1"/>
        <v>0</v>
      </c>
    </row>
    <row r="60" spans="1:33" s="589" customFormat="1" ht="102.75" customHeight="1" x14ac:dyDescent="0.3">
      <c r="A60" s="596" t="s">
        <v>325</v>
      </c>
      <c r="B60" s="600"/>
      <c r="C60" s="601"/>
      <c r="D60" s="601"/>
      <c r="E60" s="601"/>
      <c r="F60" s="601"/>
      <c r="G60" s="601"/>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c r="AF60" s="709" t="s">
        <v>610</v>
      </c>
      <c r="AG60" s="588">
        <f t="shared" si="1"/>
        <v>0</v>
      </c>
    </row>
    <row r="61" spans="1:33" s="589" customFormat="1" x14ac:dyDescent="0.3">
      <c r="A61" s="590" t="s">
        <v>31</v>
      </c>
      <c r="B61" s="591">
        <f>B62+B63+B64</f>
        <v>4679.8900000000003</v>
      </c>
      <c r="C61" s="591">
        <f>C62+C63+C64</f>
        <v>4679.8900000000003</v>
      </c>
      <c r="D61" s="591">
        <f>D62+D63+D64</f>
        <v>4679.8900000000003</v>
      </c>
      <c r="E61" s="591">
        <f>E62+E63+E64</f>
        <v>4679.8900000000003</v>
      </c>
      <c r="F61" s="591">
        <f>IFERROR(E61/B61*100,0)</f>
        <v>100</v>
      </c>
      <c r="G61" s="591">
        <f>IFERROR(E61/C61*100,0)</f>
        <v>100</v>
      </c>
      <c r="H61" s="591">
        <f t="shared" ref="H61:AE61" si="22">H62+H63+H64</f>
        <v>0</v>
      </c>
      <c r="I61" s="591">
        <f t="shared" si="22"/>
        <v>0</v>
      </c>
      <c r="J61" s="591">
        <f t="shared" si="22"/>
        <v>0</v>
      </c>
      <c r="K61" s="591">
        <f t="shared" si="22"/>
        <v>0</v>
      </c>
      <c r="L61" s="591">
        <f t="shared" si="22"/>
        <v>2127.6</v>
      </c>
      <c r="M61" s="591">
        <f t="shared" si="22"/>
        <v>2127.6</v>
      </c>
      <c r="N61" s="591">
        <f t="shared" si="22"/>
        <v>2552.29</v>
      </c>
      <c r="O61" s="591">
        <f t="shared" si="22"/>
        <v>2552.29</v>
      </c>
      <c r="P61" s="591">
        <f t="shared" si="22"/>
        <v>0</v>
      </c>
      <c r="Q61" s="591">
        <f t="shared" si="22"/>
        <v>0</v>
      </c>
      <c r="R61" s="591">
        <f t="shared" si="22"/>
        <v>0</v>
      </c>
      <c r="S61" s="591">
        <f t="shared" si="22"/>
        <v>0</v>
      </c>
      <c r="T61" s="591">
        <f t="shared" si="22"/>
        <v>0</v>
      </c>
      <c r="U61" s="591">
        <f t="shared" si="22"/>
        <v>0</v>
      </c>
      <c r="V61" s="591">
        <f t="shared" si="22"/>
        <v>0</v>
      </c>
      <c r="W61" s="591">
        <f t="shared" si="22"/>
        <v>0</v>
      </c>
      <c r="X61" s="591">
        <f t="shared" si="22"/>
        <v>0</v>
      </c>
      <c r="Y61" s="591">
        <f t="shared" si="22"/>
        <v>0</v>
      </c>
      <c r="Z61" s="591">
        <f t="shared" si="22"/>
        <v>0</v>
      </c>
      <c r="AA61" s="591">
        <f t="shared" si="22"/>
        <v>0</v>
      </c>
      <c r="AB61" s="591">
        <f t="shared" si="22"/>
        <v>0</v>
      </c>
      <c r="AC61" s="591">
        <f t="shared" si="22"/>
        <v>0</v>
      </c>
      <c r="AD61" s="591">
        <f t="shared" si="22"/>
        <v>0</v>
      </c>
      <c r="AE61" s="591">
        <f t="shared" si="22"/>
        <v>0</v>
      </c>
      <c r="AF61" s="587"/>
      <c r="AG61" s="588">
        <f t="shared" si="1"/>
        <v>4.5474735088646412E-13</v>
      </c>
    </row>
    <row r="62" spans="1:33" s="589" customFormat="1" x14ac:dyDescent="0.3">
      <c r="A62" s="593" t="s">
        <v>169</v>
      </c>
      <c r="B62" s="594">
        <f>J62+L62+N62+P62+R62+T62+V62+X62+Z62+AB62+AD62+H62</f>
        <v>348.38</v>
      </c>
      <c r="C62" s="594">
        <f>SUM(H62+J62+L62+N62+P62+R62+T62+V62+X62+Z62+AB62+AD62)</f>
        <v>348.38</v>
      </c>
      <c r="D62" s="594">
        <f>E62</f>
        <v>348.38</v>
      </c>
      <c r="E62" s="594">
        <f>SUM(I62,K62,M62,O62,Q62,S62,U62,W62,Y62,AA62,AC62,AE62)</f>
        <v>348.38</v>
      </c>
      <c r="F62" s="594">
        <f>IFERROR(E62/B62*100,0)</f>
        <v>100</v>
      </c>
      <c r="G62" s="594">
        <f>IFERROR(E62/C62*100,0)</f>
        <v>100</v>
      </c>
      <c r="H62" s="594"/>
      <c r="I62" s="594"/>
      <c r="J62" s="594"/>
      <c r="K62" s="594"/>
      <c r="L62" s="594">
        <v>158.38</v>
      </c>
      <c r="M62" s="594">
        <v>158.38</v>
      </c>
      <c r="N62" s="594">
        <v>190</v>
      </c>
      <c r="O62" s="594">
        <v>190</v>
      </c>
      <c r="P62" s="594"/>
      <c r="Q62" s="594"/>
      <c r="R62" s="594"/>
      <c r="S62" s="594"/>
      <c r="T62" s="594"/>
      <c r="U62" s="594"/>
      <c r="V62" s="594"/>
      <c r="W62" s="594"/>
      <c r="X62" s="594"/>
      <c r="Y62" s="594"/>
      <c r="Z62" s="594"/>
      <c r="AA62" s="594"/>
      <c r="AB62" s="594"/>
      <c r="AC62" s="594"/>
      <c r="AD62" s="594"/>
      <c r="AE62" s="594"/>
      <c r="AF62" s="587"/>
      <c r="AG62" s="588">
        <f t="shared" si="1"/>
        <v>0</v>
      </c>
    </row>
    <row r="63" spans="1:33" s="589" customFormat="1" x14ac:dyDescent="0.3">
      <c r="A63" s="593" t="s">
        <v>32</v>
      </c>
      <c r="B63" s="594">
        <f>J63+L63+N63+P63+R63+T63+V63+X63+Z63+AB63+AD63+H63</f>
        <v>4097.45</v>
      </c>
      <c r="C63" s="594">
        <f t="shared" ref="C63:C66" si="23">SUM(H63+J63+L63+N63+P63+R63+T63+V63+X63+Z63+AB63+AD63)</f>
        <v>4097.45</v>
      </c>
      <c r="D63" s="594">
        <f>E63</f>
        <v>4097.45</v>
      </c>
      <c r="E63" s="594">
        <f>SUM(I63,K63,M63,O63,Q63,S63,U63,W63,Y63,AA63,AC63,AE63)</f>
        <v>4097.45</v>
      </c>
      <c r="F63" s="594"/>
      <c r="G63" s="594"/>
      <c r="H63" s="594"/>
      <c r="I63" s="594"/>
      <c r="J63" s="594"/>
      <c r="K63" s="594"/>
      <c r="L63" s="594">
        <v>1862.81</v>
      </c>
      <c r="M63" s="594">
        <v>1862.81</v>
      </c>
      <c r="N63" s="594">
        <v>2234.64</v>
      </c>
      <c r="O63" s="594">
        <v>2234.64</v>
      </c>
      <c r="P63" s="594"/>
      <c r="Q63" s="594"/>
      <c r="R63" s="594"/>
      <c r="S63" s="594"/>
      <c r="T63" s="594"/>
      <c r="U63" s="594"/>
      <c r="V63" s="594"/>
      <c r="W63" s="594"/>
      <c r="X63" s="594"/>
      <c r="Y63" s="594"/>
      <c r="Z63" s="594"/>
      <c r="AA63" s="594"/>
      <c r="AB63" s="594"/>
      <c r="AC63" s="594"/>
      <c r="AD63" s="594"/>
      <c r="AE63" s="594"/>
      <c r="AF63" s="587"/>
      <c r="AG63" s="588">
        <f t="shared" si="1"/>
        <v>0</v>
      </c>
    </row>
    <row r="64" spans="1:33" s="589" customFormat="1" x14ac:dyDescent="0.3">
      <c r="A64" s="593" t="s">
        <v>33</v>
      </c>
      <c r="B64" s="594">
        <f>J64+L64+N64+P64+R64+T64+V64+X64+Z64+AB64+AD64+H64</f>
        <v>234.06</v>
      </c>
      <c r="C64" s="594">
        <f t="shared" si="23"/>
        <v>234.06</v>
      </c>
      <c r="D64" s="594">
        <f>E64</f>
        <v>234.06</v>
      </c>
      <c r="E64" s="594">
        <f>SUM(I64,K64,M64,O64,Q64,S64,U64,W64,Y64,AA64,AC64,AE64)</f>
        <v>234.06</v>
      </c>
      <c r="F64" s="594">
        <f>IFERROR(E64/B64*100,0)</f>
        <v>100</v>
      </c>
      <c r="G64" s="594">
        <f>IFERROR(E64/C64*100,0)</f>
        <v>100</v>
      </c>
      <c r="H64" s="594"/>
      <c r="I64" s="594"/>
      <c r="J64" s="594"/>
      <c r="K64" s="594"/>
      <c r="L64" s="594">
        <v>106.41</v>
      </c>
      <c r="M64" s="594">
        <v>106.41</v>
      </c>
      <c r="N64" s="594">
        <v>127.65</v>
      </c>
      <c r="O64" s="594">
        <v>127.65</v>
      </c>
      <c r="P64" s="594"/>
      <c r="Q64" s="594"/>
      <c r="R64" s="594"/>
      <c r="S64" s="594"/>
      <c r="T64" s="594"/>
      <c r="U64" s="594"/>
      <c r="V64" s="594"/>
      <c r="W64" s="594"/>
      <c r="X64" s="594"/>
      <c r="Y64" s="594"/>
      <c r="Z64" s="594"/>
      <c r="AA64" s="594"/>
      <c r="AB64" s="594"/>
      <c r="AC64" s="594"/>
      <c r="AD64" s="594"/>
      <c r="AE64" s="594"/>
      <c r="AF64" s="587"/>
      <c r="AG64" s="588">
        <f t="shared" si="1"/>
        <v>0</v>
      </c>
    </row>
    <row r="65" spans="1:33" s="589" customFormat="1" ht="37.5" x14ac:dyDescent="0.3">
      <c r="A65" s="600" t="s">
        <v>174</v>
      </c>
      <c r="B65" s="594">
        <f>J65+L65+N65+P65+R65+T65+V65+X65+Z65+AB65+AD65+H65</f>
        <v>0</v>
      </c>
      <c r="C65" s="594">
        <f t="shared" si="23"/>
        <v>0</v>
      </c>
      <c r="D65" s="594">
        <f>E65</f>
        <v>0</v>
      </c>
      <c r="E65" s="594">
        <f>SUM(I65,K65,M65,O65,Q65,S65,U65,W65,Y65,AA65,AC65,AE65)</f>
        <v>0</v>
      </c>
      <c r="F65" s="594">
        <f>IFERROR(E65/B65*100,0)</f>
        <v>0</v>
      </c>
      <c r="G65" s="594">
        <f>IFERROR(E65/C65*100,0)</f>
        <v>0</v>
      </c>
      <c r="H65" s="594"/>
      <c r="I65" s="594"/>
      <c r="J65" s="594"/>
      <c r="K65" s="594"/>
      <c r="L65" s="594"/>
      <c r="M65" s="594"/>
      <c r="N65" s="594"/>
      <c r="O65" s="594"/>
      <c r="P65" s="594"/>
      <c r="Q65" s="594"/>
      <c r="R65" s="594"/>
      <c r="S65" s="594"/>
      <c r="T65" s="594"/>
      <c r="U65" s="594"/>
      <c r="V65" s="594"/>
      <c r="W65" s="594"/>
      <c r="X65" s="594"/>
      <c r="Y65" s="594"/>
      <c r="Z65" s="594"/>
      <c r="AA65" s="594"/>
      <c r="AB65" s="594"/>
      <c r="AC65" s="594"/>
      <c r="AD65" s="594"/>
      <c r="AE65" s="594"/>
      <c r="AF65" s="587"/>
      <c r="AG65" s="588"/>
    </row>
    <row r="66" spans="1:33" s="589" customFormat="1" x14ac:dyDescent="0.3">
      <c r="A66" s="593" t="s">
        <v>170</v>
      </c>
      <c r="B66" s="594">
        <f>J66+L66+N66+P66+R66+T66+V66+X66+Z66+AB66+AD66+H66</f>
        <v>0</v>
      </c>
      <c r="C66" s="594">
        <f t="shared" si="23"/>
        <v>0</v>
      </c>
      <c r="D66" s="594">
        <f>E66</f>
        <v>0</v>
      </c>
      <c r="E66" s="594">
        <f>SUM(I66,K66,M66,O66,Q66,S66,U66,W66,Y66,AA66,AC66,AE66)</f>
        <v>0</v>
      </c>
      <c r="F66" s="594">
        <f>IFERROR(E66/B66*100,0)</f>
        <v>0</v>
      </c>
      <c r="G66" s="594">
        <f>IFERROR(E66/C66*100,0)</f>
        <v>0</v>
      </c>
      <c r="H66" s="594"/>
      <c r="I66" s="594"/>
      <c r="J66" s="594"/>
      <c r="K66" s="594"/>
      <c r="L66" s="594"/>
      <c r="M66" s="594"/>
      <c r="N66" s="594"/>
      <c r="O66" s="594"/>
      <c r="P66" s="594"/>
      <c r="Q66" s="594"/>
      <c r="R66" s="594"/>
      <c r="S66" s="594"/>
      <c r="T66" s="594"/>
      <c r="U66" s="594"/>
      <c r="V66" s="594"/>
      <c r="W66" s="594"/>
      <c r="X66" s="594"/>
      <c r="Y66" s="594"/>
      <c r="Z66" s="594"/>
      <c r="AA66" s="594"/>
      <c r="AB66" s="594"/>
      <c r="AC66" s="594"/>
      <c r="AD66" s="594"/>
      <c r="AE66" s="594"/>
      <c r="AF66" s="587"/>
      <c r="AG66" s="588">
        <f t="shared" si="1"/>
        <v>0</v>
      </c>
    </row>
    <row r="67" spans="1:33" s="589" customFormat="1" ht="337.5" x14ac:dyDescent="0.3">
      <c r="A67" s="596" t="s">
        <v>326</v>
      </c>
      <c r="B67" s="594"/>
      <c r="C67" s="602"/>
      <c r="D67" s="602"/>
      <c r="E67" s="602"/>
      <c r="F67" s="602"/>
      <c r="G67" s="602"/>
      <c r="H67" s="594"/>
      <c r="I67" s="594"/>
      <c r="J67" s="594"/>
      <c r="K67" s="594"/>
      <c r="L67" s="594"/>
      <c r="M67" s="594"/>
      <c r="N67" s="594"/>
      <c r="O67" s="594"/>
      <c r="P67" s="594"/>
      <c r="Q67" s="594"/>
      <c r="R67" s="594"/>
      <c r="S67" s="594"/>
      <c r="T67" s="594"/>
      <c r="U67" s="594"/>
      <c r="V67" s="594"/>
      <c r="W67" s="594"/>
      <c r="X67" s="594"/>
      <c r="Y67" s="594"/>
      <c r="Z67" s="594"/>
      <c r="AA67" s="594"/>
      <c r="AB67" s="594"/>
      <c r="AC67" s="594"/>
      <c r="AD67" s="594"/>
      <c r="AE67" s="594"/>
      <c r="AF67" s="709" t="s">
        <v>609</v>
      </c>
      <c r="AG67" s="588">
        <f t="shared" si="1"/>
        <v>0</v>
      </c>
    </row>
    <row r="68" spans="1:33" s="589" customFormat="1" x14ac:dyDescent="0.3">
      <c r="A68" s="590" t="s">
        <v>31</v>
      </c>
      <c r="B68" s="591">
        <f>B69+B70+B71+B72</f>
        <v>1981</v>
      </c>
      <c r="C68" s="591">
        <f>C69+C70+C71+C72</f>
        <v>1981</v>
      </c>
      <c r="D68" s="591">
        <f>D69+D70+D71+D72</f>
        <v>0</v>
      </c>
      <c r="E68" s="591">
        <f>E69+E70+E71+E72</f>
        <v>0</v>
      </c>
      <c r="F68" s="594">
        <v>0</v>
      </c>
      <c r="G68" s="594">
        <v>0</v>
      </c>
      <c r="H68" s="591">
        <f>H69+H70+H71+H72</f>
        <v>0</v>
      </c>
      <c r="I68" s="591">
        <f t="shared" ref="I68:AE68" si="24">I69+I70+I71+I72</f>
        <v>0</v>
      </c>
      <c r="J68" s="591">
        <f t="shared" si="24"/>
        <v>0</v>
      </c>
      <c r="K68" s="591">
        <f t="shared" si="24"/>
        <v>0</v>
      </c>
      <c r="L68" s="591">
        <f t="shared" si="24"/>
        <v>0</v>
      </c>
      <c r="M68" s="591">
        <f t="shared" si="24"/>
        <v>0</v>
      </c>
      <c r="N68" s="591">
        <f t="shared" si="24"/>
        <v>0</v>
      </c>
      <c r="O68" s="591">
        <f t="shared" si="24"/>
        <v>0</v>
      </c>
      <c r="P68" s="591">
        <f t="shared" si="24"/>
        <v>0</v>
      </c>
      <c r="Q68" s="591">
        <f t="shared" si="24"/>
        <v>0</v>
      </c>
      <c r="R68" s="591">
        <f t="shared" si="24"/>
        <v>0</v>
      </c>
      <c r="S68" s="591">
        <f t="shared" si="24"/>
        <v>0</v>
      </c>
      <c r="T68" s="591">
        <f t="shared" si="24"/>
        <v>0</v>
      </c>
      <c r="U68" s="591">
        <f t="shared" si="24"/>
        <v>0</v>
      </c>
      <c r="V68" s="591">
        <f t="shared" si="24"/>
        <v>0</v>
      </c>
      <c r="W68" s="591">
        <f t="shared" si="24"/>
        <v>0</v>
      </c>
      <c r="X68" s="591">
        <f t="shared" si="24"/>
        <v>0</v>
      </c>
      <c r="Y68" s="591">
        <f t="shared" si="24"/>
        <v>0</v>
      </c>
      <c r="Z68" s="591">
        <f t="shared" si="24"/>
        <v>0</v>
      </c>
      <c r="AA68" s="591">
        <f t="shared" si="24"/>
        <v>0</v>
      </c>
      <c r="AB68" s="591">
        <f t="shared" si="24"/>
        <v>0</v>
      </c>
      <c r="AC68" s="591">
        <f t="shared" si="24"/>
        <v>0</v>
      </c>
      <c r="AD68" s="591">
        <f t="shared" si="24"/>
        <v>1981</v>
      </c>
      <c r="AE68" s="591">
        <f t="shared" si="24"/>
        <v>0</v>
      </c>
      <c r="AF68" s="587"/>
      <c r="AG68" s="588">
        <f t="shared" si="1"/>
        <v>0</v>
      </c>
    </row>
    <row r="69" spans="1:33" s="589" customFormat="1" x14ac:dyDescent="0.3">
      <c r="A69" s="593" t="s">
        <v>169</v>
      </c>
      <c r="B69" s="594">
        <f>J69+L69+N69+P69+R69+T69+V69+X69+Z69+AB69+AD69+H69</f>
        <v>1981</v>
      </c>
      <c r="C69" s="594">
        <f>SUM(H69+J69+L69+N69+P69+R69+T69+V69+X69+Z69+AB69+AD69)</f>
        <v>1981</v>
      </c>
      <c r="D69" s="594">
        <f>E69</f>
        <v>0</v>
      </c>
      <c r="E69" s="594">
        <f>SUM(I69,K69,M69,O69,Q69,S69,U69,W69,Y69,AA69,AC69,AE69)</f>
        <v>0</v>
      </c>
      <c r="F69" s="594"/>
      <c r="G69" s="594"/>
      <c r="H69" s="594"/>
      <c r="I69" s="594"/>
      <c r="J69" s="594"/>
      <c r="K69" s="594"/>
      <c r="L69" s="594"/>
      <c r="M69" s="594"/>
      <c r="N69" s="594"/>
      <c r="O69" s="594"/>
      <c r="P69" s="594"/>
      <c r="Q69" s="594"/>
      <c r="R69" s="594"/>
      <c r="S69" s="594"/>
      <c r="T69" s="594"/>
      <c r="U69" s="594"/>
      <c r="V69" s="594"/>
      <c r="W69" s="594"/>
      <c r="X69" s="594"/>
      <c r="Y69" s="594"/>
      <c r="Z69" s="594"/>
      <c r="AA69" s="594"/>
      <c r="AB69" s="594"/>
      <c r="AC69" s="594"/>
      <c r="AD69" s="594">
        <v>1981</v>
      </c>
      <c r="AE69" s="594"/>
      <c r="AF69" s="587"/>
      <c r="AG69" s="588">
        <f t="shared" si="1"/>
        <v>0</v>
      </c>
    </row>
    <row r="70" spans="1:33" s="589" customFormat="1" x14ac:dyDescent="0.3">
      <c r="A70" s="593" t="s">
        <v>32</v>
      </c>
      <c r="B70" s="594">
        <f>J70+L70+N70+P70+R70+T70+V70+X70+Z70+AB70+AD70+H70</f>
        <v>0</v>
      </c>
      <c r="C70" s="594">
        <f t="shared" ref="C70:C72" si="25">SUM(H70+J70+L70+N70+P70+R70+T70+V70+X70+Z70+AB70+AD70)</f>
        <v>0</v>
      </c>
      <c r="D70" s="594">
        <f>E70</f>
        <v>0</v>
      </c>
      <c r="E70" s="594">
        <f>SUM(I70,K70,M70,O70,Q70,S70,U70,W70,Y70,AA70,AC70,AE70)</f>
        <v>0</v>
      </c>
      <c r="F70" s="594"/>
      <c r="G70" s="594"/>
      <c r="H70" s="594"/>
      <c r="I70" s="594"/>
      <c r="J70" s="594"/>
      <c r="K70" s="594"/>
      <c r="L70" s="594"/>
      <c r="M70" s="594"/>
      <c r="N70" s="594"/>
      <c r="O70" s="594"/>
      <c r="P70" s="594"/>
      <c r="Q70" s="594"/>
      <c r="R70" s="594"/>
      <c r="S70" s="594"/>
      <c r="T70" s="594"/>
      <c r="U70" s="594"/>
      <c r="V70" s="594"/>
      <c r="W70" s="594"/>
      <c r="X70" s="594"/>
      <c r="Y70" s="594"/>
      <c r="Z70" s="594"/>
      <c r="AA70" s="594"/>
      <c r="AB70" s="594"/>
      <c r="AC70" s="594"/>
      <c r="AD70" s="594"/>
      <c r="AE70" s="594"/>
      <c r="AF70" s="587"/>
      <c r="AG70" s="588">
        <f t="shared" si="1"/>
        <v>0</v>
      </c>
    </row>
    <row r="71" spans="1:33" s="589" customFormat="1" x14ac:dyDescent="0.3">
      <c r="A71" s="593" t="s">
        <v>33</v>
      </c>
      <c r="B71" s="594">
        <f>J71+L71+N71+P71+R71+T71+V71+X71+Z71+AB71+AD71+H71</f>
        <v>0</v>
      </c>
      <c r="C71" s="594">
        <f t="shared" si="25"/>
        <v>0</v>
      </c>
      <c r="D71" s="594">
        <f>E71</f>
        <v>0</v>
      </c>
      <c r="E71" s="594">
        <f>SUM(I71,K71,M71,O71,Q71,S71,U71,W71,Y71,AA71,AC71,AE71)</f>
        <v>0</v>
      </c>
      <c r="F71" s="594">
        <f>IFERROR(E71/B71*100,0)</f>
        <v>0</v>
      </c>
      <c r="G71" s="594">
        <f>IFERROR(E71/C71*100,0)</f>
        <v>0</v>
      </c>
      <c r="H71" s="594"/>
      <c r="I71" s="594"/>
      <c r="J71" s="594"/>
      <c r="K71" s="594"/>
      <c r="L71" s="594"/>
      <c r="M71" s="594"/>
      <c r="N71" s="594"/>
      <c r="O71" s="594"/>
      <c r="P71" s="594"/>
      <c r="Q71" s="594"/>
      <c r="R71" s="594"/>
      <c r="S71" s="594"/>
      <c r="T71" s="594"/>
      <c r="U71" s="594"/>
      <c r="V71" s="594"/>
      <c r="W71" s="594"/>
      <c r="X71" s="594"/>
      <c r="Y71" s="594"/>
      <c r="Z71" s="594"/>
      <c r="AA71" s="594"/>
      <c r="AB71" s="594"/>
      <c r="AC71" s="594"/>
      <c r="AD71" s="594"/>
      <c r="AE71" s="594"/>
      <c r="AF71" s="587"/>
      <c r="AG71" s="588">
        <f t="shared" si="1"/>
        <v>0</v>
      </c>
    </row>
    <row r="72" spans="1:33" s="589" customFormat="1" x14ac:dyDescent="0.3">
      <c r="A72" s="593" t="s">
        <v>170</v>
      </c>
      <c r="B72" s="594">
        <f>J72+L72+N72+P72+R72+T72+V72+X72+Z72+AB72+AD72+H72</f>
        <v>0</v>
      </c>
      <c r="C72" s="594">
        <f t="shared" si="25"/>
        <v>0</v>
      </c>
      <c r="D72" s="594">
        <f>E72</f>
        <v>0</v>
      </c>
      <c r="E72" s="594">
        <f>SUM(I72,K72,M72,O72,Q72,S72,U72,W72,Y72,AA72,AC72,AE72)</f>
        <v>0</v>
      </c>
      <c r="F72" s="594"/>
      <c r="G72" s="594"/>
      <c r="H72" s="594"/>
      <c r="I72" s="594"/>
      <c r="J72" s="594"/>
      <c r="K72" s="594"/>
      <c r="L72" s="594"/>
      <c r="M72" s="594"/>
      <c r="N72" s="594"/>
      <c r="O72" s="594"/>
      <c r="P72" s="594"/>
      <c r="Q72" s="594"/>
      <c r="R72" s="594"/>
      <c r="S72" s="594"/>
      <c r="T72" s="594"/>
      <c r="U72" s="594"/>
      <c r="V72" s="594"/>
      <c r="W72" s="594"/>
      <c r="X72" s="594"/>
      <c r="Y72" s="594"/>
      <c r="Z72" s="594"/>
      <c r="AA72" s="594"/>
      <c r="AB72" s="594"/>
      <c r="AC72" s="594"/>
      <c r="AD72" s="594"/>
      <c r="AE72" s="594"/>
      <c r="AF72" s="587"/>
      <c r="AG72" s="588">
        <f t="shared" si="1"/>
        <v>0</v>
      </c>
    </row>
    <row r="73" spans="1:33" s="589" customFormat="1" ht="243.75" x14ac:dyDescent="0.3">
      <c r="A73" s="596" t="s">
        <v>327</v>
      </c>
      <c r="B73" s="594"/>
      <c r="C73" s="602"/>
      <c r="D73" s="602"/>
      <c r="E73" s="602"/>
      <c r="F73" s="602"/>
      <c r="G73" s="602"/>
      <c r="H73" s="594"/>
      <c r="I73" s="594"/>
      <c r="J73" s="594"/>
      <c r="K73" s="594"/>
      <c r="L73" s="594"/>
      <c r="M73" s="594"/>
      <c r="N73" s="594"/>
      <c r="O73" s="594"/>
      <c r="P73" s="594"/>
      <c r="Q73" s="594"/>
      <c r="R73" s="594"/>
      <c r="S73" s="594"/>
      <c r="T73" s="594"/>
      <c r="U73" s="594"/>
      <c r="V73" s="594"/>
      <c r="W73" s="594"/>
      <c r="X73" s="594"/>
      <c r="Y73" s="594"/>
      <c r="Z73" s="594"/>
      <c r="AA73" s="594"/>
      <c r="AB73" s="594"/>
      <c r="AC73" s="594"/>
      <c r="AD73" s="594"/>
      <c r="AE73" s="594"/>
      <c r="AF73" s="910" t="s">
        <v>608</v>
      </c>
      <c r="AG73" s="588">
        <f t="shared" si="1"/>
        <v>0</v>
      </c>
    </row>
    <row r="74" spans="1:33" s="589" customFormat="1" x14ac:dyDescent="0.3">
      <c r="A74" s="590" t="s">
        <v>31</v>
      </c>
      <c r="B74" s="591">
        <f>B75+B76+B77+B78</f>
        <v>2055.7999999999997</v>
      </c>
      <c r="C74" s="591">
        <f>C75+C76+C77+C78</f>
        <v>2055.7999999999997</v>
      </c>
      <c r="D74" s="591">
        <f>D75+D76+D77+D78</f>
        <v>9.1999999999999993</v>
      </c>
      <c r="E74" s="591">
        <f>E75+E76+E77+E78</f>
        <v>9.1999999999999993</v>
      </c>
      <c r="F74" s="594">
        <v>0</v>
      </c>
      <c r="G74" s="594">
        <v>0</v>
      </c>
      <c r="H74" s="591">
        <f>H75+H76+H77+H78</f>
        <v>0</v>
      </c>
      <c r="I74" s="591">
        <f t="shared" ref="I74:AE74" si="26">I75+I76+I77+I78</f>
        <v>0</v>
      </c>
      <c r="J74" s="591">
        <f t="shared" si="26"/>
        <v>0</v>
      </c>
      <c r="K74" s="591">
        <f t="shared" si="26"/>
        <v>0</v>
      </c>
      <c r="L74" s="591">
        <f t="shared" si="26"/>
        <v>0</v>
      </c>
      <c r="M74" s="591">
        <f t="shared" si="26"/>
        <v>0</v>
      </c>
      <c r="N74" s="591">
        <f t="shared" si="26"/>
        <v>9.1999999999999993</v>
      </c>
      <c r="O74" s="591">
        <f t="shared" si="26"/>
        <v>0</v>
      </c>
      <c r="P74" s="591">
        <f t="shared" si="26"/>
        <v>0</v>
      </c>
      <c r="Q74" s="591">
        <f t="shared" si="26"/>
        <v>4.3600000000000003</v>
      </c>
      <c r="R74" s="591">
        <f t="shared" si="26"/>
        <v>0</v>
      </c>
      <c r="S74" s="591">
        <f t="shared" si="26"/>
        <v>4.84</v>
      </c>
      <c r="T74" s="591">
        <f t="shared" si="26"/>
        <v>0</v>
      </c>
      <c r="U74" s="591">
        <f t="shared" si="26"/>
        <v>0</v>
      </c>
      <c r="V74" s="591">
        <f t="shared" si="26"/>
        <v>0</v>
      </c>
      <c r="W74" s="591">
        <f t="shared" si="26"/>
        <v>0</v>
      </c>
      <c r="X74" s="591">
        <f t="shared" si="26"/>
        <v>0</v>
      </c>
      <c r="Y74" s="591">
        <f t="shared" si="26"/>
        <v>0</v>
      </c>
      <c r="Z74" s="591">
        <f t="shared" si="26"/>
        <v>0</v>
      </c>
      <c r="AA74" s="591">
        <f t="shared" si="26"/>
        <v>0</v>
      </c>
      <c r="AB74" s="591">
        <f t="shared" si="26"/>
        <v>0</v>
      </c>
      <c r="AC74" s="591">
        <f t="shared" si="26"/>
        <v>0</v>
      </c>
      <c r="AD74" s="591">
        <f t="shared" si="26"/>
        <v>2046.6</v>
      </c>
      <c r="AE74" s="591">
        <f t="shared" si="26"/>
        <v>0</v>
      </c>
      <c r="AF74" s="587"/>
      <c r="AG74" s="588">
        <f t="shared" si="1"/>
        <v>0</v>
      </c>
    </row>
    <row r="75" spans="1:33" s="589" customFormat="1" x14ac:dyDescent="0.3">
      <c r="A75" s="593" t="s">
        <v>169</v>
      </c>
      <c r="B75" s="594">
        <f>J75+L75+N75+P75+R75+T75+V75+X75+Z75+AB75+AD75+H75</f>
        <v>2046.6</v>
      </c>
      <c r="C75" s="594">
        <f>SUM(H75+J75+L75+N75+P75+R75+T75+V75+X75+Z75+AB75+AD75)</f>
        <v>2046.6</v>
      </c>
      <c r="D75" s="594">
        <f>E75</f>
        <v>0</v>
      </c>
      <c r="E75" s="594">
        <f>SUM(I75,K75,M75,O75,Q75,S75,U75,W75,Y75,AA75,AC75,AE75)</f>
        <v>0</v>
      </c>
      <c r="F75" s="594"/>
      <c r="G75" s="594"/>
      <c r="H75" s="594"/>
      <c r="I75" s="594"/>
      <c r="J75" s="594"/>
      <c r="K75" s="594"/>
      <c r="L75" s="594"/>
      <c r="M75" s="594"/>
      <c r="N75" s="594"/>
      <c r="O75" s="594"/>
      <c r="P75" s="594"/>
      <c r="Q75" s="594"/>
      <c r="R75" s="594"/>
      <c r="S75" s="594"/>
      <c r="T75" s="594"/>
      <c r="U75" s="594"/>
      <c r="V75" s="594"/>
      <c r="W75" s="594"/>
      <c r="X75" s="594"/>
      <c r="Y75" s="594"/>
      <c r="Z75" s="594"/>
      <c r="AA75" s="594"/>
      <c r="AB75" s="594"/>
      <c r="AC75" s="594"/>
      <c r="AD75" s="594">
        <v>2046.6</v>
      </c>
      <c r="AE75" s="594"/>
      <c r="AF75" s="587"/>
      <c r="AG75" s="588">
        <f t="shared" si="1"/>
        <v>0</v>
      </c>
    </row>
    <row r="76" spans="1:33" s="589" customFormat="1" x14ac:dyDescent="0.3">
      <c r="A76" s="593" t="s">
        <v>32</v>
      </c>
      <c r="B76" s="594">
        <f>J76+L76+N76+P76+R76+T76+V76+X76+Z76+AB76+AD76+H76</f>
        <v>9.1999999999999993</v>
      </c>
      <c r="C76" s="594">
        <f t="shared" ref="C76:C78" si="27">SUM(H76+J76+L76+N76+P76+R76+T76+V76+X76+Z76+AB76+AD76)</f>
        <v>9.1999999999999993</v>
      </c>
      <c r="D76" s="594">
        <f>E76</f>
        <v>9.1999999999999993</v>
      </c>
      <c r="E76" s="594">
        <f>SUM(I76,K76,M76,O76,Q76,S76,U76,W76,Y76,AA76,AC76,AE76)</f>
        <v>9.1999999999999993</v>
      </c>
      <c r="F76" s="594">
        <f>IFERROR(E76/B76*100,0)</f>
        <v>100</v>
      </c>
      <c r="G76" s="594">
        <f>IFERROR(E76/C76*100,0)</f>
        <v>100</v>
      </c>
      <c r="H76" s="594"/>
      <c r="I76" s="594"/>
      <c r="J76" s="594"/>
      <c r="K76" s="594"/>
      <c r="L76" s="594"/>
      <c r="M76" s="594"/>
      <c r="N76" s="594">
        <v>9.1999999999999993</v>
      </c>
      <c r="O76" s="594"/>
      <c r="P76" s="594"/>
      <c r="Q76" s="594">
        <v>4.3600000000000003</v>
      </c>
      <c r="R76" s="594"/>
      <c r="S76" s="594">
        <v>4.84</v>
      </c>
      <c r="T76" s="594"/>
      <c r="U76" s="594"/>
      <c r="V76" s="594"/>
      <c r="W76" s="594"/>
      <c r="X76" s="594"/>
      <c r="Y76" s="594"/>
      <c r="Z76" s="594"/>
      <c r="AA76" s="594"/>
      <c r="AB76" s="594"/>
      <c r="AC76" s="594"/>
      <c r="AD76" s="594"/>
      <c r="AE76" s="594"/>
      <c r="AF76" s="587"/>
      <c r="AG76" s="588">
        <f t="shared" si="1"/>
        <v>0</v>
      </c>
    </row>
    <row r="77" spans="1:33" s="589" customFormat="1" x14ac:dyDescent="0.3">
      <c r="A77" s="593" t="s">
        <v>33</v>
      </c>
      <c r="B77" s="594">
        <f>J77+L77+N77+P77+R77+T77+V77+X77+Z77+AB77+AD77+H77</f>
        <v>0</v>
      </c>
      <c r="C77" s="594">
        <f t="shared" si="27"/>
        <v>0</v>
      </c>
      <c r="D77" s="594">
        <f>E77</f>
        <v>0</v>
      </c>
      <c r="E77" s="594">
        <f>SUM(I77,K77,M77,O77,Q77,S77,U77,W77,Y77,AA77,AC77,AE77)</f>
        <v>0</v>
      </c>
      <c r="F77" s="594">
        <f>IFERROR(E77/B77*100,0)</f>
        <v>0</v>
      </c>
      <c r="G77" s="594">
        <f>IFERROR(E77/C77*100,0)</f>
        <v>0</v>
      </c>
      <c r="H77" s="594"/>
      <c r="I77" s="594"/>
      <c r="J77" s="594"/>
      <c r="K77" s="594"/>
      <c r="L77" s="594"/>
      <c r="M77" s="594"/>
      <c r="N77" s="594"/>
      <c r="O77" s="594"/>
      <c r="P77" s="594"/>
      <c r="Q77" s="594"/>
      <c r="R77" s="594"/>
      <c r="S77" s="594"/>
      <c r="T77" s="594"/>
      <c r="U77" s="594"/>
      <c r="V77" s="594"/>
      <c r="W77" s="594"/>
      <c r="X77" s="594"/>
      <c r="Y77" s="594"/>
      <c r="Z77" s="594"/>
      <c r="AA77" s="594"/>
      <c r="AB77" s="594"/>
      <c r="AC77" s="594"/>
      <c r="AD77" s="594"/>
      <c r="AE77" s="594"/>
      <c r="AF77" s="587"/>
      <c r="AG77" s="588">
        <f t="shared" si="1"/>
        <v>0</v>
      </c>
    </row>
    <row r="78" spans="1:33" s="589" customFormat="1" x14ac:dyDescent="0.3">
      <c r="A78" s="593" t="s">
        <v>170</v>
      </c>
      <c r="B78" s="594">
        <f>J78+L78+N78+P78+R78+T78+V78+X78+Z78+AB78+AD78+H78</f>
        <v>0</v>
      </c>
      <c r="C78" s="594">
        <f t="shared" si="27"/>
        <v>0</v>
      </c>
      <c r="D78" s="594">
        <f>E78</f>
        <v>0</v>
      </c>
      <c r="E78" s="594">
        <f>SUM(I78,K78,M78,O78,Q78,S78,U78,W78,Y78,AA78,AC78,AE78)</f>
        <v>0</v>
      </c>
      <c r="F78" s="594"/>
      <c r="G78" s="594"/>
      <c r="H78" s="594"/>
      <c r="I78" s="594"/>
      <c r="J78" s="594"/>
      <c r="K78" s="594"/>
      <c r="L78" s="594"/>
      <c r="M78" s="594"/>
      <c r="N78" s="594"/>
      <c r="O78" s="594"/>
      <c r="P78" s="594"/>
      <c r="Q78" s="594"/>
      <c r="R78" s="594"/>
      <c r="S78" s="594"/>
      <c r="T78" s="594"/>
      <c r="U78" s="594"/>
      <c r="V78" s="594"/>
      <c r="W78" s="594"/>
      <c r="X78" s="594"/>
      <c r="Y78" s="594"/>
      <c r="Z78" s="594"/>
      <c r="AA78" s="594"/>
      <c r="AB78" s="594"/>
      <c r="AC78" s="594"/>
      <c r="AD78" s="594"/>
      <c r="AE78" s="594"/>
      <c r="AF78" s="587"/>
      <c r="AG78" s="588">
        <f t="shared" si="1"/>
        <v>0</v>
      </c>
    </row>
    <row r="79" spans="1:33" s="589" customFormat="1" ht="144.75" customHeight="1" x14ac:dyDescent="0.3">
      <c r="A79" s="596" t="s">
        <v>328</v>
      </c>
      <c r="B79" s="594"/>
      <c r="C79" s="602"/>
      <c r="D79" s="602"/>
      <c r="E79" s="602"/>
      <c r="F79" s="602"/>
      <c r="G79" s="602"/>
      <c r="H79" s="594"/>
      <c r="I79" s="594"/>
      <c r="J79" s="594"/>
      <c r="K79" s="594"/>
      <c r="L79" s="594"/>
      <c r="M79" s="594"/>
      <c r="N79" s="594"/>
      <c r="O79" s="594"/>
      <c r="P79" s="594"/>
      <c r="Q79" s="594"/>
      <c r="R79" s="594"/>
      <c r="S79" s="594"/>
      <c r="T79" s="594"/>
      <c r="U79" s="594"/>
      <c r="V79" s="594"/>
      <c r="W79" s="594"/>
      <c r="X79" s="594"/>
      <c r="Y79" s="594"/>
      <c r="Z79" s="594"/>
      <c r="AA79" s="594"/>
      <c r="AB79" s="594"/>
      <c r="AC79" s="594"/>
      <c r="AD79" s="594"/>
      <c r="AE79" s="594"/>
      <c r="AF79" s="587"/>
      <c r="AG79" s="588">
        <f t="shared" si="1"/>
        <v>0</v>
      </c>
    </row>
    <row r="80" spans="1:33" s="589" customFormat="1" x14ac:dyDescent="0.3">
      <c r="A80" s="590" t="s">
        <v>31</v>
      </c>
      <c r="B80" s="591">
        <f>B81+B82+B83+B84</f>
        <v>0</v>
      </c>
      <c r="C80" s="591">
        <f>C81+C82+C83+C84</f>
        <v>0</v>
      </c>
      <c r="D80" s="591">
        <f>D81+D82+D83+D84</f>
        <v>0</v>
      </c>
      <c r="E80" s="591">
        <f>E81+E82+E83+E84</f>
        <v>0</v>
      </c>
      <c r="F80" s="594">
        <v>0</v>
      </c>
      <c r="G80" s="594">
        <v>0</v>
      </c>
      <c r="H80" s="591">
        <f>H81+H82+H83+H84</f>
        <v>0</v>
      </c>
      <c r="I80" s="591">
        <f t="shared" ref="I80:AE80" si="28">I81+I82+I83+I84</f>
        <v>0</v>
      </c>
      <c r="J80" s="591">
        <f t="shared" si="28"/>
        <v>0</v>
      </c>
      <c r="K80" s="591">
        <f t="shared" si="28"/>
        <v>0</v>
      </c>
      <c r="L80" s="591">
        <f t="shared" si="28"/>
        <v>0</v>
      </c>
      <c r="M80" s="591">
        <f t="shared" si="28"/>
        <v>0</v>
      </c>
      <c r="N80" s="591">
        <f t="shared" si="28"/>
        <v>0</v>
      </c>
      <c r="O80" s="591">
        <f t="shared" si="28"/>
        <v>0</v>
      </c>
      <c r="P80" s="591">
        <f t="shared" si="28"/>
        <v>0</v>
      </c>
      <c r="Q80" s="591">
        <f t="shared" si="28"/>
        <v>0</v>
      </c>
      <c r="R80" s="591">
        <f t="shared" si="28"/>
        <v>0</v>
      </c>
      <c r="S80" s="591">
        <f t="shared" si="28"/>
        <v>0</v>
      </c>
      <c r="T80" s="591">
        <f t="shared" si="28"/>
        <v>0</v>
      </c>
      <c r="U80" s="591">
        <f t="shared" si="28"/>
        <v>0</v>
      </c>
      <c r="V80" s="591">
        <f t="shared" si="28"/>
        <v>0</v>
      </c>
      <c r="W80" s="591">
        <f t="shared" si="28"/>
        <v>0</v>
      </c>
      <c r="X80" s="591">
        <f t="shared" si="28"/>
        <v>0</v>
      </c>
      <c r="Y80" s="591">
        <f t="shared" si="28"/>
        <v>0</v>
      </c>
      <c r="Z80" s="591">
        <f t="shared" si="28"/>
        <v>0</v>
      </c>
      <c r="AA80" s="591">
        <f t="shared" si="28"/>
        <v>0</v>
      </c>
      <c r="AB80" s="591">
        <f t="shared" si="28"/>
        <v>0</v>
      </c>
      <c r="AC80" s="591">
        <f t="shared" si="28"/>
        <v>0</v>
      </c>
      <c r="AD80" s="591">
        <f t="shared" si="28"/>
        <v>0</v>
      </c>
      <c r="AE80" s="591">
        <f t="shared" si="28"/>
        <v>0</v>
      </c>
      <c r="AF80" s="587"/>
      <c r="AG80" s="588">
        <f t="shared" si="1"/>
        <v>0</v>
      </c>
    </row>
    <row r="81" spans="1:33" s="589" customFormat="1" x14ac:dyDescent="0.3">
      <c r="A81" s="593" t="s">
        <v>169</v>
      </c>
      <c r="B81" s="594">
        <f>J81+L81+N81+P81+R81+T81+V81+X81+Z81+AB81+AD81+H81</f>
        <v>0</v>
      </c>
      <c r="C81" s="594">
        <f>SUM(H81+J81+L81+N81+P81+R81+T81+V81+X81+Z81+AB81+AD81)</f>
        <v>0</v>
      </c>
      <c r="D81" s="594">
        <f>E81</f>
        <v>0</v>
      </c>
      <c r="E81" s="594">
        <f>SUM(I81,K81,M81,O81,Q81,S81,U81,W81,Y81,AA81,AC81,AE81)</f>
        <v>0</v>
      </c>
      <c r="F81" s="594"/>
      <c r="G81" s="594"/>
      <c r="H81" s="594"/>
      <c r="I81" s="594"/>
      <c r="J81" s="594"/>
      <c r="K81" s="594"/>
      <c r="L81" s="594"/>
      <c r="M81" s="594"/>
      <c r="N81" s="594"/>
      <c r="O81" s="594"/>
      <c r="P81" s="594"/>
      <c r="Q81" s="594"/>
      <c r="R81" s="594"/>
      <c r="S81" s="594"/>
      <c r="T81" s="594"/>
      <c r="U81" s="594"/>
      <c r="V81" s="594"/>
      <c r="W81" s="594"/>
      <c r="X81" s="594"/>
      <c r="Y81" s="594"/>
      <c r="Z81" s="594"/>
      <c r="AA81" s="594"/>
      <c r="AB81" s="594"/>
      <c r="AC81" s="594"/>
      <c r="AD81" s="594"/>
      <c r="AE81" s="594"/>
      <c r="AF81" s="587"/>
      <c r="AG81" s="588">
        <f t="shared" si="1"/>
        <v>0</v>
      </c>
    </row>
    <row r="82" spans="1:33" s="589" customFormat="1" x14ac:dyDescent="0.3">
      <c r="A82" s="593" t="s">
        <v>32</v>
      </c>
      <c r="B82" s="594">
        <f>J82+L82+N82+P82+R82+T82+V82+X82+Z82+AB82+AD82+H82</f>
        <v>0</v>
      </c>
      <c r="C82" s="594">
        <f t="shared" ref="C82:C84" si="29">SUM(H82+J82+L82+N82+P82+R82+T82+V82+X82+Z82+AB82+AD82)</f>
        <v>0</v>
      </c>
      <c r="D82" s="594">
        <f>E82</f>
        <v>0</v>
      </c>
      <c r="E82" s="594">
        <f>SUM(I82,K82,M82,O82,Q82,S82,U82,W82,Y82,AA82,AC82,AE82)</f>
        <v>0</v>
      </c>
      <c r="F82" s="594"/>
      <c r="G82" s="594"/>
      <c r="H82" s="594"/>
      <c r="I82" s="594"/>
      <c r="J82" s="594"/>
      <c r="K82" s="594"/>
      <c r="L82" s="594"/>
      <c r="M82" s="594"/>
      <c r="N82" s="594"/>
      <c r="O82" s="594"/>
      <c r="P82" s="594"/>
      <c r="Q82" s="594"/>
      <c r="R82" s="594"/>
      <c r="S82" s="594"/>
      <c r="T82" s="594"/>
      <c r="U82" s="594"/>
      <c r="V82" s="594"/>
      <c r="W82" s="594"/>
      <c r="X82" s="594"/>
      <c r="Y82" s="594"/>
      <c r="Z82" s="594"/>
      <c r="AA82" s="594"/>
      <c r="AB82" s="594"/>
      <c r="AC82" s="594"/>
      <c r="AD82" s="594"/>
      <c r="AE82" s="594"/>
      <c r="AF82" s="587"/>
      <c r="AG82" s="588">
        <f t="shared" si="1"/>
        <v>0</v>
      </c>
    </row>
    <row r="83" spans="1:33" s="589" customFormat="1" x14ac:dyDescent="0.3">
      <c r="A83" s="593" t="s">
        <v>33</v>
      </c>
      <c r="B83" s="594">
        <f>J83+L83+N83+P83+R83+T83+V83+X83+Z83+AB83+AD83+H83</f>
        <v>0</v>
      </c>
      <c r="C83" s="594">
        <f t="shared" si="29"/>
        <v>0</v>
      </c>
      <c r="D83" s="594">
        <f>E83</f>
        <v>0</v>
      </c>
      <c r="E83" s="594">
        <f>SUM(I83,K83,M83,O83,Q83,S83,U83,W83,Y83,AA83,AC83,AE83)</f>
        <v>0</v>
      </c>
      <c r="F83" s="594">
        <f>IFERROR(E83/B83*100,0)</f>
        <v>0</v>
      </c>
      <c r="G83" s="594">
        <f>IFERROR(E83/C83*100,0)</f>
        <v>0</v>
      </c>
      <c r="H83" s="594"/>
      <c r="I83" s="594"/>
      <c r="J83" s="594"/>
      <c r="K83" s="594"/>
      <c r="L83" s="594"/>
      <c r="M83" s="594"/>
      <c r="N83" s="594"/>
      <c r="O83" s="594"/>
      <c r="P83" s="594"/>
      <c r="Q83" s="594"/>
      <c r="R83" s="594"/>
      <c r="S83" s="594"/>
      <c r="T83" s="594"/>
      <c r="U83" s="594"/>
      <c r="V83" s="594"/>
      <c r="W83" s="594"/>
      <c r="X83" s="594"/>
      <c r="Y83" s="594"/>
      <c r="Z83" s="594"/>
      <c r="AA83" s="594"/>
      <c r="AB83" s="594"/>
      <c r="AC83" s="594"/>
      <c r="AD83" s="594"/>
      <c r="AE83" s="594"/>
      <c r="AF83" s="587"/>
      <c r="AG83" s="588">
        <f t="shared" si="1"/>
        <v>0</v>
      </c>
    </row>
    <row r="84" spans="1:33" s="589" customFormat="1" x14ac:dyDescent="0.3">
      <c r="A84" s="593" t="s">
        <v>170</v>
      </c>
      <c r="B84" s="594">
        <f>J84+L84+N84+P84+R84+T84+V84+X84+Z84+AB84+AD84+H84</f>
        <v>0</v>
      </c>
      <c r="C84" s="594">
        <f t="shared" si="29"/>
        <v>0</v>
      </c>
      <c r="D84" s="594">
        <f>E84</f>
        <v>0</v>
      </c>
      <c r="E84" s="594">
        <f>SUM(I84,K84,M84,O84,Q84,S84,U84,W84,Y84,AA84,AC84,AE84)</f>
        <v>0</v>
      </c>
      <c r="F84" s="594"/>
      <c r="G84" s="594"/>
      <c r="H84" s="594"/>
      <c r="I84" s="594"/>
      <c r="J84" s="594"/>
      <c r="K84" s="594"/>
      <c r="L84" s="594"/>
      <c r="M84" s="594"/>
      <c r="N84" s="594"/>
      <c r="O84" s="594"/>
      <c r="P84" s="594"/>
      <c r="Q84" s="594"/>
      <c r="R84" s="594"/>
      <c r="S84" s="594"/>
      <c r="T84" s="594"/>
      <c r="U84" s="594"/>
      <c r="V84" s="594"/>
      <c r="W84" s="594"/>
      <c r="X84" s="594"/>
      <c r="Y84" s="594"/>
      <c r="Z84" s="594"/>
      <c r="AA84" s="594"/>
      <c r="AB84" s="594"/>
      <c r="AC84" s="594"/>
      <c r="AD84" s="594"/>
      <c r="AE84" s="594"/>
      <c r="AF84" s="587"/>
      <c r="AG84" s="588">
        <f t="shared" si="1"/>
        <v>0</v>
      </c>
    </row>
    <row r="85" spans="1:33" ht="93.75" x14ac:dyDescent="0.3">
      <c r="A85" s="595" t="s">
        <v>329</v>
      </c>
      <c r="B85" s="595"/>
      <c r="C85" s="595"/>
      <c r="D85" s="595"/>
      <c r="E85" s="595"/>
      <c r="F85" s="595"/>
      <c r="G85" s="595"/>
      <c r="H85" s="595"/>
      <c r="I85" s="595"/>
      <c r="J85" s="595"/>
      <c r="K85" s="595"/>
      <c r="L85" s="595"/>
      <c r="M85" s="595"/>
      <c r="N85" s="595"/>
      <c r="O85" s="595"/>
      <c r="P85" s="595"/>
      <c r="Q85" s="595"/>
      <c r="R85" s="595"/>
      <c r="S85" s="595"/>
      <c r="T85" s="595"/>
      <c r="U85" s="595"/>
      <c r="V85" s="595"/>
      <c r="W85" s="595"/>
      <c r="X85" s="595"/>
      <c r="Y85" s="595"/>
      <c r="Z85" s="595"/>
      <c r="AA85" s="595"/>
      <c r="AB85" s="595"/>
      <c r="AC85" s="595"/>
      <c r="AD85" s="595"/>
      <c r="AE85" s="595"/>
      <c r="AF85" s="595"/>
      <c r="AG85" s="99">
        <f t="shared" si="1"/>
        <v>0</v>
      </c>
    </row>
    <row r="86" spans="1:33" s="589" customFormat="1" x14ac:dyDescent="0.3">
      <c r="A86" s="1179" t="s">
        <v>54</v>
      </c>
      <c r="B86" s="1180"/>
      <c r="C86" s="1180"/>
      <c r="D86" s="1180"/>
      <c r="E86" s="1180"/>
      <c r="F86" s="1180"/>
      <c r="G86" s="1180"/>
      <c r="H86" s="1180"/>
      <c r="I86" s="1180"/>
      <c r="J86" s="1180"/>
      <c r="K86" s="1180"/>
      <c r="L86" s="1180"/>
      <c r="M86" s="1180"/>
      <c r="N86" s="1180"/>
      <c r="O86" s="1180"/>
      <c r="P86" s="1180"/>
      <c r="Q86" s="1180"/>
      <c r="R86" s="1180"/>
      <c r="S86" s="1180"/>
      <c r="T86" s="1180"/>
      <c r="U86" s="1180"/>
      <c r="V86" s="1180"/>
      <c r="W86" s="1180"/>
      <c r="X86" s="1180"/>
      <c r="Y86" s="1180"/>
      <c r="Z86" s="1180"/>
      <c r="AA86" s="1180"/>
      <c r="AB86" s="1180"/>
      <c r="AC86" s="1180"/>
      <c r="AD86" s="1180"/>
      <c r="AE86" s="1180"/>
      <c r="AF86" s="1181"/>
      <c r="AG86" s="588">
        <f t="shared" si="1"/>
        <v>0</v>
      </c>
    </row>
    <row r="87" spans="1:33" s="589" customFormat="1" ht="65.25" customHeight="1" x14ac:dyDescent="0.3">
      <c r="A87" s="603" t="s">
        <v>330</v>
      </c>
      <c r="B87" s="604"/>
      <c r="C87" s="605"/>
      <c r="D87" s="605"/>
      <c r="E87" s="605"/>
      <c r="F87" s="605"/>
      <c r="G87" s="605"/>
      <c r="H87" s="604"/>
      <c r="I87" s="604"/>
      <c r="J87" s="604"/>
      <c r="K87" s="604"/>
      <c r="L87" s="604"/>
      <c r="M87" s="604"/>
      <c r="N87" s="604"/>
      <c r="O87" s="604"/>
      <c r="P87" s="604"/>
      <c r="Q87" s="604"/>
      <c r="R87" s="604"/>
      <c r="S87" s="604"/>
      <c r="T87" s="604"/>
      <c r="U87" s="604"/>
      <c r="V87" s="604"/>
      <c r="W87" s="604"/>
      <c r="X87" s="604"/>
      <c r="Y87" s="604"/>
      <c r="Z87" s="604"/>
      <c r="AA87" s="604"/>
      <c r="AB87" s="604"/>
      <c r="AC87" s="604"/>
      <c r="AD87" s="604"/>
      <c r="AE87" s="604"/>
      <c r="AF87" s="587"/>
      <c r="AG87" s="588">
        <f t="shared" ref="AG87:AG126" si="30">B87-H87-J87-L87-N87-P87-R87-T87-V87-X87-Z87-AB87-AD87</f>
        <v>0</v>
      </c>
    </row>
    <row r="88" spans="1:33" s="589" customFormat="1" x14ac:dyDescent="0.3">
      <c r="A88" s="590" t="s">
        <v>31</v>
      </c>
      <c r="B88" s="591">
        <f>B89+B90+B91+B92</f>
        <v>10192.700000000001</v>
      </c>
      <c r="C88" s="591">
        <f>C89+C90+C91+C92</f>
        <v>10192.700000000001</v>
      </c>
      <c r="D88" s="591">
        <f>D89+D90+D91+D92</f>
        <v>3355.6880000000001</v>
      </c>
      <c r="E88" s="591">
        <f>E89+E90+E91+E92</f>
        <v>3355.6880000000001</v>
      </c>
      <c r="F88" s="591">
        <f>IFERROR(E88/B88*100,0)</f>
        <v>32.922464116475517</v>
      </c>
      <c r="G88" s="591">
        <f>IFERROR(E88/C88*100,0)</f>
        <v>32.922464116475517</v>
      </c>
      <c r="H88" s="591">
        <f>H89+H90+H91+H92</f>
        <v>1346.835</v>
      </c>
      <c r="I88" s="591">
        <f t="shared" ref="I88:AE88" si="31">I89+I90+I91+I92</f>
        <v>505.76100000000002</v>
      </c>
      <c r="J88" s="591">
        <f t="shared" si="31"/>
        <v>860.06899999999996</v>
      </c>
      <c r="K88" s="591">
        <f t="shared" si="31"/>
        <v>875.25400000000002</v>
      </c>
      <c r="L88" s="591">
        <f t="shared" si="31"/>
        <v>683.37599999999998</v>
      </c>
      <c r="M88" s="591">
        <f t="shared" si="31"/>
        <v>565.35</v>
      </c>
      <c r="N88" s="591">
        <f t="shared" si="31"/>
        <v>1006.02</v>
      </c>
      <c r="O88" s="591">
        <f t="shared" si="31"/>
        <v>686.33299999999997</v>
      </c>
      <c r="P88" s="591">
        <f t="shared" si="31"/>
        <v>780.81399999999996</v>
      </c>
      <c r="Q88" s="591">
        <f t="shared" si="31"/>
        <v>722.99</v>
      </c>
      <c r="R88" s="591">
        <f t="shared" si="31"/>
        <v>683.37599999999998</v>
      </c>
      <c r="S88" s="591">
        <f t="shared" si="31"/>
        <v>0</v>
      </c>
      <c r="T88" s="591">
        <f t="shared" si="31"/>
        <v>1006.02</v>
      </c>
      <c r="U88" s="591">
        <f t="shared" si="31"/>
        <v>0</v>
      </c>
      <c r="V88" s="591">
        <f t="shared" si="31"/>
        <v>780.81399999999996</v>
      </c>
      <c r="W88" s="591">
        <f t="shared" si="31"/>
        <v>0</v>
      </c>
      <c r="X88" s="591">
        <f t="shared" si="31"/>
        <v>683.37599999999998</v>
      </c>
      <c r="Y88" s="591">
        <f t="shared" si="31"/>
        <v>0</v>
      </c>
      <c r="Z88" s="591">
        <f t="shared" si="31"/>
        <v>1006.02</v>
      </c>
      <c r="AA88" s="591">
        <f t="shared" si="31"/>
        <v>0</v>
      </c>
      <c r="AB88" s="591">
        <f t="shared" si="31"/>
        <v>780.81399999999996</v>
      </c>
      <c r="AC88" s="591">
        <f t="shared" si="31"/>
        <v>0</v>
      </c>
      <c r="AD88" s="591">
        <f t="shared" si="31"/>
        <v>575.16600000000005</v>
      </c>
      <c r="AE88" s="591">
        <f t="shared" si="31"/>
        <v>0</v>
      </c>
      <c r="AF88" s="587"/>
      <c r="AG88" s="588">
        <f t="shared" si="30"/>
        <v>9.0949470177292824E-13</v>
      </c>
    </row>
    <row r="89" spans="1:33" s="589" customFormat="1" x14ac:dyDescent="0.3">
      <c r="A89" s="593" t="s">
        <v>169</v>
      </c>
      <c r="B89" s="594">
        <f>J89+L89+N89+P89+R89+T89+V89+X89+Z89+AB89+AD89+H89</f>
        <v>0</v>
      </c>
      <c r="C89" s="594">
        <f>SUM(H89+J89+L89+N89+P89+R89+T89+V89+X89+Z89+AB89+AD89)</f>
        <v>0</v>
      </c>
      <c r="D89" s="594">
        <f>E89</f>
        <v>0</v>
      </c>
      <c r="E89" s="594">
        <f>SUM(I89,K89,M89,O89,Q89,S89,U89,W89,Y89,AA89,AC89,AE89)</f>
        <v>0</v>
      </c>
      <c r="F89" s="594"/>
      <c r="G89" s="594"/>
      <c r="H89" s="594"/>
      <c r="I89" s="594"/>
      <c r="J89" s="594"/>
      <c r="K89" s="594"/>
      <c r="L89" s="594"/>
      <c r="M89" s="594"/>
      <c r="N89" s="594"/>
      <c r="O89" s="594"/>
      <c r="P89" s="594"/>
      <c r="Q89" s="594"/>
      <c r="R89" s="594"/>
      <c r="S89" s="594"/>
      <c r="T89" s="594"/>
      <c r="U89" s="594"/>
      <c r="V89" s="594"/>
      <c r="W89" s="594"/>
      <c r="X89" s="594"/>
      <c r="Y89" s="594"/>
      <c r="Z89" s="594"/>
      <c r="AA89" s="594"/>
      <c r="AB89" s="594"/>
      <c r="AC89" s="594"/>
      <c r="AD89" s="594"/>
      <c r="AE89" s="594"/>
      <c r="AF89" s="587"/>
      <c r="AG89" s="588">
        <f t="shared" si="30"/>
        <v>0</v>
      </c>
    </row>
    <row r="90" spans="1:33" s="589" customFormat="1" x14ac:dyDescent="0.3">
      <c r="A90" s="593" t="s">
        <v>32</v>
      </c>
      <c r="B90" s="594">
        <f>J90+L90+N90+P90+R90+T90+V90+X90+Z90+AB90+AD90+H90</f>
        <v>0</v>
      </c>
      <c r="C90" s="594">
        <f t="shared" ref="C90:C92" si="32">SUM(H90+J90+L90+N90+P90+R90+T90+V90+X90+Z90+AB90+AD90)</f>
        <v>0</v>
      </c>
      <c r="D90" s="594">
        <f>E90</f>
        <v>0</v>
      </c>
      <c r="E90" s="594">
        <f>SUM(I90,K90,M90,O90,Q90,S90,U90,W90,Y90,AA90,AC90,AE90)</f>
        <v>0</v>
      </c>
      <c r="F90" s="594"/>
      <c r="G90" s="594"/>
      <c r="H90" s="594"/>
      <c r="I90" s="594"/>
      <c r="J90" s="594"/>
      <c r="K90" s="594"/>
      <c r="L90" s="594"/>
      <c r="M90" s="594"/>
      <c r="N90" s="594"/>
      <c r="O90" s="594"/>
      <c r="P90" s="594"/>
      <c r="Q90" s="594"/>
      <c r="R90" s="594"/>
      <c r="S90" s="594"/>
      <c r="T90" s="594"/>
      <c r="U90" s="594"/>
      <c r="V90" s="594"/>
      <c r="W90" s="594"/>
      <c r="X90" s="594"/>
      <c r="Y90" s="594"/>
      <c r="Z90" s="594"/>
      <c r="AA90" s="594"/>
      <c r="AB90" s="594"/>
      <c r="AC90" s="594"/>
      <c r="AD90" s="594"/>
      <c r="AE90" s="594"/>
      <c r="AF90" s="587"/>
      <c r="AG90" s="588">
        <f t="shared" si="30"/>
        <v>0</v>
      </c>
    </row>
    <row r="91" spans="1:33" s="589" customFormat="1" x14ac:dyDescent="0.3">
      <c r="A91" s="593" t="s">
        <v>33</v>
      </c>
      <c r="B91" s="594">
        <f>J91+L91+N91+P91+R91+T91+V91+X91+Z91+AB91+AD91+H91</f>
        <v>10192.700000000001</v>
      </c>
      <c r="C91" s="594">
        <f t="shared" si="32"/>
        <v>10192.700000000001</v>
      </c>
      <c r="D91" s="594">
        <f>E91</f>
        <v>3355.6880000000001</v>
      </c>
      <c r="E91" s="594">
        <f>SUM(I91,K91,M91,O91,Q91,S91,U91,W91,Y91,AA91,AC91,AE91)</f>
        <v>3355.6880000000001</v>
      </c>
      <c r="F91" s="594">
        <f>IFERROR(E91/B91*100,0)</f>
        <v>32.922464116475517</v>
      </c>
      <c r="G91" s="594">
        <f>IFERROR(E91/C91*100,0)</f>
        <v>32.922464116475517</v>
      </c>
      <c r="H91" s="594">
        <v>1346.835</v>
      </c>
      <c r="I91" s="594">
        <v>505.76100000000002</v>
      </c>
      <c r="J91" s="594">
        <v>860.06899999999996</v>
      </c>
      <c r="K91" s="594">
        <v>875.25400000000002</v>
      </c>
      <c r="L91" s="594">
        <v>683.37599999999998</v>
      </c>
      <c r="M91" s="594">
        <v>565.35</v>
      </c>
      <c r="N91" s="594">
        <v>1006.02</v>
      </c>
      <c r="O91" s="594">
        <v>686.33299999999997</v>
      </c>
      <c r="P91" s="594">
        <v>780.81399999999996</v>
      </c>
      <c r="Q91" s="594">
        <v>722.99</v>
      </c>
      <c r="R91" s="594">
        <v>683.37599999999998</v>
      </c>
      <c r="S91" s="594"/>
      <c r="T91" s="594">
        <v>1006.02</v>
      </c>
      <c r="U91" s="594"/>
      <c r="V91" s="594">
        <v>780.81399999999996</v>
      </c>
      <c r="W91" s="594"/>
      <c r="X91" s="594">
        <v>683.37599999999998</v>
      </c>
      <c r="Y91" s="594"/>
      <c r="Z91" s="594">
        <v>1006.02</v>
      </c>
      <c r="AA91" s="594"/>
      <c r="AB91" s="594">
        <v>780.81399999999996</v>
      </c>
      <c r="AC91" s="594"/>
      <c r="AD91" s="594">
        <v>575.16600000000005</v>
      </c>
      <c r="AE91" s="594"/>
      <c r="AF91" s="587"/>
      <c r="AG91" s="588">
        <f t="shared" si="30"/>
        <v>9.0949470177292824E-13</v>
      </c>
    </row>
    <row r="92" spans="1:33" s="589" customFormat="1" x14ac:dyDescent="0.3">
      <c r="A92" s="593" t="s">
        <v>170</v>
      </c>
      <c r="B92" s="594">
        <f>J92+L92+N92+P92+R92+T92+V92+X92+Z92+AB92+AD92+H92</f>
        <v>0</v>
      </c>
      <c r="C92" s="594">
        <f t="shared" si="32"/>
        <v>0</v>
      </c>
      <c r="D92" s="594">
        <f>E92</f>
        <v>0</v>
      </c>
      <c r="E92" s="594">
        <f>SUM(I92,K92,M92,O92,Q92,S92,U92,W92,Y92,AA92,AC92,AE92)</f>
        <v>0</v>
      </c>
      <c r="F92" s="594"/>
      <c r="G92" s="594"/>
      <c r="H92" s="594"/>
      <c r="I92" s="594"/>
      <c r="J92" s="594"/>
      <c r="K92" s="594"/>
      <c r="L92" s="594"/>
      <c r="M92" s="594"/>
      <c r="N92" s="594"/>
      <c r="O92" s="594"/>
      <c r="P92" s="594"/>
      <c r="Q92" s="594"/>
      <c r="R92" s="594"/>
      <c r="S92" s="594"/>
      <c r="T92" s="594"/>
      <c r="U92" s="594"/>
      <c r="V92" s="594"/>
      <c r="W92" s="594"/>
      <c r="X92" s="594"/>
      <c r="Y92" s="594"/>
      <c r="Z92" s="594"/>
      <c r="AA92" s="594"/>
      <c r="AB92" s="594"/>
      <c r="AC92" s="594"/>
      <c r="AD92" s="594"/>
      <c r="AE92" s="594"/>
      <c r="AF92" s="587"/>
      <c r="AG92" s="588">
        <f t="shared" si="30"/>
        <v>0</v>
      </c>
    </row>
    <row r="93" spans="1:33" s="589" customFormat="1" ht="150" x14ac:dyDescent="0.3">
      <c r="A93" s="603" t="s">
        <v>331</v>
      </c>
      <c r="B93" s="604"/>
      <c r="C93" s="594"/>
      <c r="D93" s="605"/>
      <c r="E93" s="605"/>
      <c r="F93" s="605"/>
      <c r="G93" s="605"/>
      <c r="H93" s="604"/>
      <c r="I93" s="604"/>
      <c r="J93" s="604"/>
      <c r="K93" s="604"/>
      <c r="L93" s="604"/>
      <c r="M93" s="604"/>
      <c r="N93" s="604"/>
      <c r="O93" s="604"/>
      <c r="P93" s="604"/>
      <c r="Q93" s="604"/>
      <c r="R93" s="604"/>
      <c r="S93" s="604"/>
      <c r="T93" s="604"/>
      <c r="U93" s="604"/>
      <c r="V93" s="604"/>
      <c r="W93" s="604"/>
      <c r="X93" s="604"/>
      <c r="Y93" s="604"/>
      <c r="Z93" s="604"/>
      <c r="AA93" s="604"/>
      <c r="AB93" s="604"/>
      <c r="AC93" s="604"/>
      <c r="AD93" s="604"/>
      <c r="AE93" s="604"/>
      <c r="AF93" s="709" t="s">
        <v>607</v>
      </c>
      <c r="AG93" s="588">
        <f t="shared" si="30"/>
        <v>0</v>
      </c>
    </row>
    <row r="94" spans="1:33" s="589" customFormat="1" x14ac:dyDescent="0.3">
      <c r="A94" s="590" t="s">
        <v>31</v>
      </c>
      <c r="B94" s="591">
        <f>B95+B96+B97+B98</f>
        <v>19030.928</v>
      </c>
      <c r="C94" s="591">
        <f>C95+C96+C97+C98</f>
        <v>19030.928</v>
      </c>
      <c r="D94" s="591">
        <f>D95+D96+D97+D98</f>
        <v>13516.822</v>
      </c>
      <c r="E94" s="591">
        <f>E95+E96+E97+E98</f>
        <v>13516.822</v>
      </c>
      <c r="F94" s="591">
        <f>IFERROR(E94/B94*100,0)</f>
        <v>71.025553772259556</v>
      </c>
      <c r="G94" s="591">
        <f>IFERROR(E94/C94*100,0)</f>
        <v>71.025553772259556</v>
      </c>
      <c r="H94" s="591">
        <f>H95+H96+H97+H98</f>
        <v>2430.2660000000001</v>
      </c>
      <c r="I94" s="591">
        <f t="shared" ref="I94:AE94" si="33">I95+I96+I97+I98</f>
        <v>1047.0619999999999</v>
      </c>
      <c r="J94" s="591">
        <f t="shared" si="33"/>
        <v>1596.345</v>
      </c>
      <c r="K94" s="591">
        <f t="shared" si="33"/>
        <v>1690.673</v>
      </c>
      <c r="L94" s="591">
        <f t="shared" si="33"/>
        <v>1267.1199999999999</v>
      </c>
      <c r="M94" s="591">
        <f t="shared" si="33"/>
        <v>1305.6400000000001</v>
      </c>
      <c r="N94" s="591">
        <f t="shared" si="33"/>
        <v>1870.66</v>
      </c>
      <c r="O94" s="591">
        <f t="shared" si="33"/>
        <v>1312.827</v>
      </c>
      <c r="P94" s="591">
        <f t="shared" si="33"/>
        <v>1494.2900000000002</v>
      </c>
      <c r="Q94" s="591">
        <f t="shared" si="33"/>
        <v>1970.45</v>
      </c>
      <c r="R94" s="591">
        <f t="shared" si="33"/>
        <v>1267.1220000000001</v>
      </c>
      <c r="S94" s="591">
        <f t="shared" si="33"/>
        <v>1700.1</v>
      </c>
      <c r="T94" s="591">
        <f t="shared" si="33"/>
        <v>1870.66</v>
      </c>
      <c r="U94" s="591">
        <f t="shared" si="33"/>
        <v>2082.85</v>
      </c>
      <c r="V94" s="591">
        <f t="shared" si="33"/>
        <v>1600.42</v>
      </c>
      <c r="W94" s="591">
        <f t="shared" si="33"/>
        <v>1470.55</v>
      </c>
      <c r="X94" s="591">
        <f t="shared" si="33"/>
        <v>1267.1220000000001</v>
      </c>
      <c r="Y94" s="591">
        <f t="shared" si="33"/>
        <v>936.67</v>
      </c>
      <c r="Z94" s="591">
        <f t="shared" si="33"/>
        <v>1870.66</v>
      </c>
      <c r="AA94" s="591">
        <f t="shared" si="33"/>
        <v>0</v>
      </c>
      <c r="AB94" s="591">
        <f t="shared" si="33"/>
        <v>1449.39</v>
      </c>
      <c r="AC94" s="591">
        <f t="shared" si="33"/>
        <v>0</v>
      </c>
      <c r="AD94" s="591">
        <f t="shared" si="33"/>
        <v>1046.873</v>
      </c>
      <c r="AE94" s="591">
        <f t="shared" si="33"/>
        <v>0</v>
      </c>
      <c r="AF94" s="587"/>
      <c r="AG94" s="588">
        <f t="shared" si="30"/>
        <v>0</v>
      </c>
    </row>
    <row r="95" spans="1:33" s="589" customFormat="1" x14ac:dyDescent="0.3">
      <c r="A95" s="593" t="s">
        <v>169</v>
      </c>
      <c r="B95" s="594">
        <f>J95+L95+N95+P95+R95+T95+V95+X95+Z95+AB95+AD95+H95</f>
        <v>0</v>
      </c>
      <c r="C95" s="594">
        <f>SUM(H95+J95+L95+N95+P95+R95+T95+V95+X95+Z95+AB95+AD95)</f>
        <v>0</v>
      </c>
      <c r="D95" s="594">
        <f>E95</f>
        <v>0</v>
      </c>
      <c r="E95" s="594">
        <f>SUM(I95,K95,M95,O95,Q95,S95,U95,W95,Y95,AA95,AC95,AE95)</f>
        <v>0</v>
      </c>
      <c r="F95" s="594"/>
      <c r="G95" s="594"/>
      <c r="H95" s="594"/>
      <c r="I95" s="594"/>
      <c r="J95" s="594"/>
      <c r="K95" s="594"/>
      <c r="L95" s="594"/>
      <c r="M95" s="594"/>
      <c r="N95" s="594"/>
      <c r="O95" s="594"/>
      <c r="P95" s="594"/>
      <c r="Q95" s="594"/>
      <c r="R95" s="594"/>
      <c r="S95" s="594"/>
      <c r="T95" s="594"/>
      <c r="U95" s="594"/>
      <c r="V95" s="594"/>
      <c r="W95" s="594"/>
      <c r="X95" s="594"/>
      <c r="Y95" s="594"/>
      <c r="Z95" s="594"/>
      <c r="AA95" s="594"/>
      <c r="AB95" s="594"/>
      <c r="AC95" s="594"/>
      <c r="AD95" s="594"/>
      <c r="AE95" s="594"/>
      <c r="AF95" s="587"/>
      <c r="AG95" s="588">
        <f t="shared" si="30"/>
        <v>0</v>
      </c>
    </row>
    <row r="96" spans="1:33" s="589" customFormat="1" x14ac:dyDescent="0.3">
      <c r="A96" s="593" t="s">
        <v>32</v>
      </c>
      <c r="B96" s="594">
        <f>J96+L96+N96+P96+R96+T96+V96+X96+Z96+AB96+AD96+H96</f>
        <v>44.9</v>
      </c>
      <c r="C96" s="594">
        <f t="shared" ref="C96:C98" si="34">SUM(H96+J96+L96+N96+P96+R96+T96+V96+X96+Z96+AB96+AD96)</f>
        <v>44.9</v>
      </c>
      <c r="D96" s="594">
        <f>E96</f>
        <v>44.9</v>
      </c>
      <c r="E96" s="594">
        <f>SUM(I96,K96,M96,O96,Q96,S96,U96,W96,Y96,AA96,AC96,AE96)</f>
        <v>44.9</v>
      </c>
      <c r="F96" s="594"/>
      <c r="G96" s="594"/>
      <c r="H96" s="594"/>
      <c r="I96" s="594"/>
      <c r="J96" s="594"/>
      <c r="K96" s="594"/>
      <c r="L96" s="594"/>
      <c r="M96" s="594"/>
      <c r="N96" s="594"/>
      <c r="O96" s="594"/>
      <c r="P96" s="594">
        <v>44.9</v>
      </c>
      <c r="Q96" s="594">
        <v>44.9</v>
      </c>
      <c r="R96" s="594"/>
      <c r="S96" s="594"/>
      <c r="T96" s="594"/>
      <c r="U96" s="594"/>
      <c r="V96" s="594"/>
      <c r="W96" s="594"/>
      <c r="X96" s="594"/>
      <c r="Y96" s="594"/>
      <c r="Z96" s="594"/>
      <c r="AA96" s="594"/>
      <c r="AB96" s="594"/>
      <c r="AC96" s="594"/>
      <c r="AD96" s="594"/>
      <c r="AE96" s="594"/>
      <c r="AF96" s="587"/>
      <c r="AG96" s="588">
        <f t="shared" si="30"/>
        <v>0</v>
      </c>
    </row>
    <row r="97" spans="1:33" s="589" customFormat="1" x14ac:dyDescent="0.3">
      <c r="A97" s="593" t="s">
        <v>33</v>
      </c>
      <c r="B97" s="594">
        <f>J97+L97+N97+P97+R97+T97+V97+X97+Z97+AB97+AD97+H97</f>
        <v>18986.027999999998</v>
      </c>
      <c r="C97" s="594">
        <f t="shared" si="34"/>
        <v>18986.027999999998</v>
      </c>
      <c r="D97" s="594">
        <f>E97</f>
        <v>13471.922</v>
      </c>
      <c r="E97" s="594">
        <f>SUM(I97,K97,M97,O97,Q97,S97,U97,W97,Y97,AA97,AC97,AE97)</f>
        <v>13471.922</v>
      </c>
      <c r="F97" s="594">
        <f>IFERROR(E97/B97*100,0)</f>
        <v>70.957032192304794</v>
      </c>
      <c r="G97" s="594">
        <f>IFERROR(E97/C97*100,0)</f>
        <v>70.957032192304794</v>
      </c>
      <c r="H97" s="594">
        <v>2430.2660000000001</v>
      </c>
      <c r="I97" s="594">
        <v>1047.0619999999999</v>
      </c>
      <c r="J97" s="594">
        <v>1596.345</v>
      </c>
      <c r="K97" s="594">
        <v>1690.673</v>
      </c>
      <c r="L97" s="594">
        <v>1267.1199999999999</v>
      </c>
      <c r="M97" s="594">
        <v>1305.6400000000001</v>
      </c>
      <c r="N97" s="594">
        <v>1870.66</v>
      </c>
      <c r="O97" s="594">
        <v>1312.827</v>
      </c>
      <c r="P97" s="594">
        <v>1449.39</v>
      </c>
      <c r="Q97" s="594">
        <v>1925.55</v>
      </c>
      <c r="R97" s="594">
        <v>1267.1220000000001</v>
      </c>
      <c r="S97" s="594">
        <v>1700.1</v>
      </c>
      <c r="T97" s="594">
        <v>1870.66</v>
      </c>
      <c r="U97" s="594">
        <v>2082.85</v>
      </c>
      <c r="V97" s="594">
        <v>1600.42</v>
      </c>
      <c r="W97" s="594">
        <v>1470.55</v>
      </c>
      <c r="X97" s="594">
        <v>1267.1220000000001</v>
      </c>
      <c r="Y97" s="594">
        <v>936.67</v>
      </c>
      <c r="Z97" s="594">
        <v>1870.66</v>
      </c>
      <c r="AA97" s="594"/>
      <c r="AB97" s="594">
        <v>1449.39</v>
      </c>
      <c r="AC97" s="594"/>
      <c r="AD97" s="594">
        <v>1046.873</v>
      </c>
      <c r="AE97" s="594"/>
      <c r="AF97" s="587"/>
      <c r="AG97" s="588">
        <f t="shared" si="30"/>
        <v>0</v>
      </c>
    </row>
    <row r="98" spans="1:33" s="589" customFormat="1" x14ac:dyDescent="0.3">
      <c r="A98" s="593" t="s">
        <v>170</v>
      </c>
      <c r="B98" s="594">
        <f>J98+L98+N98+P98+R98+T98+V98+X98+Z98+AB98+AD98+H98</f>
        <v>0</v>
      </c>
      <c r="C98" s="594">
        <f t="shared" si="34"/>
        <v>0</v>
      </c>
      <c r="D98" s="594">
        <f>E98</f>
        <v>0</v>
      </c>
      <c r="E98" s="594">
        <f>SUM(I98,K98,M98,O98,Q98,S98,U98,W98,Y98,AA98,AC98,AE98)</f>
        <v>0</v>
      </c>
      <c r="F98" s="594"/>
      <c r="G98" s="594"/>
      <c r="H98" s="594"/>
      <c r="I98" s="594"/>
      <c r="J98" s="594"/>
      <c r="K98" s="594"/>
      <c r="L98" s="594"/>
      <c r="M98" s="594"/>
      <c r="N98" s="594"/>
      <c r="O98" s="594"/>
      <c r="P98" s="594"/>
      <c r="Q98" s="594"/>
      <c r="R98" s="594"/>
      <c r="S98" s="594"/>
      <c r="T98" s="594"/>
      <c r="U98" s="594"/>
      <c r="V98" s="594"/>
      <c r="W98" s="594"/>
      <c r="X98" s="594"/>
      <c r="Y98" s="594"/>
      <c r="Z98" s="594"/>
      <c r="AA98" s="594"/>
      <c r="AB98" s="594"/>
      <c r="AC98" s="594"/>
      <c r="AD98" s="594"/>
      <c r="AE98" s="594"/>
      <c r="AF98" s="587"/>
      <c r="AG98" s="588">
        <f t="shared" si="30"/>
        <v>0</v>
      </c>
    </row>
    <row r="99" spans="1:33" s="589" customFormat="1" ht="93.75" x14ac:dyDescent="0.3">
      <c r="A99" s="603" t="s">
        <v>332</v>
      </c>
      <c r="B99" s="604"/>
      <c r="C99" s="594">
        <f>SUM(H99+J99)</f>
        <v>0</v>
      </c>
      <c r="D99" s="605"/>
      <c r="E99" s="605"/>
      <c r="F99" s="605"/>
      <c r="G99" s="605"/>
      <c r="H99" s="604"/>
      <c r="I99" s="604"/>
      <c r="J99" s="604"/>
      <c r="K99" s="604"/>
      <c r="L99" s="604"/>
      <c r="M99" s="604"/>
      <c r="N99" s="604"/>
      <c r="O99" s="604"/>
      <c r="P99" s="604"/>
      <c r="Q99" s="604"/>
      <c r="R99" s="604"/>
      <c r="S99" s="604"/>
      <c r="T99" s="604"/>
      <c r="U99" s="604"/>
      <c r="V99" s="604"/>
      <c r="W99" s="604"/>
      <c r="X99" s="604"/>
      <c r="Y99" s="604"/>
      <c r="Z99" s="604"/>
      <c r="AA99" s="604"/>
      <c r="AB99" s="604"/>
      <c r="AC99" s="604"/>
      <c r="AD99" s="604"/>
      <c r="AE99" s="604"/>
      <c r="AF99" s="716" t="s">
        <v>606</v>
      </c>
      <c r="AG99" s="588">
        <f t="shared" si="30"/>
        <v>0</v>
      </c>
    </row>
    <row r="100" spans="1:33" s="589" customFormat="1" x14ac:dyDescent="0.3">
      <c r="A100" s="590" t="s">
        <v>31</v>
      </c>
      <c r="B100" s="591">
        <f>B101+B102+B103+B104</f>
        <v>79154.542999999991</v>
      </c>
      <c r="C100" s="591">
        <f>C101+C102+C103+C104</f>
        <v>79154.542999999991</v>
      </c>
      <c r="D100" s="591">
        <f>D101+D102+D103+D104</f>
        <v>53133.273000000001</v>
      </c>
      <c r="E100" s="591">
        <f>E101+E102+E103+E104</f>
        <v>53133.273000000001</v>
      </c>
      <c r="F100" s="594">
        <f>IFERROR(E100/B100*100,0)</f>
        <v>67.12599300838616</v>
      </c>
      <c r="G100" s="594">
        <f>IFERROR(E100/C100*100,0)</f>
        <v>67.12599300838616</v>
      </c>
      <c r="H100" s="591">
        <f>H101+H102+H103+H104</f>
        <v>6579.89</v>
      </c>
      <c r="I100" s="591">
        <f t="shared" ref="I100:AE100" si="35">I101+I102+I103+I104</f>
        <v>5979.4539999999997</v>
      </c>
      <c r="J100" s="591">
        <f t="shared" si="35"/>
        <v>7409.78</v>
      </c>
      <c r="K100" s="591">
        <f t="shared" si="35"/>
        <v>6464.2879999999996</v>
      </c>
      <c r="L100" s="591">
        <f t="shared" si="35"/>
        <v>5275.59</v>
      </c>
      <c r="M100" s="591">
        <f t="shared" si="35"/>
        <v>5272.8850000000002</v>
      </c>
      <c r="N100" s="591">
        <f t="shared" si="35"/>
        <v>6742.9430000000002</v>
      </c>
      <c r="O100" s="591">
        <f t="shared" si="35"/>
        <v>6129.0259999999998</v>
      </c>
      <c r="P100" s="591">
        <f t="shared" si="35"/>
        <v>5550.83</v>
      </c>
      <c r="Q100" s="591">
        <f t="shared" si="35"/>
        <v>5587.0599999999995</v>
      </c>
      <c r="R100" s="591">
        <f t="shared" si="35"/>
        <v>6291.57</v>
      </c>
      <c r="S100" s="591">
        <f t="shared" si="35"/>
        <v>6252.11</v>
      </c>
      <c r="T100" s="591">
        <f t="shared" si="35"/>
        <v>7112.45</v>
      </c>
      <c r="U100" s="591">
        <f t="shared" si="35"/>
        <v>6067.23</v>
      </c>
      <c r="V100" s="591">
        <f t="shared" si="35"/>
        <v>6450.67</v>
      </c>
      <c r="W100" s="591">
        <f t="shared" si="35"/>
        <v>6406.16</v>
      </c>
      <c r="X100" s="591">
        <f t="shared" si="35"/>
        <v>5593.82</v>
      </c>
      <c r="Y100" s="591">
        <f t="shared" si="35"/>
        <v>4975.0600000000004</v>
      </c>
      <c r="Z100" s="591">
        <f t="shared" si="35"/>
        <v>6182.43</v>
      </c>
      <c r="AA100" s="591">
        <f t="shared" si="35"/>
        <v>0</v>
      </c>
      <c r="AB100" s="591">
        <f t="shared" si="35"/>
        <v>5471.59</v>
      </c>
      <c r="AC100" s="591">
        <f t="shared" si="35"/>
        <v>0</v>
      </c>
      <c r="AD100" s="591">
        <f t="shared" si="35"/>
        <v>10492.98</v>
      </c>
      <c r="AE100" s="591">
        <f t="shared" si="35"/>
        <v>0</v>
      </c>
      <c r="AF100" s="587"/>
      <c r="AG100" s="588">
        <f t="shared" si="30"/>
        <v>0</v>
      </c>
    </row>
    <row r="101" spans="1:33" s="589" customFormat="1" x14ac:dyDescent="0.3">
      <c r="A101" s="593" t="s">
        <v>169</v>
      </c>
      <c r="B101" s="594">
        <f>J101+L101+N101+P101+R101+T101+V101+X101+Z101+AB101+AD101+H101</f>
        <v>0</v>
      </c>
      <c r="C101" s="594">
        <f>SUM(H101+J101+L101+P101+N101+R101+T101+V101+X101+Z101+AB101+AD101)</f>
        <v>0</v>
      </c>
      <c r="D101" s="594">
        <f>E101</f>
        <v>0</v>
      </c>
      <c r="E101" s="594">
        <f>SUM(I101,K101,M101,O101,Q101,S101,U101,W101,Y101,AA101,AC101,AE101)</f>
        <v>0</v>
      </c>
      <c r="F101" s="594"/>
      <c r="G101" s="594"/>
      <c r="H101" s="594"/>
      <c r="I101" s="594"/>
      <c r="J101" s="594"/>
      <c r="K101" s="594"/>
      <c r="L101" s="594"/>
      <c r="M101" s="594"/>
      <c r="N101" s="594"/>
      <c r="O101" s="594"/>
      <c r="P101" s="594"/>
      <c r="Q101" s="594"/>
      <c r="R101" s="594"/>
      <c r="S101" s="594"/>
      <c r="T101" s="594"/>
      <c r="U101" s="594"/>
      <c r="V101" s="594"/>
      <c r="W101" s="594"/>
      <c r="X101" s="594"/>
      <c r="Y101" s="594"/>
      <c r="Z101" s="594"/>
      <c r="AA101" s="594"/>
      <c r="AB101" s="594"/>
      <c r="AC101" s="594"/>
      <c r="AD101" s="594"/>
      <c r="AE101" s="594"/>
      <c r="AF101" s="587"/>
      <c r="AG101" s="588">
        <f t="shared" si="30"/>
        <v>0</v>
      </c>
    </row>
    <row r="102" spans="1:33" s="589" customFormat="1" x14ac:dyDescent="0.3">
      <c r="A102" s="593" t="s">
        <v>32</v>
      </c>
      <c r="B102" s="594">
        <f>J102+L102+N102+P102+R102+T102+V102+X102+Z102+AB102+AD102+H102</f>
        <v>22.45</v>
      </c>
      <c r="C102" s="594">
        <f t="shared" ref="C102:C104" si="36">SUM(H102+J102+L102+P102+N102+R102+T102+V102+X102+Z102+AB102+AD102)</f>
        <v>22.45</v>
      </c>
      <c r="D102" s="594">
        <f>E102</f>
        <v>22.45</v>
      </c>
      <c r="E102" s="594">
        <f>SUM(I102,K102,M102,O102,Q102,S102,U102,W102,Y102,AA102,AC102,AE102)</f>
        <v>22.45</v>
      </c>
      <c r="F102" s="594"/>
      <c r="G102" s="594"/>
      <c r="H102" s="594"/>
      <c r="I102" s="594"/>
      <c r="J102" s="594"/>
      <c r="K102" s="594"/>
      <c r="L102" s="594"/>
      <c r="M102" s="594"/>
      <c r="N102" s="594"/>
      <c r="O102" s="594"/>
      <c r="P102" s="594">
        <v>22.45</v>
      </c>
      <c r="Q102" s="594">
        <v>22.45</v>
      </c>
      <c r="R102" s="594"/>
      <c r="S102" s="594"/>
      <c r="T102" s="594"/>
      <c r="U102" s="594"/>
      <c r="V102" s="594"/>
      <c r="W102" s="594"/>
      <c r="X102" s="594"/>
      <c r="Y102" s="594"/>
      <c r="Z102" s="594"/>
      <c r="AA102" s="594"/>
      <c r="AB102" s="594"/>
      <c r="AC102" s="594"/>
      <c r="AD102" s="594"/>
      <c r="AE102" s="594"/>
      <c r="AF102" s="587"/>
      <c r="AG102" s="588">
        <f t="shared" si="30"/>
        <v>0</v>
      </c>
    </row>
    <row r="103" spans="1:33" s="589" customFormat="1" x14ac:dyDescent="0.3">
      <c r="A103" s="593" t="s">
        <v>33</v>
      </c>
      <c r="B103" s="594">
        <f>J103+L103+N103+P103+R103+T103+V103+X103+Z103+AB103+AD103+H103</f>
        <v>79132.092999999993</v>
      </c>
      <c r="C103" s="594">
        <f t="shared" si="36"/>
        <v>79132.092999999993</v>
      </c>
      <c r="D103" s="594">
        <f>E103</f>
        <v>53110.823000000004</v>
      </c>
      <c r="E103" s="594">
        <f>SUM(I103,K103,M103,O103,Q103,S103,U103,W103,Y103,AA103,AC103,AE103)</f>
        <v>53110.823000000004</v>
      </c>
      <c r="F103" s="594">
        <f>IFERROR(E103/B103*100,0)</f>
        <v>67.116666559040723</v>
      </c>
      <c r="G103" s="594">
        <f>IFERROR(E103/C103*100,0)</f>
        <v>67.116666559040723</v>
      </c>
      <c r="H103" s="594">
        <v>6579.89</v>
      </c>
      <c r="I103" s="594">
        <v>5979.4539999999997</v>
      </c>
      <c r="J103" s="594">
        <v>7409.78</v>
      </c>
      <c r="K103" s="594">
        <v>6464.2879999999996</v>
      </c>
      <c r="L103" s="594">
        <v>5275.59</v>
      </c>
      <c r="M103" s="594">
        <v>5272.8850000000002</v>
      </c>
      <c r="N103" s="594">
        <v>6742.9430000000002</v>
      </c>
      <c r="O103" s="594">
        <v>6129.0259999999998</v>
      </c>
      <c r="P103" s="594">
        <v>5528.38</v>
      </c>
      <c r="Q103" s="594">
        <v>5564.61</v>
      </c>
      <c r="R103" s="594">
        <v>6291.57</v>
      </c>
      <c r="S103" s="594">
        <v>6252.11</v>
      </c>
      <c r="T103" s="594">
        <v>7112.45</v>
      </c>
      <c r="U103" s="594">
        <v>6067.23</v>
      </c>
      <c r="V103" s="594">
        <v>6450.67</v>
      </c>
      <c r="W103" s="594">
        <v>6406.16</v>
      </c>
      <c r="X103" s="594">
        <v>5593.82</v>
      </c>
      <c r="Y103" s="594">
        <v>4975.0600000000004</v>
      </c>
      <c r="Z103" s="594">
        <v>6182.43</v>
      </c>
      <c r="AA103" s="594"/>
      <c r="AB103" s="594">
        <v>5471.59</v>
      </c>
      <c r="AC103" s="594"/>
      <c r="AD103" s="594">
        <v>10492.98</v>
      </c>
      <c r="AE103" s="594"/>
      <c r="AF103" s="587"/>
      <c r="AG103" s="588">
        <f t="shared" si="30"/>
        <v>0</v>
      </c>
    </row>
    <row r="104" spans="1:33" s="589" customFormat="1" x14ac:dyDescent="0.3">
      <c r="A104" s="593" t="s">
        <v>170</v>
      </c>
      <c r="B104" s="594">
        <f>J104+L104+N104+P104+R104+T104+V104+X104+Z104+AB104+AD104+H104</f>
        <v>0</v>
      </c>
      <c r="C104" s="594">
        <f t="shared" si="36"/>
        <v>0</v>
      </c>
      <c r="D104" s="594">
        <f>E104</f>
        <v>0</v>
      </c>
      <c r="E104" s="594">
        <f>SUM(I104,K104,M104,O104,Q104,S104,U104,W104,Y104,AA104,AC104,AE104)</f>
        <v>0</v>
      </c>
      <c r="F104" s="594"/>
      <c r="G104" s="594"/>
      <c r="H104" s="594"/>
      <c r="I104" s="594"/>
      <c r="J104" s="594"/>
      <c r="K104" s="594"/>
      <c r="L104" s="594"/>
      <c r="M104" s="594"/>
      <c r="N104" s="594"/>
      <c r="O104" s="594"/>
      <c r="P104" s="594"/>
      <c r="Q104" s="594"/>
      <c r="R104" s="594"/>
      <c r="S104" s="594"/>
      <c r="T104" s="594"/>
      <c r="U104" s="594"/>
      <c r="V104" s="594"/>
      <c r="W104" s="594"/>
      <c r="X104" s="594"/>
      <c r="Y104" s="594"/>
      <c r="Z104" s="594"/>
      <c r="AA104" s="594"/>
      <c r="AB104" s="594"/>
      <c r="AC104" s="594"/>
      <c r="AD104" s="594"/>
      <c r="AE104" s="594"/>
      <c r="AF104" s="587"/>
      <c r="AG104" s="588">
        <f t="shared" si="30"/>
        <v>0</v>
      </c>
    </row>
    <row r="105" spans="1:33" x14ac:dyDescent="0.3">
      <c r="A105" s="607" t="s">
        <v>217</v>
      </c>
      <c r="B105" s="608">
        <f>B106+B107+B108+B110</f>
        <v>190281.36599999998</v>
      </c>
      <c r="C105" s="608">
        <f>C106+C107+C108+C110</f>
        <v>190281.36599999998</v>
      </c>
      <c r="D105" s="608">
        <f>D106+D107+D108+D110</f>
        <v>107429.353</v>
      </c>
      <c r="E105" s="608">
        <f>E106+E107+E108+E110</f>
        <v>107429.353</v>
      </c>
      <c r="F105" s="608">
        <f t="shared" ref="F105:F121" si="37">IFERROR(E105/B105*100,0)</f>
        <v>56.458157337382161</v>
      </c>
      <c r="G105" s="608">
        <f t="shared" ref="G105:G121" si="38">IFERROR(E105/C105*100,0)</f>
        <v>56.458157337382161</v>
      </c>
      <c r="H105" s="608">
        <f t="shared" ref="H105:AE105" si="39">H106+H107+H108+H110</f>
        <v>15033.491000000002</v>
      </c>
      <c r="I105" s="608">
        <f t="shared" si="39"/>
        <v>7953.1170000000002</v>
      </c>
      <c r="J105" s="608">
        <f t="shared" si="39"/>
        <v>17271.194</v>
      </c>
      <c r="K105" s="608">
        <f t="shared" si="39"/>
        <v>20090.375</v>
      </c>
      <c r="L105" s="608">
        <f t="shared" si="39"/>
        <v>17009.131000000001</v>
      </c>
      <c r="M105" s="608">
        <f t="shared" si="39"/>
        <v>12552.26</v>
      </c>
      <c r="N105" s="608">
        <f t="shared" si="39"/>
        <v>12751.113000000001</v>
      </c>
      <c r="O105" s="608">
        <f t="shared" si="39"/>
        <v>14941.430999999999</v>
      </c>
      <c r="P105" s="608">
        <f t="shared" si="39"/>
        <v>11795.304</v>
      </c>
      <c r="Q105" s="608">
        <f t="shared" si="39"/>
        <v>11571.73</v>
      </c>
      <c r="R105" s="608">
        <f t="shared" si="39"/>
        <v>13575.767999999998</v>
      </c>
      <c r="S105" s="608">
        <f t="shared" si="39"/>
        <v>11160.23</v>
      </c>
      <c r="T105" s="608">
        <f t="shared" si="39"/>
        <v>12255.89</v>
      </c>
      <c r="U105" s="608">
        <f t="shared" si="39"/>
        <v>10630.989999999998</v>
      </c>
      <c r="V105" s="608">
        <f t="shared" si="39"/>
        <v>9377.9040000000005</v>
      </c>
      <c r="W105" s="608">
        <f t="shared" si="39"/>
        <v>11021.58</v>
      </c>
      <c r="X105" s="608">
        <f t="shared" si="39"/>
        <v>9140.268</v>
      </c>
      <c r="Y105" s="608">
        <f t="shared" si="39"/>
        <v>5911.7300000000005</v>
      </c>
      <c r="Z105" s="608">
        <f t="shared" si="39"/>
        <v>17588.03</v>
      </c>
      <c r="AA105" s="608">
        <f t="shared" si="39"/>
        <v>1595.9099999999999</v>
      </c>
      <c r="AB105" s="608">
        <f t="shared" si="39"/>
        <v>10937.603999999999</v>
      </c>
      <c r="AC105" s="608">
        <f t="shared" si="39"/>
        <v>0</v>
      </c>
      <c r="AD105" s="608">
        <f t="shared" si="39"/>
        <v>43545.669000000002</v>
      </c>
      <c r="AE105" s="608">
        <f t="shared" si="39"/>
        <v>0</v>
      </c>
      <c r="AF105" s="608"/>
      <c r="AG105" s="99">
        <f t="shared" si="30"/>
        <v>0</v>
      </c>
    </row>
    <row r="106" spans="1:33" s="589" customFormat="1" x14ac:dyDescent="0.3">
      <c r="A106" s="593" t="s">
        <v>169</v>
      </c>
      <c r="B106" s="594">
        <f>B13+B19+B26+B33+B40+B47+B62+B69+B75+B81+B89+B95+B101+B53</f>
        <v>4375.9799999999996</v>
      </c>
      <c r="C106" s="594">
        <f>C13+C19+C26+C33+C40+C47+C62+C69+C75+C81+C89+C95+C101+C53</f>
        <v>4375.9799999999996</v>
      </c>
      <c r="D106" s="594">
        <f t="shared" ref="D106:AE106" si="40">D13+D19+D26+D33+D40+D47+D62+D69+D75+D81+D89+D95+D101+D53</f>
        <v>348.38</v>
      </c>
      <c r="E106" s="594">
        <f t="shared" si="40"/>
        <v>348.38</v>
      </c>
      <c r="F106" s="594">
        <f t="shared" si="37"/>
        <v>7.961188122432004</v>
      </c>
      <c r="G106" s="594">
        <f t="shared" si="38"/>
        <v>7.961188122432004</v>
      </c>
      <c r="H106" s="594">
        <f t="shared" si="40"/>
        <v>0</v>
      </c>
      <c r="I106" s="594">
        <f t="shared" si="40"/>
        <v>0</v>
      </c>
      <c r="J106" s="594">
        <f t="shared" si="40"/>
        <v>0</v>
      </c>
      <c r="K106" s="594">
        <f t="shared" si="40"/>
        <v>0</v>
      </c>
      <c r="L106" s="594">
        <f t="shared" si="40"/>
        <v>158.38</v>
      </c>
      <c r="M106" s="594">
        <f t="shared" si="40"/>
        <v>158.38</v>
      </c>
      <c r="N106" s="594">
        <f t="shared" si="40"/>
        <v>190</v>
      </c>
      <c r="O106" s="594">
        <f t="shared" si="40"/>
        <v>190</v>
      </c>
      <c r="P106" s="594">
        <f t="shared" si="40"/>
        <v>0</v>
      </c>
      <c r="Q106" s="594">
        <f t="shared" si="40"/>
        <v>0</v>
      </c>
      <c r="R106" s="594">
        <f t="shared" si="40"/>
        <v>0</v>
      </c>
      <c r="S106" s="594">
        <f t="shared" si="40"/>
        <v>0</v>
      </c>
      <c r="T106" s="594">
        <f t="shared" si="40"/>
        <v>0</v>
      </c>
      <c r="U106" s="594">
        <f t="shared" si="40"/>
        <v>0</v>
      </c>
      <c r="V106" s="594">
        <f t="shared" si="40"/>
        <v>0</v>
      </c>
      <c r="W106" s="594">
        <f t="shared" si="40"/>
        <v>0</v>
      </c>
      <c r="X106" s="594">
        <f t="shared" si="40"/>
        <v>0</v>
      </c>
      <c r="Y106" s="594">
        <f t="shared" si="40"/>
        <v>0</v>
      </c>
      <c r="Z106" s="594">
        <f t="shared" si="40"/>
        <v>0</v>
      </c>
      <c r="AA106" s="594">
        <f t="shared" si="40"/>
        <v>0</v>
      </c>
      <c r="AB106" s="594">
        <f t="shared" si="40"/>
        <v>0</v>
      </c>
      <c r="AC106" s="594">
        <f t="shared" si="40"/>
        <v>0</v>
      </c>
      <c r="AD106" s="594">
        <f t="shared" si="40"/>
        <v>4027.6</v>
      </c>
      <c r="AE106" s="594">
        <f t="shared" si="40"/>
        <v>0</v>
      </c>
      <c r="AF106" s="594"/>
      <c r="AG106" s="588">
        <f t="shared" si="30"/>
        <v>0</v>
      </c>
    </row>
    <row r="107" spans="1:33" s="589" customFormat="1" x14ac:dyDescent="0.3">
      <c r="A107" s="593" t="s">
        <v>32</v>
      </c>
      <c r="B107" s="594">
        <f>B14+B20+B27+B34+B41+B48+B63+B70+B76+B82+B90+B96+B102+B54</f>
        <v>61704.294999999991</v>
      </c>
      <c r="C107" s="594">
        <f>C14+C20+C27+C34+C41+C48+C63+C70+C76+C82+C90+C96+C102+C54</f>
        <v>61704.294999999991</v>
      </c>
      <c r="D107" s="594">
        <f t="shared" ref="D107:AE107" si="41">D14+D20+D27+D34+D41+D48+D63+D70+D76+D82+D90+D96+D102+D54</f>
        <v>32823.69</v>
      </c>
      <c r="E107" s="594">
        <f t="shared" si="41"/>
        <v>32823.69</v>
      </c>
      <c r="F107" s="594">
        <f t="shared" si="37"/>
        <v>53.195146302214468</v>
      </c>
      <c r="G107" s="594">
        <f t="shared" si="38"/>
        <v>53.195146302214468</v>
      </c>
      <c r="H107" s="594">
        <f t="shared" si="41"/>
        <v>4255.5</v>
      </c>
      <c r="I107" s="594">
        <f t="shared" si="41"/>
        <v>0</v>
      </c>
      <c r="J107" s="594">
        <f t="shared" si="41"/>
        <v>6738.55</v>
      </c>
      <c r="K107" s="594">
        <f t="shared" si="41"/>
        <v>10447.709999999999</v>
      </c>
      <c r="L107" s="594">
        <f t="shared" si="41"/>
        <v>8133.1149999999998</v>
      </c>
      <c r="M107" s="594">
        <f t="shared" si="41"/>
        <v>4469.4549999999999</v>
      </c>
      <c r="N107" s="594">
        <f t="shared" si="41"/>
        <v>2762.54</v>
      </c>
      <c r="O107" s="594">
        <f t="shared" si="41"/>
        <v>6444.2950000000001</v>
      </c>
      <c r="P107" s="594">
        <f t="shared" si="41"/>
        <v>3679.48</v>
      </c>
      <c r="Q107" s="594">
        <f t="shared" si="41"/>
        <v>3001.34</v>
      </c>
      <c r="R107" s="594">
        <f t="shared" si="41"/>
        <v>4853.6399999999994</v>
      </c>
      <c r="S107" s="594">
        <f t="shared" si="41"/>
        <v>2981.1600000000003</v>
      </c>
      <c r="T107" s="594">
        <f t="shared" si="41"/>
        <v>921.64</v>
      </c>
      <c r="U107" s="594">
        <f t="shared" si="41"/>
        <v>1116.48</v>
      </c>
      <c r="V107" s="594">
        <f t="shared" si="41"/>
        <v>546</v>
      </c>
      <c r="W107" s="594">
        <f t="shared" si="41"/>
        <v>2910.97</v>
      </c>
      <c r="X107" s="594">
        <f t="shared" si="41"/>
        <v>1452.3</v>
      </c>
      <c r="Y107" s="594">
        <f t="shared" si="41"/>
        <v>0</v>
      </c>
      <c r="Z107" s="594">
        <f t="shared" si="41"/>
        <v>1335.08</v>
      </c>
      <c r="AA107" s="594">
        <f t="shared" si="41"/>
        <v>1452.28</v>
      </c>
      <c r="AB107" s="594">
        <f t="shared" si="41"/>
        <v>2954.15</v>
      </c>
      <c r="AC107" s="594">
        <f t="shared" si="41"/>
        <v>0</v>
      </c>
      <c r="AD107" s="594">
        <f t="shared" si="41"/>
        <v>24072.300000000003</v>
      </c>
      <c r="AE107" s="594">
        <f t="shared" si="41"/>
        <v>0</v>
      </c>
      <c r="AF107" s="594"/>
      <c r="AG107" s="588">
        <f t="shared" si="30"/>
        <v>0</v>
      </c>
    </row>
    <row r="108" spans="1:33" s="589" customFormat="1" x14ac:dyDescent="0.3">
      <c r="A108" s="593" t="s">
        <v>33</v>
      </c>
      <c r="B108" s="594">
        <f>B15+B21+B28+B35+B42+B49+B64+B71+B77+B83+B91+B97+B103+B55</f>
        <v>122486.091</v>
      </c>
      <c r="C108" s="594">
        <f t="shared" ref="C108:AE108" si="42">C15+C21+C28+C35+C42+C49+C64+C71+C77+C83+C91+C97+C103+C55</f>
        <v>122486.091</v>
      </c>
      <c r="D108" s="594">
        <f t="shared" si="42"/>
        <v>74257.282999999996</v>
      </c>
      <c r="E108" s="594">
        <f t="shared" si="42"/>
        <v>74257.282999999996</v>
      </c>
      <c r="F108" s="594">
        <f t="shared" si="37"/>
        <v>60.625073748169491</v>
      </c>
      <c r="G108" s="594">
        <f t="shared" si="38"/>
        <v>60.625073748169491</v>
      </c>
      <c r="H108" s="594">
        <f t="shared" si="42"/>
        <v>10777.991000000002</v>
      </c>
      <c r="I108" s="594">
        <f t="shared" si="42"/>
        <v>7953.1170000000002</v>
      </c>
      <c r="J108" s="594">
        <f t="shared" si="42"/>
        <v>10532.644</v>
      </c>
      <c r="K108" s="594">
        <f t="shared" si="42"/>
        <v>9642.6650000000009</v>
      </c>
      <c r="L108" s="594">
        <f t="shared" si="42"/>
        <v>7952.6360000000004</v>
      </c>
      <c r="M108" s="594">
        <f t="shared" si="42"/>
        <v>7924.4250000000002</v>
      </c>
      <c r="N108" s="594">
        <f t="shared" si="42"/>
        <v>9798.5730000000003</v>
      </c>
      <c r="O108" s="594">
        <f t="shared" si="42"/>
        <v>8307.1359999999986</v>
      </c>
      <c r="P108" s="594">
        <f t="shared" si="42"/>
        <v>8115.8240000000005</v>
      </c>
      <c r="Q108" s="594">
        <f t="shared" si="42"/>
        <v>8570.39</v>
      </c>
      <c r="R108" s="594">
        <f t="shared" si="42"/>
        <v>8722.1279999999988</v>
      </c>
      <c r="S108" s="594">
        <f t="shared" si="42"/>
        <v>8179.07</v>
      </c>
      <c r="T108" s="594">
        <f t="shared" si="42"/>
        <v>11334.25</v>
      </c>
      <c r="U108" s="594">
        <f t="shared" si="42"/>
        <v>9514.5099999999984</v>
      </c>
      <c r="V108" s="594">
        <f t="shared" si="42"/>
        <v>8831.9040000000005</v>
      </c>
      <c r="W108" s="594">
        <f t="shared" si="42"/>
        <v>8110.61</v>
      </c>
      <c r="X108" s="594">
        <f t="shared" si="42"/>
        <v>7687.9679999999998</v>
      </c>
      <c r="Y108" s="594">
        <f t="shared" si="42"/>
        <v>5911.7300000000005</v>
      </c>
      <c r="Z108" s="594">
        <f t="shared" si="42"/>
        <v>16252.95</v>
      </c>
      <c r="AA108" s="594">
        <f t="shared" si="42"/>
        <v>143.63</v>
      </c>
      <c r="AB108" s="594">
        <f t="shared" si="42"/>
        <v>7983.4539999999997</v>
      </c>
      <c r="AC108" s="594">
        <f t="shared" si="42"/>
        <v>0</v>
      </c>
      <c r="AD108" s="594">
        <f t="shared" si="42"/>
        <v>14495.769</v>
      </c>
      <c r="AE108" s="594">
        <f t="shared" si="42"/>
        <v>0</v>
      </c>
      <c r="AF108" s="594"/>
      <c r="AG108" s="588">
        <f t="shared" si="30"/>
        <v>0</v>
      </c>
    </row>
    <row r="109" spans="1:33" s="589" customFormat="1" ht="37.5" x14ac:dyDescent="0.3">
      <c r="A109" s="600" t="s">
        <v>174</v>
      </c>
      <c r="B109" s="594">
        <f>B29+B36+B43+B56+B65</f>
        <v>5130.9000000000005</v>
      </c>
      <c r="C109" s="594">
        <f t="shared" ref="C109:AE109" si="43">C29+C36+C43+C56+C65</f>
        <v>5130.9000000000005</v>
      </c>
      <c r="D109" s="594">
        <f t="shared" si="43"/>
        <v>2741.1600000000003</v>
      </c>
      <c r="E109" s="594">
        <f t="shared" si="43"/>
        <v>2741.1600000000003</v>
      </c>
      <c r="F109" s="594">
        <f t="shared" si="37"/>
        <v>53.424545401391569</v>
      </c>
      <c r="G109" s="594">
        <f t="shared" si="38"/>
        <v>53.424545401391569</v>
      </c>
      <c r="H109" s="594">
        <f t="shared" si="43"/>
        <v>421</v>
      </c>
      <c r="I109" s="594">
        <f t="shared" si="43"/>
        <v>420.84</v>
      </c>
      <c r="J109" s="594">
        <f t="shared" si="43"/>
        <v>666.45</v>
      </c>
      <c r="K109" s="594">
        <f t="shared" si="43"/>
        <v>612.45000000000005</v>
      </c>
      <c r="L109" s="594">
        <f t="shared" si="43"/>
        <v>620.14</v>
      </c>
      <c r="M109" s="594">
        <f t="shared" si="43"/>
        <v>674.14</v>
      </c>
      <c r="N109" s="594">
        <f t="shared" si="43"/>
        <v>51.3</v>
      </c>
      <c r="O109" s="594">
        <f t="shared" si="43"/>
        <v>51.3</v>
      </c>
      <c r="P109" s="594">
        <f t="shared" si="43"/>
        <v>357.24</v>
      </c>
      <c r="Q109" s="594">
        <f t="shared" si="43"/>
        <v>357.24</v>
      </c>
      <c r="R109" s="594">
        <f t="shared" si="43"/>
        <v>480.05999999999995</v>
      </c>
      <c r="S109" s="594">
        <f t="shared" si="43"/>
        <v>226.86</v>
      </c>
      <c r="T109" s="594">
        <f t="shared" si="43"/>
        <v>145.12</v>
      </c>
      <c r="U109" s="594">
        <f t="shared" si="43"/>
        <v>164.43</v>
      </c>
      <c r="V109" s="594">
        <f t="shared" si="43"/>
        <v>0</v>
      </c>
      <c r="W109" s="594">
        <f t="shared" si="43"/>
        <v>233.9</v>
      </c>
      <c r="X109" s="594">
        <f t="shared" si="43"/>
        <v>0</v>
      </c>
      <c r="Y109" s="594">
        <f t="shared" si="43"/>
        <v>0</v>
      </c>
      <c r="Z109" s="594">
        <f t="shared" si="43"/>
        <v>8.84</v>
      </c>
      <c r="AA109" s="594">
        <f t="shared" si="43"/>
        <v>0</v>
      </c>
      <c r="AB109" s="594">
        <f t="shared" si="43"/>
        <v>0</v>
      </c>
      <c r="AC109" s="594">
        <f t="shared" si="43"/>
        <v>0</v>
      </c>
      <c r="AD109" s="594">
        <f t="shared" si="43"/>
        <v>2380.75</v>
      </c>
      <c r="AE109" s="594">
        <f t="shared" si="43"/>
        <v>0</v>
      </c>
      <c r="AF109" s="594"/>
      <c r="AG109" s="588"/>
    </row>
    <row r="110" spans="1:33" s="589" customFormat="1" x14ac:dyDescent="0.3">
      <c r="A110" s="606" t="s">
        <v>170</v>
      </c>
      <c r="B110" s="594">
        <f>B16+B22+B30+B37+B44+B50+B66+B72+B78+B84+B92+B98+B104+B57</f>
        <v>1715</v>
      </c>
      <c r="C110" s="594">
        <f t="shared" ref="C110:AE110" si="44">C16+C22+C30+C37+C44+C50+C66+C72+C78+C84+C92+C98+C104+C57</f>
        <v>1715</v>
      </c>
      <c r="D110" s="594">
        <f t="shared" si="44"/>
        <v>0</v>
      </c>
      <c r="E110" s="594">
        <f t="shared" si="44"/>
        <v>0</v>
      </c>
      <c r="F110" s="594">
        <f t="shared" si="37"/>
        <v>0</v>
      </c>
      <c r="G110" s="594">
        <f t="shared" si="38"/>
        <v>0</v>
      </c>
      <c r="H110" s="594">
        <f t="shared" si="44"/>
        <v>0</v>
      </c>
      <c r="I110" s="594">
        <f t="shared" si="44"/>
        <v>0</v>
      </c>
      <c r="J110" s="594">
        <f t="shared" si="44"/>
        <v>0</v>
      </c>
      <c r="K110" s="594">
        <f t="shared" si="44"/>
        <v>0</v>
      </c>
      <c r="L110" s="594">
        <f t="shared" si="44"/>
        <v>765</v>
      </c>
      <c r="M110" s="594">
        <f t="shared" si="44"/>
        <v>0</v>
      </c>
      <c r="N110" s="594">
        <f t="shared" si="44"/>
        <v>0</v>
      </c>
      <c r="O110" s="594">
        <f t="shared" si="44"/>
        <v>0</v>
      </c>
      <c r="P110" s="594">
        <f t="shared" si="44"/>
        <v>0</v>
      </c>
      <c r="Q110" s="594">
        <f t="shared" si="44"/>
        <v>0</v>
      </c>
      <c r="R110" s="594">
        <f t="shared" si="44"/>
        <v>0</v>
      </c>
      <c r="S110" s="594">
        <f t="shared" si="44"/>
        <v>0</v>
      </c>
      <c r="T110" s="594">
        <f t="shared" si="44"/>
        <v>0</v>
      </c>
      <c r="U110" s="594">
        <f t="shared" si="44"/>
        <v>0</v>
      </c>
      <c r="V110" s="594">
        <f t="shared" si="44"/>
        <v>0</v>
      </c>
      <c r="W110" s="594">
        <f t="shared" si="44"/>
        <v>0</v>
      </c>
      <c r="X110" s="594">
        <f t="shared" si="44"/>
        <v>0</v>
      </c>
      <c r="Y110" s="594">
        <f t="shared" si="44"/>
        <v>0</v>
      </c>
      <c r="Z110" s="594">
        <f t="shared" si="44"/>
        <v>0</v>
      </c>
      <c r="AA110" s="594">
        <f t="shared" si="44"/>
        <v>0</v>
      </c>
      <c r="AB110" s="594">
        <f t="shared" si="44"/>
        <v>0</v>
      </c>
      <c r="AC110" s="594">
        <f t="shared" si="44"/>
        <v>0</v>
      </c>
      <c r="AD110" s="594">
        <f t="shared" si="44"/>
        <v>950</v>
      </c>
      <c r="AE110" s="594">
        <f t="shared" si="44"/>
        <v>0</v>
      </c>
      <c r="AF110" s="594"/>
      <c r="AG110" s="588">
        <f t="shared" si="30"/>
        <v>0</v>
      </c>
    </row>
    <row r="111" spans="1:33" ht="37.5" x14ac:dyDescent="0.3">
      <c r="A111" s="607" t="s">
        <v>218</v>
      </c>
      <c r="B111" s="608">
        <f>B112+B113+B114+B115</f>
        <v>0</v>
      </c>
      <c r="C111" s="608">
        <f>C112+C113+C114</f>
        <v>0</v>
      </c>
      <c r="D111" s="608">
        <f>D112+D113+D114</f>
        <v>0</v>
      </c>
      <c r="E111" s="608">
        <f>E112+E113+E114</f>
        <v>0</v>
      </c>
      <c r="F111" s="608">
        <f t="shared" si="37"/>
        <v>0</v>
      </c>
      <c r="G111" s="608">
        <f t="shared" si="38"/>
        <v>0</v>
      </c>
      <c r="H111" s="608">
        <f t="shared" ref="H111:AE111" si="45">H112+H113+H114+H115</f>
        <v>0</v>
      </c>
      <c r="I111" s="608">
        <f t="shared" si="45"/>
        <v>0</v>
      </c>
      <c r="J111" s="608">
        <f t="shared" si="45"/>
        <v>0</v>
      </c>
      <c r="K111" s="608">
        <f t="shared" si="45"/>
        <v>0</v>
      </c>
      <c r="L111" s="608">
        <f t="shared" si="45"/>
        <v>0</v>
      </c>
      <c r="M111" s="608">
        <f t="shared" si="45"/>
        <v>0</v>
      </c>
      <c r="N111" s="608">
        <f t="shared" si="45"/>
        <v>0</v>
      </c>
      <c r="O111" s="608">
        <f t="shared" si="45"/>
        <v>0</v>
      </c>
      <c r="P111" s="608">
        <f t="shared" si="45"/>
        <v>0</v>
      </c>
      <c r="Q111" s="608">
        <f t="shared" si="45"/>
        <v>0</v>
      </c>
      <c r="R111" s="608">
        <f t="shared" si="45"/>
        <v>0</v>
      </c>
      <c r="S111" s="608">
        <f t="shared" si="45"/>
        <v>0</v>
      </c>
      <c r="T111" s="608">
        <f t="shared" si="45"/>
        <v>0</v>
      </c>
      <c r="U111" s="608">
        <f t="shared" si="45"/>
        <v>0</v>
      </c>
      <c r="V111" s="608">
        <f t="shared" si="45"/>
        <v>0</v>
      </c>
      <c r="W111" s="608">
        <f t="shared" si="45"/>
        <v>0</v>
      </c>
      <c r="X111" s="608">
        <f t="shared" si="45"/>
        <v>0</v>
      </c>
      <c r="Y111" s="608">
        <f t="shared" si="45"/>
        <v>0</v>
      </c>
      <c r="Z111" s="608">
        <f t="shared" si="45"/>
        <v>0</v>
      </c>
      <c r="AA111" s="608">
        <f t="shared" si="45"/>
        <v>0</v>
      </c>
      <c r="AB111" s="608">
        <f t="shared" si="45"/>
        <v>0</v>
      </c>
      <c r="AC111" s="608">
        <f t="shared" si="45"/>
        <v>0</v>
      </c>
      <c r="AD111" s="608">
        <f t="shared" si="45"/>
        <v>0</v>
      </c>
      <c r="AE111" s="608">
        <f t="shared" si="45"/>
        <v>0</v>
      </c>
      <c r="AF111" s="608"/>
      <c r="AG111" s="99">
        <f t="shared" si="30"/>
        <v>0</v>
      </c>
    </row>
    <row r="112" spans="1:33" s="589" customFormat="1" x14ac:dyDescent="0.3">
      <c r="A112" s="593" t="s">
        <v>169</v>
      </c>
      <c r="B112" s="594">
        <f>B13+B19</f>
        <v>0</v>
      </c>
      <c r="C112" s="594">
        <f>C13+C19</f>
        <v>0</v>
      </c>
      <c r="D112" s="594">
        <f>D13+D19</f>
        <v>0</v>
      </c>
      <c r="E112" s="594">
        <f>E13+E19</f>
        <v>0</v>
      </c>
      <c r="F112" s="594">
        <f t="shared" si="37"/>
        <v>0</v>
      </c>
      <c r="G112" s="594">
        <f t="shared" si="38"/>
        <v>0</v>
      </c>
      <c r="H112" s="594">
        <f t="shared" ref="H112:AE112" si="46">H13+H19</f>
        <v>0</v>
      </c>
      <c r="I112" s="594">
        <f t="shared" si="46"/>
        <v>0</v>
      </c>
      <c r="J112" s="594">
        <f t="shared" si="46"/>
        <v>0</v>
      </c>
      <c r="K112" s="594">
        <f t="shared" si="46"/>
        <v>0</v>
      </c>
      <c r="L112" s="594">
        <f t="shared" si="46"/>
        <v>0</v>
      </c>
      <c r="M112" s="594">
        <f t="shared" si="46"/>
        <v>0</v>
      </c>
      <c r="N112" s="594">
        <f t="shared" si="46"/>
        <v>0</v>
      </c>
      <c r="O112" s="594">
        <f t="shared" si="46"/>
        <v>0</v>
      </c>
      <c r="P112" s="594">
        <f t="shared" si="46"/>
        <v>0</v>
      </c>
      <c r="Q112" s="594">
        <f t="shared" si="46"/>
        <v>0</v>
      </c>
      <c r="R112" s="594">
        <f t="shared" si="46"/>
        <v>0</v>
      </c>
      <c r="S112" s="594">
        <f t="shared" si="46"/>
        <v>0</v>
      </c>
      <c r="T112" s="594">
        <f t="shared" si="46"/>
        <v>0</v>
      </c>
      <c r="U112" s="594">
        <f t="shared" si="46"/>
        <v>0</v>
      </c>
      <c r="V112" s="594">
        <f t="shared" si="46"/>
        <v>0</v>
      </c>
      <c r="W112" s="594">
        <f t="shared" si="46"/>
        <v>0</v>
      </c>
      <c r="X112" s="594">
        <f t="shared" si="46"/>
        <v>0</v>
      </c>
      <c r="Y112" s="594">
        <f t="shared" si="46"/>
        <v>0</v>
      </c>
      <c r="Z112" s="594">
        <f t="shared" si="46"/>
        <v>0</v>
      </c>
      <c r="AA112" s="594">
        <f t="shared" si="46"/>
        <v>0</v>
      </c>
      <c r="AB112" s="594">
        <f t="shared" si="46"/>
        <v>0</v>
      </c>
      <c r="AC112" s="594">
        <f t="shared" si="46"/>
        <v>0</v>
      </c>
      <c r="AD112" s="594">
        <f t="shared" si="46"/>
        <v>0</v>
      </c>
      <c r="AE112" s="594">
        <f t="shared" si="46"/>
        <v>0</v>
      </c>
      <c r="AF112" s="594"/>
      <c r="AG112" s="588">
        <f t="shared" si="30"/>
        <v>0</v>
      </c>
    </row>
    <row r="113" spans="1:33" s="589" customFormat="1" x14ac:dyDescent="0.3">
      <c r="A113" s="593" t="s">
        <v>32</v>
      </c>
      <c r="B113" s="594">
        <f>B14+B20</f>
        <v>0</v>
      </c>
      <c r="C113" s="594">
        <f t="shared" ref="C113:E115" si="47">C14+C20</f>
        <v>0</v>
      </c>
      <c r="D113" s="594">
        <f t="shared" si="47"/>
        <v>0</v>
      </c>
      <c r="E113" s="594">
        <f t="shared" si="47"/>
        <v>0</v>
      </c>
      <c r="F113" s="594">
        <f t="shared" si="37"/>
        <v>0</v>
      </c>
      <c r="G113" s="594">
        <f t="shared" si="38"/>
        <v>0</v>
      </c>
      <c r="H113" s="594">
        <f t="shared" ref="H113:AE113" si="48">H14+H20</f>
        <v>0</v>
      </c>
      <c r="I113" s="594">
        <f t="shared" si="48"/>
        <v>0</v>
      </c>
      <c r="J113" s="594">
        <f t="shared" si="48"/>
        <v>0</v>
      </c>
      <c r="K113" s="594">
        <f t="shared" si="48"/>
        <v>0</v>
      </c>
      <c r="L113" s="594">
        <f t="shared" si="48"/>
        <v>0</v>
      </c>
      <c r="M113" s="594">
        <f t="shared" si="48"/>
        <v>0</v>
      </c>
      <c r="N113" s="594">
        <f t="shared" si="48"/>
        <v>0</v>
      </c>
      <c r="O113" s="594">
        <f t="shared" si="48"/>
        <v>0</v>
      </c>
      <c r="P113" s="594">
        <f t="shared" si="48"/>
        <v>0</v>
      </c>
      <c r="Q113" s="594">
        <f t="shared" si="48"/>
        <v>0</v>
      </c>
      <c r="R113" s="594">
        <f t="shared" si="48"/>
        <v>0</v>
      </c>
      <c r="S113" s="594">
        <f t="shared" si="48"/>
        <v>0</v>
      </c>
      <c r="T113" s="594">
        <f t="shared" si="48"/>
        <v>0</v>
      </c>
      <c r="U113" s="594">
        <f t="shared" si="48"/>
        <v>0</v>
      </c>
      <c r="V113" s="594">
        <f t="shared" si="48"/>
        <v>0</v>
      </c>
      <c r="W113" s="594">
        <f t="shared" si="48"/>
        <v>0</v>
      </c>
      <c r="X113" s="594">
        <f t="shared" si="48"/>
        <v>0</v>
      </c>
      <c r="Y113" s="594">
        <f t="shared" si="48"/>
        <v>0</v>
      </c>
      <c r="Z113" s="594">
        <f t="shared" si="48"/>
        <v>0</v>
      </c>
      <c r="AA113" s="594">
        <f t="shared" si="48"/>
        <v>0</v>
      </c>
      <c r="AB113" s="594">
        <f t="shared" si="48"/>
        <v>0</v>
      </c>
      <c r="AC113" s="594">
        <f t="shared" si="48"/>
        <v>0</v>
      </c>
      <c r="AD113" s="594">
        <f t="shared" si="48"/>
        <v>0</v>
      </c>
      <c r="AE113" s="594">
        <f t="shared" si="48"/>
        <v>0</v>
      </c>
      <c r="AF113" s="594"/>
      <c r="AG113" s="588">
        <f t="shared" si="30"/>
        <v>0</v>
      </c>
    </row>
    <row r="114" spans="1:33" s="589" customFormat="1" x14ac:dyDescent="0.3">
      <c r="A114" s="593" t="s">
        <v>33</v>
      </c>
      <c r="B114" s="594">
        <f>B15+B21</f>
        <v>0</v>
      </c>
      <c r="C114" s="594">
        <f t="shared" si="47"/>
        <v>0</v>
      </c>
      <c r="D114" s="594">
        <f t="shared" si="47"/>
        <v>0</v>
      </c>
      <c r="E114" s="594">
        <f t="shared" si="47"/>
        <v>0</v>
      </c>
      <c r="F114" s="594">
        <f t="shared" si="37"/>
        <v>0</v>
      </c>
      <c r="G114" s="594">
        <f t="shared" si="38"/>
        <v>0</v>
      </c>
      <c r="H114" s="594">
        <f t="shared" ref="H114:AE114" si="49">H15+H21</f>
        <v>0</v>
      </c>
      <c r="I114" s="594">
        <f t="shared" si="49"/>
        <v>0</v>
      </c>
      <c r="J114" s="594">
        <f t="shared" si="49"/>
        <v>0</v>
      </c>
      <c r="K114" s="594">
        <f t="shared" si="49"/>
        <v>0</v>
      </c>
      <c r="L114" s="594">
        <f t="shared" si="49"/>
        <v>0</v>
      </c>
      <c r="M114" s="594">
        <f t="shared" si="49"/>
        <v>0</v>
      </c>
      <c r="N114" s="594">
        <f t="shared" si="49"/>
        <v>0</v>
      </c>
      <c r="O114" s="594">
        <f t="shared" si="49"/>
        <v>0</v>
      </c>
      <c r="P114" s="594">
        <f t="shared" si="49"/>
        <v>0</v>
      </c>
      <c r="Q114" s="594">
        <f t="shared" si="49"/>
        <v>0</v>
      </c>
      <c r="R114" s="594">
        <f t="shared" si="49"/>
        <v>0</v>
      </c>
      <c r="S114" s="594">
        <f t="shared" si="49"/>
        <v>0</v>
      </c>
      <c r="T114" s="594">
        <f t="shared" si="49"/>
        <v>0</v>
      </c>
      <c r="U114" s="594">
        <f t="shared" si="49"/>
        <v>0</v>
      </c>
      <c r="V114" s="594">
        <f t="shared" si="49"/>
        <v>0</v>
      </c>
      <c r="W114" s="594">
        <f t="shared" si="49"/>
        <v>0</v>
      </c>
      <c r="X114" s="594">
        <f t="shared" si="49"/>
        <v>0</v>
      </c>
      <c r="Y114" s="594">
        <f t="shared" si="49"/>
        <v>0</v>
      </c>
      <c r="Z114" s="594">
        <f t="shared" si="49"/>
        <v>0</v>
      </c>
      <c r="AA114" s="594">
        <f t="shared" si="49"/>
        <v>0</v>
      </c>
      <c r="AB114" s="594">
        <f t="shared" si="49"/>
        <v>0</v>
      </c>
      <c r="AC114" s="594">
        <f t="shared" si="49"/>
        <v>0</v>
      </c>
      <c r="AD114" s="594">
        <f t="shared" si="49"/>
        <v>0</v>
      </c>
      <c r="AE114" s="594">
        <f t="shared" si="49"/>
        <v>0</v>
      </c>
      <c r="AF114" s="594"/>
      <c r="AG114" s="588">
        <f t="shared" si="30"/>
        <v>0</v>
      </c>
    </row>
    <row r="115" spans="1:33" s="589" customFormat="1" x14ac:dyDescent="0.3">
      <c r="A115" s="606" t="s">
        <v>170</v>
      </c>
      <c r="B115" s="594">
        <f>B16+B22</f>
        <v>0</v>
      </c>
      <c r="C115" s="594">
        <f t="shared" si="47"/>
        <v>0</v>
      </c>
      <c r="D115" s="594">
        <f t="shared" si="47"/>
        <v>0</v>
      </c>
      <c r="E115" s="594">
        <f t="shared" si="47"/>
        <v>0</v>
      </c>
      <c r="F115" s="594">
        <f t="shared" si="37"/>
        <v>0</v>
      </c>
      <c r="G115" s="594">
        <f t="shared" si="38"/>
        <v>0</v>
      </c>
      <c r="H115" s="594">
        <f t="shared" ref="H115:AE115" si="50">H16+H22</f>
        <v>0</v>
      </c>
      <c r="I115" s="594">
        <f t="shared" si="50"/>
        <v>0</v>
      </c>
      <c r="J115" s="594">
        <f t="shared" si="50"/>
        <v>0</v>
      </c>
      <c r="K115" s="594">
        <f t="shared" si="50"/>
        <v>0</v>
      </c>
      <c r="L115" s="594">
        <f t="shared" si="50"/>
        <v>0</v>
      </c>
      <c r="M115" s="594">
        <f t="shared" si="50"/>
        <v>0</v>
      </c>
      <c r="N115" s="594">
        <f t="shared" si="50"/>
        <v>0</v>
      </c>
      <c r="O115" s="594">
        <f t="shared" si="50"/>
        <v>0</v>
      </c>
      <c r="P115" s="594">
        <f t="shared" si="50"/>
        <v>0</v>
      </c>
      <c r="Q115" s="594">
        <f t="shared" si="50"/>
        <v>0</v>
      </c>
      <c r="R115" s="594">
        <f t="shared" si="50"/>
        <v>0</v>
      </c>
      <c r="S115" s="594">
        <f t="shared" si="50"/>
        <v>0</v>
      </c>
      <c r="T115" s="594">
        <f t="shared" si="50"/>
        <v>0</v>
      </c>
      <c r="U115" s="594">
        <f t="shared" si="50"/>
        <v>0</v>
      </c>
      <c r="V115" s="594">
        <f t="shared" si="50"/>
        <v>0</v>
      </c>
      <c r="W115" s="594">
        <f t="shared" si="50"/>
        <v>0</v>
      </c>
      <c r="X115" s="594">
        <f t="shared" si="50"/>
        <v>0</v>
      </c>
      <c r="Y115" s="594">
        <f t="shared" si="50"/>
        <v>0</v>
      </c>
      <c r="Z115" s="594">
        <f t="shared" si="50"/>
        <v>0</v>
      </c>
      <c r="AA115" s="594">
        <f t="shared" si="50"/>
        <v>0</v>
      </c>
      <c r="AB115" s="594">
        <f t="shared" si="50"/>
        <v>0</v>
      </c>
      <c r="AC115" s="594">
        <f t="shared" si="50"/>
        <v>0</v>
      </c>
      <c r="AD115" s="594">
        <f t="shared" si="50"/>
        <v>0</v>
      </c>
      <c r="AE115" s="594">
        <f t="shared" si="50"/>
        <v>0</v>
      </c>
      <c r="AF115" s="594"/>
      <c r="AG115" s="588">
        <f t="shared" si="30"/>
        <v>0</v>
      </c>
    </row>
    <row r="116" spans="1:33" ht="37.5" x14ac:dyDescent="0.3">
      <c r="A116" s="607" t="s">
        <v>219</v>
      </c>
      <c r="B116" s="608">
        <f>B117+B118+B119+B121</f>
        <v>190281.36599999998</v>
      </c>
      <c r="C116" s="608">
        <f>C117+C118+C119+C121</f>
        <v>190281.36599999998</v>
      </c>
      <c r="D116" s="608">
        <f>D117+D118+D119+D121</f>
        <v>107429.353</v>
      </c>
      <c r="E116" s="608">
        <f>E117+E118+E119+E121</f>
        <v>107429.353</v>
      </c>
      <c r="F116" s="608">
        <f t="shared" si="37"/>
        <v>56.458157337382161</v>
      </c>
      <c r="G116" s="608">
        <f t="shared" si="38"/>
        <v>56.458157337382161</v>
      </c>
      <c r="H116" s="608">
        <f>H117+H118+H119+H121</f>
        <v>15033.491000000002</v>
      </c>
      <c r="I116" s="608">
        <f t="shared" ref="I116:AE116" si="51">I117+I118+I119+I121</f>
        <v>7953.1170000000002</v>
      </c>
      <c r="J116" s="608">
        <f t="shared" si="51"/>
        <v>17271.194</v>
      </c>
      <c r="K116" s="608">
        <f t="shared" si="51"/>
        <v>20090.375</v>
      </c>
      <c r="L116" s="608">
        <f t="shared" si="51"/>
        <v>17009.131000000001</v>
      </c>
      <c r="M116" s="608">
        <f t="shared" si="51"/>
        <v>12552.26</v>
      </c>
      <c r="N116" s="608">
        <f t="shared" si="51"/>
        <v>12751.113000000001</v>
      </c>
      <c r="O116" s="608">
        <f t="shared" si="51"/>
        <v>14941.430999999999</v>
      </c>
      <c r="P116" s="608">
        <f t="shared" si="51"/>
        <v>11795.304</v>
      </c>
      <c r="Q116" s="608">
        <f t="shared" si="51"/>
        <v>11571.73</v>
      </c>
      <c r="R116" s="608">
        <f t="shared" si="51"/>
        <v>13575.767999999998</v>
      </c>
      <c r="S116" s="608">
        <f t="shared" si="51"/>
        <v>11160.23</v>
      </c>
      <c r="T116" s="608">
        <f t="shared" si="51"/>
        <v>12255.89</v>
      </c>
      <c r="U116" s="608">
        <f t="shared" si="51"/>
        <v>10630.989999999998</v>
      </c>
      <c r="V116" s="608">
        <f t="shared" si="51"/>
        <v>9377.9040000000005</v>
      </c>
      <c r="W116" s="608">
        <f t="shared" si="51"/>
        <v>11021.58</v>
      </c>
      <c r="X116" s="608">
        <f t="shared" si="51"/>
        <v>9140.268</v>
      </c>
      <c r="Y116" s="608">
        <f t="shared" si="51"/>
        <v>5911.7300000000005</v>
      </c>
      <c r="Z116" s="608">
        <f t="shared" si="51"/>
        <v>17588.03</v>
      </c>
      <c r="AA116" s="608">
        <f t="shared" si="51"/>
        <v>1595.9099999999999</v>
      </c>
      <c r="AB116" s="608">
        <f t="shared" si="51"/>
        <v>10937.603999999999</v>
      </c>
      <c r="AC116" s="608">
        <f t="shared" si="51"/>
        <v>0</v>
      </c>
      <c r="AD116" s="608">
        <f t="shared" si="51"/>
        <v>43545.669000000002</v>
      </c>
      <c r="AE116" s="608">
        <f t="shared" si="51"/>
        <v>0</v>
      </c>
      <c r="AF116" s="608"/>
      <c r="AG116" s="99">
        <f t="shared" si="30"/>
        <v>0</v>
      </c>
    </row>
    <row r="117" spans="1:33" s="589" customFormat="1" x14ac:dyDescent="0.3">
      <c r="A117" s="593" t="s">
        <v>169</v>
      </c>
      <c r="B117" s="594">
        <f>H117+J117+L117+N117+P117+R117+T117+V117+X117+Z117+AB117+AD117</f>
        <v>4375.9799999999996</v>
      </c>
      <c r="C117" s="594">
        <f t="shared" ref="C117:E119" si="52">C26+C33+C40+C47+C62+C69+C75+C81+C89+C95+C101+C53</f>
        <v>4375.9799999999996</v>
      </c>
      <c r="D117" s="594">
        <f t="shared" si="52"/>
        <v>348.38</v>
      </c>
      <c r="E117" s="594">
        <f t="shared" si="52"/>
        <v>348.38</v>
      </c>
      <c r="F117" s="594">
        <f t="shared" si="37"/>
        <v>7.961188122432004</v>
      </c>
      <c r="G117" s="594">
        <f t="shared" si="38"/>
        <v>7.961188122432004</v>
      </c>
      <c r="H117" s="594">
        <f>H26+H33+H40+H47+H62+H69+H75+H81+H89+H95+H101+H53</f>
        <v>0</v>
      </c>
      <c r="I117" s="594">
        <f t="shared" ref="I117:AE117" si="53">I26+I33+I40+I47+I62+I69+I75+I81+I89+I95+I101+I53</f>
        <v>0</v>
      </c>
      <c r="J117" s="594">
        <f t="shared" si="53"/>
        <v>0</v>
      </c>
      <c r="K117" s="594">
        <f t="shared" si="53"/>
        <v>0</v>
      </c>
      <c r="L117" s="594">
        <f t="shared" si="53"/>
        <v>158.38</v>
      </c>
      <c r="M117" s="594">
        <f t="shared" si="53"/>
        <v>158.38</v>
      </c>
      <c r="N117" s="594">
        <f t="shared" si="53"/>
        <v>190</v>
      </c>
      <c r="O117" s="594">
        <f t="shared" si="53"/>
        <v>190</v>
      </c>
      <c r="P117" s="594">
        <f t="shared" si="53"/>
        <v>0</v>
      </c>
      <c r="Q117" s="594">
        <f t="shared" si="53"/>
        <v>0</v>
      </c>
      <c r="R117" s="594">
        <f t="shared" si="53"/>
        <v>0</v>
      </c>
      <c r="S117" s="594">
        <f t="shared" si="53"/>
        <v>0</v>
      </c>
      <c r="T117" s="594">
        <f t="shared" si="53"/>
        <v>0</v>
      </c>
      <c r="U117" s="594">
        <f t="shared" si="53"/>
        <v>0</v>
      </c>
      <c r="V117" s="594">
        <f t="shared" si="53"/>
        <v>0</v>
      </c>
      <c r="W117" s="594">
        <f t="shared" si="53"/>
        <v>0</v>
      </c>
      <c r="X117" s="594">
        <f t="shared" si="53"/>
        <v>0</v>
      </c>
      <c r="Y117" s="594">
        <f t="shared" si="53"/>
        <v>0</v>
      </c>
      <c r="Z117" s="594">
        <f t="shared" si="53"/>
        <v>0</v>
      </c>
      <c r="AA117" s="594">
        <f t="shared" si="53"/>
        <v>0</v>
      </c>
      <c r="AB117" s="594">
        <f t="shared" si="53"/>
        <v>0</v>
      </c>
      <c r="AC117" s="594">
        <f t="shared" si="53"/>
        <v>0</v>
      </c>
      <c r="AD117" s="594">
        <f t="shared" si="53"/>
        <v>4027.6</v>
      </c>
      <c r="AE117" s="594">
        <f t="shared" si="53"/>
        <v>0</v>
      </c>
      <c r="AF117" s="594"/>
      <c r="AG117" s="588">
        <f t="shared" si="30"/>
        <v>0</v>
      </c>
    </row>
    <row r="118" spans="1:33" s="589" customFormat="1" x14ac:dyDescent="0.3">
      <c r="A118" s="593" t="s">
        <v>32</v>
      </c>
      <c r="B118" s="594">
        <f>H118+J118+L118+N118+P118+R118+T118+V118+X118+Z118+AB118+AD118</f>
        <v>61704.295000000006</v>
      </c>
      <c r="C118" s="594">
        <f t="shared" si="52"/>
        <v>61704.294999999991</v>
      </c>
      <c r="D118" s="594">
        <f t="shared" si="52"/>
        <v>32823.69</v>
      </c>
      <c r="E118" s="594">
        <f t="shared" si="52"/>
        <v>32823.69</v>
      </c>
      <c r="F118" s="594">
        <f t="shared" si="37"/>
        <v>53.195146302214461</v>
      </c>
      <c r="G118" s="594">
        <f t="shared" si="38"/>
        <v>53.195146302214468</v>
      </c>
      <c r="H118" s="594">
        <f>H27+H34+H41+H48+H63+H70+H76+H82+H90+H96+H102+H54</f>
        <v>4255.5</v>
      </c>
      <c r="I118" s="594">
        <f t="shared" ref="I118:AE118" si="54">I27+I34+I41+I48+I63+I70+I76+I82+I90+I96+I102+I54</f>
        <v>0</v>
      </c>
      <c r="J118" s="594">
        <f t="shared" si="54"/>
        <v>6738.55</v>
      </c>
      <c r="K118" s="594">
        <f t="shared" si="54"/>
        <v>10447.709999999999</v>
      </c>
      <c r="L118" s="594">
        <f t="shared" si="54"/>
        <v>8133.1149999999998</v>
      </c>
      <c r="M118" s="594">
        <f t="shared" si="54"/>
        <v>4469.4549999999999</v>
      </c>
      <c r="N118" s="594">
        <f t="shared" si="54"/>
        <v>2762.54</v>
      </c>
      <c r="O118" s="594">
        <f t="shared" si="54"/>
        <v>6444.2950000000001</v>
      </c>
      <c r="P118" s="594">
        <f t="shared" si="54"/>
        <v>3679.48</v>
      </c>
      <c r="Q118" s="594">
        <f t="shared" si="54"/>
        <v>3001.34</v>
      </c>
      <c r="R118" s="594">
        <f t="shared" si="54"/>
        <v>4853.6399999999994</v>
      </c>
      <c r="S118" s="594">
        <f t="shared" si="54"/>
        <v>2981.1600000000003</v>
      </c>
      <c r="T118" s="594">
        <f t="shared" si="54"/>
        <v>921.64</v>
      </c>
      <c r="U118" s="594">
        <f t="shared" si="54"/>
        <v>1116.48</v>
      </c>
      <c r="V118" s="594">
        <f t="shared" si="54"/>
        <v>546</v>
      </c>
      <c r="W118" s="594">
        <f t="shared" si="54"/>
        <v>2910.97</v>
      </c>
      <c r="X118" s="594">
        <f t="shared" si="54"/>
        <v>1452.3</v>
      </c>
      <c r="Y118" s="594">
        <f t="shared" si="54"/>
        <v>0</v>
      </c>
      <c r="Z118" s="594">
        <f t="shared" si="54"/>
        <v>1335.08</v>
      </c>
      <c r="AA118" s="594">
        <f t="shared" si="54"/>
        <v>1452.28</v>
      </c>
      <c r="AB118" s="594">
        <f t="shared" si="54"/>
        <v>2954.15</v>
      </c>
      <c r="AC118" s="594">
        <f t="shared" si="54"/>
        <v>0</v>
      </c>
      <c r="AD118" s="594">
        <f t="shared" si="54"/>
        <v>24072.300000000003</v>
      </c>
      <c r="AE118" s="594">
        <f t="shared" si="54"/>
        <v>0</v>
      </c>
      <c r="AF118" s="594"/>
      <c r="AG118" s="588">
        <f t="shared" si="30"/>
        <v>0</v>
      </c>
    </row>
    <row r="119" spans="1:33" s="589" customFormat="1" x14ac:dyDescent="0.3">
      <c r="A119" s="593" t="s">
        <v>33</v>
      </c>
      <c r="B119" s="594">
        <f>H119+J119+L119+N119+P119+R119+T119+V119+X119+Z119+AB119+AD119</f>
        <v>122486.09099999999</v>
      </c>
      <c r="C119" s="594">
        <f t="shared" si="52"/>
        <v>122486.091</v>
      </c>
      <c r="D119" s="594">
        <f t="shared" si="52"/>
        <v>74257.282999999996</v>
      </c>
      <c r="E119" s="594">
        <f t="shared" si="52"/>
        <v>74257.282999999996</v>
      </c>
      <c r="F119" s="594">
        <f t="shared" si="37"/>
        <v>60.625073748169498</v>
      </c>
      <c r="G119" s="594">
        <f t="shared" si="38"/>
        <v>60.625073748169491</v>
      </c>
      <c r="H119" s="594">
        <f>H28+H35+H42+H49+H64+H71+H77+H83+H91+H97+H103+H55</f>
        <v>10777.991000000002</v>
      </c>
      <c r="I119" s="594">
        <f t="shared" ref="I119:AE119" si="55">I28+I35+I42+I49+I64+I71+I77+I83+I91+I97+I103+I55</f>
        <v>7953.1170000000002</v>
      </c>
      <c r="J119" s="594">
        <f t="shared" si="55"/>
        <v>10532.644</v>
      </c>
      <c r="K119" s="594">
        <f t="shared" si="55"/>
        <v>9642.6650000000009</v>
      </c>
      <c r="L119" s="594">
        <f t="shared" si="55"/>
        <v>7952.6360000000004</v>
      </c>
      <c r="M119" s="594">
        <f t="shared" si="55"/>
        <v>7924.4250000000002</v>
      </c>
      <c r="N119" s="594">
        <f t="shared" si="55"/>
        <v>9798.5730000000003</v>
      </c>
      <c r="O119" s="594">
        <f t="shared" si="55"/>
        <v>8307.1359999999986</v>
      </c>
      <c r="P119" s="594">
        <f t="shared" si="55"/>
        <v>8115.8240000000005</v>
      </c>
      <c r="Q119" s="594">
        <f t="shared" si="55"/>
        <v>8570.39</v>
      </c>
      <c r="R119" s="594">
        <f t="shared" si="55"/>
        <v>8722.1279999999988</v>
      </c>
      <c r="S119" s="594">
        <f t="shared" si="55"/>
        <v>8179.07</v>
      </c>
      <c r="T119" s="594">
        <f t="shared" si="55"/>
        <v>11334.25</v>
      </c>
      <c r="U119" s="594">
        <f t="shared" si="55"/>
        <v>9514.5099999999984</v>
      </c>
      <c r="V119" s="594">
        <f t="shared" si="55"/>
        <v>8831.9040000000005</v>
      </c>
      <c r="W119" s="594">
        <f t="shared" si="55"/>
        <v>8110.61</v>
      </c>
      <c r="X119" s="594">
        <f t="shared" si="55"/>
        <v>7687.9679999999998</v>
      </c>
      <c r="Y119" s="594">
        <f t="shared" si="55"/>
        <v>5911.7300000000005</v>
      </c>
      <c r="Z119" s="594">
        <f t="shared" si="55"/>
        <v>16252.95</v>
      </c>
      <c r="AA119" s="594">
        <f t="shared" si="55"/>
        <v>143.63</v>
      </c>
      <c r="AB119" s="594">
        <f t="shared" si="55"/>
        <v>7983.4539999999997</v>
      </c>
      <c r="AC119" s="594">
        <f t="shared" si="55"/>
        <v>0</v>
      </c>
      <c r="AD119" s="594">
        <f t="shared" si="55"/>
        <v>14495.769</v>
      </c>
      <c r="AE119" s="594">
        <f t="shared" si="55"/>
        <v>0</v>
      </c>
      <c r="AF119" s="594"/>
      <c r="AG119" s="588">
        <f t="shared" si="30"/>
        <v>-2.0008883439004421E-11</v>
      </c>
    </row>
    <row r="120" spans="1:33" s="589" customFormat="1" ht="37.5" x14ac:dyDescent="0.3">
      <c r="A120" s="600" t="s">
        <v>174</v>
      </c>
      <c r="B120" s="594">
        <f>H120+J120+L120+N120+P120+R120+T120+V120+X120+Z120+AB120+AD120</f>
        <v>5130.8999999999996</v>
      </c>
      <c r="C120" s="594">
        <f>C29+C36+C43+C56+C65</f>
        <v>5130.9000000000005</v>
      </c>
      <c r="D120" s="594">
        <f>D29+D36+D43+D56+D65</f>
        <v>2741.1600000000003</v>
      </c>
      <c r="E120" s="594">
        <f>E29+E36+E43+E56+E65</f>
        <v>2741.1600000000003</v>
      </c>
      <c r="F120" s="594">
        <f t="shared" si="37"/>
        <v>53.424545401391576</v>
      </c>
      <c r="G120" s="594">
        <f t="shared" si="38"/>
        <v>53.424545401391569</v>
      </c>
      <c r="H120" s="594">
        <f>H29+H36+H43+H56+H65</f>
        <v>421</v>
      </c>
      <c r="I120" s="594">
        <f t="shared" ref="I120:AE120" si="56">I29+I36+I43+I56+I65</f>
        <v>420.84</v>
      </c>
      <c r="J120" s="594">
        <f t="shared" si="56"/>
        <v>666.45</v>
      </c>
      <c r="K120" s="594">
        <f t="shared" si="56"/>
        <v>612.45000000000005</v>
      </c>
      <c r="L120" s="594">
        <f t="shared" si="56"/>
        <v>620.14</v>
      </c>
      <c r="M120" s="594">
        <f t="shared" si="56"/>
        <v>674.14</v>
      </c>
      <c r="N120" s="594">
        <f t="shared" si="56"/>
        <v>51.3</v>
      </c>
      <c r="O120" s="594">
        <f t="shared" si="56"/>
        <v>51.3</v>
      </c>
      <c r="P120" s="594">
        <f t="shared" si="56"/>
        <v>357.24</v>
      </c>
      <c r="Q120" s="594">
        <f t="shared" si="56"/>
        <v>357.24</v>
      </c>
      <c r="R120" s="594">
        <f t="shared" si="56"/>
        <v>480.05999999999995</v>
      </c>
      <c r="S120" s="594">
        <f t="shared" si="56"/>
        <v>226.86</v>
      </c>
      <c r="T120" s="594">
        <f t="shared" si="56"/>
        <v>145.12</v>
      </c>
      <c r="U120" s="594">
        <f t="shared" si="56"/>
        <v>164.43</v>
      </c>
      <c r="V120" s="594">
        <f t="shared" si="56"/>
        <v>0</v>
      </c>
      <c r="W120" s="594">
        <f t="shared" si="56"/>
        <v>233.9</v>
      </c>
      <c r="X120" s="594">
        <f t="shared" si="56"/>
        <v>0</v>
      </c>
      <c r="Y120" s="594">
        <f t="shared" si="56"/>
        <v>0</v>
      </c>
      <c r="Z120" s="594">
        <f t="shared" si="56"/>
        <v>8.84</v>
      </c>
      <c r="AA120" s="594">
        <f t="shared" si="56"/>
        <v>0</v>
      </c>
      <c r="AB120" s="594">
        <f t="shared" si="56"/>
        <v>0</v>
      </c>
      <c r="AC120" s="594">
        <f t="shared" si="56"/>
        <v>0</v>
      </c>
      <c r="AD120" s="594">
        <f t="shared" si="56"/>
        <v>2380.75</v>
      </c>
      <c r="AE120" s="594">
        <f t="shared" si="56"/>
        <v>0</v>
      </c>
      <c r="AF120" s="594"/>
      <c r="AG120" s="588"/>
    </row>
    <row r="121" spans="1:33" s="589" customFormat="1" x14ac:dyDescent="0.3">
      <c r="A121" s="606" t="s">
        <v>170</v>
      </c>
      <c r="B121" s="594">
        <f>H121+J121+L121+N121+P121+R121+T121+V121+X121+Z121+AB121+AD121</f>
        <v>1715</v>
      </c>
      <c r="C121" s="594">
        <f>C30+C37+C44+C50+C66+C72+C78+C84+C92+C98+C104+C57</f>
        <v>1715</v>
      </c>
      <c r="D121" s="594">
        <f>D30+D37+D44+D50+D66+D72+D78+D84+D92+D98+D104+D57</f>
        <v>0</v>
      </c>
      <c r="E121" s="594">
        <f>E30+E37+E44+E50+E66+E72+E78+E84+E92+E98+E104+E57</f>
        <v>0</v>
      </c>
      <c r="F121" s="594">
        <f t="shared" si="37"/>
        <v>0</v>
      </c>
      <c r="G121" s="594">
        <f t="shared" si="38"/>
        <v>0</v>
      </c>
      <c r="H121" s="594">
        <f>H30+H37+H44+H50+H66+H72+H78+H84+H92+H98+H104+H57</f>
        <v>0</v>
      </c>
      <c r="I121" s="594">
        <f t="shared" ref="I121:AE121" si="57">I30+I37+I44+I50+I66+I72+I78+I84+I92+I98+I104+I57</f>
        <v>0</v>
      </c>
      <c r="J121" s="594">
        <f t="shared" si="57"/>
        <v>0</v>
      </c>
      <c r="K121" s="594">
        <f t="shared" si="57"/>
        <v>0</v>
      </c>
      <c r="L121" s="594">
        <f t="shared" si="57"/>
        <v>765</v>
      </c>
      <c r="M121" s="594">
        <f t="shared" si="57"/>
        <v>0</v>
      </c>
      <c r="N121" s="594">
        <f t="shared" si="57"/>
        <v>0</v>
      </c>
      <c r="O121" s="594">
        <f t="shared" si="57"/>
        <v>0</v>
      </c>
      <c r="P121" s="594">
        <f t="shared" si="57"/>
        <v>0</v>
      </c>
      <c r="Q121" s="594">
        <f t="shared" si="57"/>
        <v>0</v>
      </c>
      <c r="R121" s="594">
        <f t="shared" si="57"/>
        <v>0</v>
      </c>
      <c r="S121" s="594">
        <f t="shared" si="57"/>
        <v>0</v>
      </c>
      <c r="T121" s="594">
        <f t="shared" si="57"/>
        <v>0</v>
      </c>
      <c r="U121" s="594">
        <f t="shared" si="57"/>
        <v>0</v>
      </c>
      <c r="V121" s="594">
        <f t="shared" si="57"/>
        <v>0</v>
      </c>
      <c r="W121" s="594">
        <f t="shared" si="57"/>
        <v>0</v>
      </c>
      <c r="X121" s="594">
        <f t="shared" si="57"/>
        <v>0</v>
      </c>
      <c r="Y121" s="594">
        <f t="shared" si="57"/>
        <v>0</v>
      </c>
      <c r="Z121" s="594">
        <f t="shared" si="57"/>
        <v>0</v>
      </c>
      <c r="AA121" s="594">
        <f t="shared" si="57"/>
        <v>0</v>
      </c>
      <c r="AB121" s="594">
        <f t="shared" si="57"/>
        <v>0</v>
      </c>
      <c r="AC121" s="594">
        <f t="shared" si="57"/>
        <v>0</v>
      </c>
      <c r="AD121" s="594">
        <f t="shared" si="57"/>
        <v>950</v>
      </c>
      <c r="AE121" s="594">
        <f t="shared" si="57"/>
        <v>0</v>
      </c>
      <c r="AF121" s="594"/>
      <c r="AG121" s="588">
        <f t="shared" si="30"/>
        <v>0</v>
      </c>
    </row>
    <row r="122" spans="1:33" hidden="1" x14ac:dyDescent="0.3">
      <c r="B122" s="151">
        <f t="shared" ref="B122:E125" si="58">B105-B111-B116</f>
        <v>0</v>
      </c>
      <c r="C122" s="151">
        <f t="shared" si="58"/>
        <v>0</v>
      </c>
      <c r="D122" s="151">
        <f t="shared" si="58"/>
        <v>0</v>
      </c>
      <c r="E122" s="151">
        <f t="shared" si="58"/>
        <v>0</v>
      </c>
      <c r="F122" s="151"/>
      <c r="G122" s="151"/>
      <c r="H122" s="151">
        <f t="shared" ref="H122:AE122" si="59">H105-H111-H116</f>
        <v>0</v>
      </c>
      <c r="I122" s="151">
        <f t="shared" si="59"/>
        <v>0</v>
      </c>
      <c r="J122" s="151">
        <f t="shared" si="59"/>
        <v>0</v>
      </c>
      <c r="K122" s="151">
        <f t="shared" si="59"/>
        <v>0</v>
      </c>
      <c r="L122" s="151">
        <f t="shared" si="59"/>
        <v>0</v>
      </c>
      <c r="M122" s="151">
        <f t="shared" si="59"/>
        <v>0</v>
      </c>
      <c r="N122" s="151">
        <f t="shared" si="59"/>
        <v>0</v>
      </c>
      <c r="O122" s="151">
        <f t="shared" si="59"/>
        <v>0</v>
      </c>
      <c r="P122" s="151">
        <f t="shared" si="59"/>
        <v>0</v>
      </c>
      <c r="Q122" s="151">
        <f t="shared" si="59"/>
        <v>0</v>
      </c>
      <c r="R122" s="151">
        <f t="shared" si="59"/>
        <v>0</v>
      </c>
      <c r="S122" s="151">
        <f t="shared" si="59"/>
        <v>0</v>
      </c>
      <c r="T122" s="151">
        <f t="shared" si="59"/>
        <v>0</v>
      </c>
      <c r="U122" s="151">
        <f t="shared" si="59"/>
        <v>0</v>
      </c>
      <c r="V122" s="151">
        <f t="shared" si="59"/>
        <v>0</v>
      </c>
      <c r="W122" s="151">
        <f t="shared" si="59"/>
        <v>0</v>
      </c>
      <c r="X122" s="151">
        <f t="shared" si="59"/>
        <v>0</v>
      </c>
      <c r="Y122" s="151">
        <f t="shared" si="59"/>
        <v>0</v>
      </c>
      <c r="Z122" s="151">
        <f t="shared" si="59"/>
        <v>0</v>
      </c>
      <c r="AA122" s="151">
        <f t="shared" si="59"/>
        <v>0</v>
      </c>
      <c r="AB122" s="151">
        <f t="shared" si="59"/>
        <v>0</v>
      </c>
      <c r="AC122" s="151">
        <f t="shared" si="59"/>
        <v>0</v>
      </c>
      <c r="AD122" s="151">
        <f t="shared" si="59"/>
        <v>0</v>
      </c>
      <c r="AE122" s="151">
        <f t="shared" si="59"/>
        <v>0</v>
      </c>
      <c r="AG122" s="99">
        <f t="shared" si="30"/>
        <v>0</v>
      </c>
    </row>
    <row r="123" spans="1:33" hidden="1" x14ac:dyDescent="0.3">
      <c r="A123" s="152" t="s">
        <v>169</v>
      </c>
      <c r="B123" s="151">
        <f t="shared" si="58"/>
        <v>0</v>
      </c>
      <c r="C123" s="151">
        <f t="shared" si="58"/>
        <v>0</v>
      </c>
      <c r="D123" s="151">
        <f t="shared" si="58"/>
        <v>0</v>
      </c>
      <c r="E123" s="151">
        <f t="shared" si="58"/>
        <v>0</v>
      </c>
      <c r="F123" s="151"/>
      <c r="G123" s="151"/>
      <c r="H123" s="151">
        <f t="shared" ref="H123:AE123" si="60">H106-H112-H117</f>
        <v>0</v>
      </c>
      <c r="I123" s="151">
        <f t="shared" si="60"/>
        <v>0</v>
      </c>
      <c r="J123" s="151">
        <f t="shared" si="60"/>
        <v>0</v>
      </c>
      <c r="K123" s="151">
        <f t="shared" si="60"/>
        <v>0</v>
      </c>
      <c r="L123" s="151">
        <f t="shared" si="60"/>
        <v>0</v>
      </c>
      <c r="M123" s="151">
        <f t="shared" si="60"/>
        <v>0</v>
      </c>
      <c r="N123" s="151">
        <f t="shared" si="60"/>
        <v>0</v>
      </c>
      <c r="O123" s="151">
        <f t="shared" si="60"/>
        <v>0</v>
      </c>
      <c r="P123" s="151">
        <f t="shared" si="60"/>
        <v>0</v>
      </c>
      <c r="Q123" s="151">
        <f t="shared" si="60"/>
        <v>0</v>
      </c>
      <c r="R123" s="151">
        <f t="shared" si="60"/>
        <v>0</v>
      </c>
      <c r="S123" s="151">
        <f t="shared" si="60"/>
        <v>0</v>
      </c>
      <c r="T123" s="151">
        <f t="shared" si="60"/>
        <v>0</v>
      </c>
      <c r="U123" s="151">
        <f t="shared" si="60"/>
        <v>0</v>
      </c>
      <c r="V123" s="151">
        <f t="shared" si="60"/>
        <v>0</v>
      </c>
      <c r="W123" s="151">
        <f t="shared" si="60"/>
        <v>0</v>
      </c>
      <c r="X123" s="151">
        <f t="shared" si="60"/>
        <v>0</v>
      </c>
      <c r="Y123" s="151">
        <f t="shared" si="60"/>
        <v>0</v>
      </c>
      <c r="Z123" s="151">
        <f t="shared" si="60"/>
        <v>0</v>
      </c>
      <c r="AA123" s="151">
        <f t="shared" si="60"/>
        <v>0</v>
      </c>
      <c r="AB123" s="151">
        <f t="shared" si="60"/>
        <v>0</v>
      </c>
      <c r="AC123" s="151">
        <f t="shared" si="60"/>
        <v>0</v>
      </c>
      <c r="AD123" s="151">
        <f t="shared" si="60"/>
        <v>0</v>
      </c>
      <c r="AE123" s="151">
        <f t="shared" si="60"/>
        <v>0</v>
      </c>
      <c r="AG123" s="99">
        <f t="shared" si="30"/>
        <v>0</v>
      </c>
    </row>
    <row r="124" spans="1:33" hidden="1" x14ac:dyDescent="0.3">
      <c r="A124" s="152" t="s">
        <v>32</v>
      </c>
      <c r="B124" s="151">
        <f t="shared" si="58"/>
        <v>0</v>
      </c>
      <c r="C124" s="151">
        <f t="shared" si="58"/>
        <v>0</v>
      </c>
      <c r="D124" s="151">
        <f t="shared" si="58"/>
        <v>0</v>
      </c>
      <c r="E124" s="151">
        <f t="shared" si="58"/>
        <v>0</v>
      </c>
      <c r="F124" s="151"/>
      <c r="G124" s="151"/>
      <c r="H124" s="151">
        <f t="shared" ref="H124:AE124" si="61">H107-H113-H118</f>
        <v>0</v>
      </c>
      <c r="I124" s="151">
        <f t="shared" si="61"/>
        <v>0</v>
      </c>
      <c r="J124" s="151">
        <f t="shared" si="61"/>
        <v>0</v>
      </c>
      <c r="K124" s="151">
        <f t="shared" si="61"/>
        <v>0</v>
      </c>
      <c r="L124" s="151">
        <f t="shared" si="61"/>
        <v>0</v>
      </c>
      <c r="M124" s="151">
        <f t="shared" si="61"/>
        <v>0</v>
      </c>
      <c r="N124" s="151">
        <f t="shared" si="61"/>
        <v>0</v>
      </c>
      <c r="O124" s="151">
        <f t="shared" si="61"/>
        <v>0</v>
      </c>
      <c r="P124" s="151">
        <f t="shared" si="61"/>
        <v>0</v>
      </c>
      <c r="Q124" s="151">
        <f t="shared" si="61"/>
        <v>0</v>
      </c>
      <c r="R124" s="151">
        <f t="shared" si="61"/>
        <v>0</v>
      </c>
      <c r="S124" s="151">
        <f t="shared" si="61"/>
        <v>0</v>
      </c>
      <c r="T124" s="151">
        <f t="shared" si="61"/>
        <v>0</v>
      </c>
      <c r="U124" s="151">
        <f t="shared" si="61"/>
        <v>0</v>
      </c>
      <c r="V124" s="151">
        <f t="shared" si="61"/>
        <v>0</v>
      </c>
      <c r="W124" s="151">
        <f t="shared" si="61"/>
        <v>0</v>
      </c>
      <c r="X124" s="151">
        <f t="shared" si="61"/>
        <v>0</v>
      </c>
      <c r="Y124" s="151">
        <f t="shared" si="61"/>
        <v>0</v>
      </c>
      <c r="Z124" s="151">
        <f t="shared" si="61"/>
        <v>0</v>
      </c>
      <c r="AA124" s="151">
        <f t="shared" si="61"/>
        <v>0</v>
      </c>
      <c r="AB124" s="151">
        <f t="shared" si="61"/>
        <v>0</v>
      </c>
      <c r="AC124" s="151">
        <f t="shared" si="61"/>
        <v>0</v>
      </c>
      <c r="AD124" s="151">
        <f t="shared" si="61"/>
        <v>0</v>
      </c>
      <c r="AE124" s="151">
        <f t="shared" si="61"/>
        <v>0</v>
      </c>
      <c r="AG124" s="99">
        <f t="shared" si="30"/>
        <v>0</v>
      </c>
    </row>
    <row r="125" spans="1:33" hidden="1" x14ac:dyDescent="0.3">
      <c r="A125" s="152" t="s">
        <v>33</v>
      </c>
      <c r="B125" s="151">
        <f t="shared" si="58"/>
        <v>0</v>
      </c>
      <c r="C125" s="151">
        <f t="shared" si="58"/>
        <v>0</v>
      </c>
      <c r="D125" s="151">
        <f t="shared" si="58"/>
        <v>0</v>
      </c>
      <c r="E125" s="151">
        <f t="shared" si="58"/>
        <v>0</v>
      </c>
      <c r="F125" s="151"/>
      <c r="G125" s="151"/>
      <c r="H125" s="151">
        <f t="shared" ref="H125:AE125" si="62">H108-H114-H119</f>
        <v>0</v>
      </c>
      <c r="I125" s="151">
        <f t="shared" si="62"/>
        <v>0</v>
      </c>
      <c r="J125" s="151">
        <f t="shared" si="62"/>
        <v>0</v>
      </c>
      <c r="K125" s="151">
        <f t="shared" si="62"/>
        <v>0</v>
      </c>
      <c r="L125" s="151">
        <f t="shared" si="62"/>
        <v>0</v>
      </c>
      <c r="M125" s="151">
        <f t="shared" si="62"/>
        <v>0</v>
      </c>
      <c r="N125" s="151">
        <f t="shared" si="62"/>
        <v>0</v>
      </c>
      <c r="O125" s="151">
        <f t="shared" si="62"/>
        <v>0</v>
      </c>
      <c r="P125" s="151">
        <f t="shared" si="62"/>
        <v>0</v>
      </c>
      <c r="Q125" s="151">
        <f t="shared" si="62"/>
        <v>0</v>
      </c>
      <c r="R125" s="151">
        <f t="shared" si="62"/>
        <v>0</v>
      </c>
      <c r="S125" s="151">
        <f t="shared" si="62"/>
        <v>0</v>
      </c>
      <c r="T125" s="151">
        <f t="shared" si="62"/>
        <v>0</v>
      </c>
      <c r="U125" s="151">
        <f t="shared" si="62"/>
        <v>0</v>
      </c>
      <c r="V125" s="151">
        <f t="shared" si="62"/>
        <v>0</v>
      </c>
      <c r="W125" s="151">
        <f t="shared" si="62"/>
        <v>0</v>
      </c>
      <c r="X125" s="151">
        <f t="shared" si="62"/>
        <v>0</v>
      </c>
      <c r="Y125" s="151">
        <f t="shared" si="62"/>
        <v>0</v>
      </c>
      <c r="Z125" s="151">
        <f t="shared" si="62"/>
        <v>0</v>
      </c>
      <c r="AA125" s="151">
        <f t="shared" si="62"/>
        <v>0</v>
      </c>
      <c r="AB125" s="151">
        <f t="shared" si="62"/>
        <v>0</v>
      </c>
      <c r="AC125" s="151">
        <f t="shared" si="62"/>
        <v>0</v>
      </c>
      <c r="AD125" s="151">
        <f t="shared" si="62"/>
        <v>0</v>
      </c>
      <c r="AE125" s="151">
        <f t="shared" si="62"/>
        <v>0</v>
      </c>
      <c r="AG125" s="99">
        <f t="shared" si="30"/>
        <v>0</v>
      </c>
    </row>
    <row r="126" spans="1:33" hidden="1" x14ac:dyDescent="0.3">
      <c r="A126" s="152" t="s">
        <v>170</v>
      </c>
      <c r="B126" s="151">
        <f>B110-B115-B121</f>
        <v>0</v>
      </c>
      <c r="C126" s="151">
        <f>C110-C115-C121</f>
        <v>0</v>
      </c>
      <c r="D126" s="151">
        <f>D110-D115-D121</f>
        <v>0</v>
      </c>
      <c r="E126" s="151">
        <f>E110-E115-E121</f>
        <v>0</v>
      </c>
      <c r="F126" s="151"/>
      <c r="G126" s="151"/>
      <c r="H126" s="151">
        <f t="shared" ref="H126:AE126" si="63">H110-H115-H121</f>
        <v>0</v>
      </c>
      <c r="I126" s="151">
        <f t="shared" si="63"/>
        <v>0</v>
      </c>
      <c r="J126" s="151">
        <f t="shared" si="63"/>
        <v>0</v>
      </c>
      <c r="K126" s="151">
        <f t="shared" si="63"/>
        <v>0</v>
      </c>
      <c r="L126" s="151">
        <f t="shared" si="63"/>
        <v>0</v>
      </c>
      <c r="M126" s="151">
        <f t="shared" si="63"/>
        <v>0</v>
      </c>
      <c r="N126" s="151">
        <f t="shared" si="63"/>
        <v>0</v>
      </c>
      <c r="O126" s="151">
        <f t="shared" si="63"/>
        <v>0</v>
      </c>
      <c r="P126" s="151">
        <f t="shared" si="63"/>
        <v>0</v>
      </c>
      <c r="Q126" s="151">
        <f t="shared" si="63"/>
        <v>0</v>
      </c>
      <c r="R126" s="151">
        <f t="shared" si="63"/>
        <v>0</v>
      </c>
      <c r="S126" s="151">
        <f t="shared" si="63"/>
        <v>0</v>
      </c>
      <c r="T126" s="151">
        <f t="shared" si="63"/>
        <v>0</v>
      </c>
      <c r="U126" s="151">
        <f t="shared" si="63"/>
        <v>0</v>
      </c>
      <c r="V126" s="151">
        <f t="shared" si="63"/>
        <v>0</v>
      </c>
      <c r="W126" s="151">
        <f t="shared" si="63"/>
        <v>0</v>
      </c>
      <c r="X126" s="151">
        <f t="shared" si="63"/>
        <v>0</v>
      </c>
      <c r="Y126" s="151">
        <f t="shared" si="63"/>
        <v>0</v>
      </c>
      <c r="Z126" s="151">
        <f t="shared" si="63"/>
        <v>0</v>
      </c>
      <c r="AA126" s="151">
        <f t="shared" si="63"/>
        <v>0</v>
      </c>
      <c r="AB126" s="151">
        <f t="shared" si="63"/>
        <v>0</v>
      </c>
      <c r="AC126" s="151">
        <f t="shared" si="63"/>
        <v>0</v>
      </c>
      <c r="AD126" s="151">
        <f t="shared" si="63"/>
        <v>0</v>
      </c>
      <c r="AE126" s="151">
        <f t="shared" si="63"/>
        <v>0</v>
      </c>
      <c r="AG126" s="99">
        <f t="shared" si="30"/>
        <v>0</v>
      </c>
    </row>
    <row r="127" spans="1:33" hidden="1" x14ac:dyDescent="0.3"/>
    <row r="128" spans="1:33" x14ac:dyDescent="0.3">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1"/>
      <c r="AE128" s="151"/>
    </row>
    <row r="129" spans="1:31" x14ac:dyDescent="0.3">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c r="AE129" s="151"/>
    </row>
    <row r="130" spans="1:31" x14ac:dyDescent="0.3">
      <c r="B130" s="657"/>
      <c r="C130" s="657"/>
      <c r="D130" s="657"/>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c r="AE130" s="151"/>
    </row>
    <row r="131" spans="1:31" x14ac:dyDescent="0.3">
      <c r="A131" s="496"/>
      <c r="B131" s="746"/>
      <c r="C131" s="746"/>
      <c r="D131" s="747"/>
      <c r="E131" s="677"/>
      <c r="F131" s="677"/>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c r="AC131" s="151"/>
      <c r="AD131" s="151"/>
      <c r="AE131" s="151"/>
    </row>
    <row r="132" spans="1:31" x14ac:dyDescent="0.3">
      <c r="A132" s="495"/>
      <c r="B132" s="748"/>
      <c r="C132" s="748"/>
      <c r="D132" s="748"/>
      <c r="E132" s="677"/>
      <c r="F132" s="677"/>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1"/>
      <c r="AE132" s="151"/>
    </row>
    <row r="133" spans="1:31" x14ac:dyDescent="0.3">
      <c r="A133" s="496"/>
      <c r="B133" s="749"/>
      <c r="C133" s="749"/>
      <c r="D133" s="749"/>
      <c r="E133" s="677"/>
      <c r="F133" s="677"/>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c r="AE133" s="151"/>
    </row>
    <row r="134" spans="1:31" x14ac:dyDescent="0.3">
      <c r="A134" s="589"/>
      <c r="B134" s="677"/>
      <c r="C134" s="677"/>
      <c r="D134" s="677"/>
      <c r="E134" s="677"/>
      <c r="F134" s="677"/>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c r="AE134" s="151"/>
    </row>
    <row r="135" spans="1:31" x14ac:dyDescent="0.3">
      <c r="A135" s="589"/>
      <c r="B135" s="677"/>
      <c r="C135" s="677"/>
      <c r="D135" s="677"/>
      <c r="E135" s="677"/>
      <c r="F135" s="677"/>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c r="AC135" s="151"/>
      <c r="AD135" s="151"/>
      <c r="AE135" s="151"/>
    </row>
    <row r="136" spans="1:31" x14ac:dyDescent="0.3">
      <c r="A136" s="589"/>
      <c r="B136" s="589"/>
      <c r="C136" s="589"/>
      <c r="D136" s="589"/>
      <c r="E136" s="589"/>
      <c r="F136" s="589"/>
    </row>
  </sheetData>
  <customSheetViews>
    <customSheetView guid="{7C130984-112A-4861-AA43-E2940708E3DC}" scale="50" hiddenRows="1" hiddenColumns="1" state="hidden">
      <pane xSplit="2" ySplit="11" topLeftCell="T72" activePane="bottomRight" state="frozen"/>
      <selection pane="bottomRight" activeCell="AH26" sqref="AH26"/>
      <pageMargins left="0.7" right="0.7" top="0.75" bottom="0.75" header="0.3" footer="0.3"/>
      <pageSetup paperSize="9" orientation="portrait" r:id="rId1"/>
    </customSheetView>
    <customSheetView guid="{533DC55B-6AD4-4674-9488-685EF2039F3E}" scale="50" hiddenRows="1" hiddenColumns="1" state="hidden">
      <pane xSplit="2" ySplit="11" topLeftCell="T72" activePane="bottomRight" state="frozen"/>
      <selection pane="bottomRight" activeCell="AH26" sqref="AH26"/>
      <pageMargins left="0.7" right="0.7" top="0.75" bottom="0.75" header="0.3" footer="0.3"/>
      <pageSetup paperSize="9" orientation="portrait" r:id="rId2"/>
    </customSheetView>
    <customSheetView guid="{09C3E205-981E-4A4E-BE89-8B7044192060}" scale="50" hiddenRows="1" hiddenColumns="1">
      <pane xSplit="2" ySplit="11" topLeftCell="T72" activePane="bottomRight" state="frozen"/>
      <selection pane="bottomRight" activeCell="AH26" sqref="AH26"/>
      <pageMargins left="0.7" right="0.7" top="0.75" bottom="0.75" header="0.3" footer="0.3"/>
      <pageSetup paperSize="9" orientation="portrait" r:id="rId3"/>
    </customSheetView>
    <customSheetView guid="{B1BF08D1-D416-4B47-ADD0-4F59132DC9E8}" scale="50" hiddenRows="1" hiddenColumns="1">
      <pane xSplit="2" ySplit="11" topLeftCell="C63" activePane="bottomRight" state="frozen"/>
      <selection pane="bottomRight" activeCell="C101" sqref="C101:C104"/>
      <pageMargins left="0.7" right="0.7" top="0.75" bottom="0.75" header="0.3" footer="0.3"/>
      <pageSetup paperSize="9" orientation="portrait" r:id="rId4"/>
    </customSheetView>
    <customSheetView guid="{4F41B9CC-959D-442C-80B0-1F0DB2C76D27}" scale="50" hiddenRows="1" hiddenColumns="1">
      <pane xSplit="2" ySplit="11" topLeftCell="C63" activePane="bottomRight" state="frozen"/>
      <selection pane="bottomRight" activeCell="C101" sqref="C101:C104"/>
      <pageMargins left="0.7" right="0.7" top="0.75" bottom="0.75" header="0.3" footer="0.3"/>
      <pageSetup paperSize="9" orientation="portrait" r:id="rId5"/>
    </customSheetView>
    <customSheetView guid="{84867370-1F3E-4368-AF79-FBCE46FFFE92}" scale="50" hiddenRows="1" hiddenColumns="1">
      <pane xSplit="2" ySplit="11" topLeftCell="C63" activePane="bottomRight" state="frozen"/>
      <selection pane="bottomRight" activeCell="C101" sqref="C101:C104"/>
      <pageMargins left="0.7" right="0.7" top="0.75" bottom="0.75" header="0.3" footer="0.3"/>
      <pageSetup paperSize="9" orientation="portrait" r:id="rId6"/>
    </customSheetView>
    <customSheetView guid="{E508E171-4ED9-4B07-84DF-DA28C60E1969}" scale="50" hiddenRows="1" hiddenColumns="1">
      <pane xSplit="2" ySplit="11" topLeftCell="C63" activePane="bottomRight" state="frozen"/>
      <selection pane="bottomRight" activeCell="C101" sqref="C101:C104"/>
      <pageMargins left="0.7" right="0.7" top="0.75" bottom="0.75" header="0.3" footer="0.3"/>
      <pageSetup paperSize="9" orientation="portrait" r:id="rId7"/>
    </customSheetView>
    <customSheetView guid="{602C8EDB-B9EF-4C85-B0D5-0558C3A0ABAB}" scale="50" hiddenRows="1" hiddenColumns="1">
      <pane xSplit="2" ySplit="11" topLeftCell="C63" activePane="bottomRight" state="frozen"/>
      <selection pane="bottomRight" activeCell="C101" sqref="C101:C104"/>
      <pageMargins left="0.7" right="0.7" top="0.75" bottom="0.75" header="0.3" footer="0.3"/>
      <pageSetup paperSize="9" orientation="portrait" r:id="rId8"/>
    </customSheetView>
    <customSheetView guid="{84B3377A-1CDD-4881-99FA-112F8B470D6F}" scale="50" hiddenRows="1" hiddenColumns="1">
      <pane xSplit="2" ySplit="11" topLeftCell="C63" activePane="bottomRight" state="frozen"/>
      <selection pane="bottomRight" activeCell="C101" sqref="C101:C104"/>
      <pageMargins left="0.7" right="0.7" top="0.75" bottom="0.75" header="0.3" footer="0.3"/>
      <pageSetup paperSize="9" orientation="portrait" r:id="rId9"/>
    </customSheetView>
    <customSheetView guid="{87218168-6C8E-4D5B-A5E5-DCCC26803AA3}" scale="50" hiddenRows="1" hiddenColumns="1">
      <pane xSplit="2" ySplit="11" topLeftCell="L18" activePane="bottomRight" state="frozen"/>
      <selection pane="bottomRight" activeCell="AD36" sqref="AD36"/>
      <pageMargins left="0.7" right="0.7" top="0.75" bottom="0.75" header="0.3" footer="0.3"/>
      <pageSetup paperSize="9" orientation="portrait" r:id="rId10"/>
    </customSheetView>
    <customSheetView guid="{6A602CB8-B24C-4ED4-B378-B27354BE0A1A}" scale="50" hiddenRows="1" hiddenColumns="1">
      <pane xSplit="2" ySplit="11" topLeftCell="L18" activePane="bottomRight" state="frozen"/>
      <selection pane="bottomRight" activeCell="AD36" sqref="AD36"/>
      <pageMargins left="0.7" right="0.7" top="0.75" bottom="0.75" header="0.3" footer="0.3"/>
      <pageSetup paperSize="9" orientation="portrait" r:id="rId11"/>
    </customSheetView>
    <customSheetView guid="{D01FA037-9AEC-4167-ADB8-2F327C01ECE6}" scale="50" hiddenRows="1" hiddenColumns="1">
      <pane xSplit="2" ySplit="11" topLeftCell="C45" activePane="bottomRight" state="frozen"/>
      <selection pane="bottomRight" activeCell="Y27" sqref="Y27:Y29"/>
      <pageMargins left="0.7" right="0.7" top="0.75" bottom="0.75" header="0.3" footer="0.3"/>
      <pageSetup paperSize="9" orientation="portrait" r:id="rId12"/>
    </customSheetView>
    <customSheetView guid="{74870EE6-26B9-40F7-9DC9-260EF16D8959}" scale="50" hiddenRows="1" hiddenColumns="1">
      <pane xSplit="2" ySplit="11" topLeftCell="C45" activePane="bottomRight" state="frozen"/>
      <selection pane="bottomRight" activeCell="Y27" sqref="Y27:Y29"/>
      <pageMargins left="0.7" right="0.7" top="0.75" bottom="0.75" header="0.3" footer="0.3"/>
      <pageSetup paperSize="9" orientation="portrait" r:id="rId13"/>
    </customSheetView>
    <customSheetView guid="{7226EA2B-7866-416F-9240-410CC1BF0336}" scale="50" hiddenRows="1" hiddenColumns="1">
      <pane xSplit="2" ySplit="11" topLeftCell="C45" activePane="bottomRight" state="frozen"/>
      <selection pane="bottomRight" activeCell="Y27" sqref="Y27:Y29"/>
      <pageMargins left="0.7" right="0.7" top="0.75" bottom="0.75" header="0.3" footer="0.3"/>
      <pageSetup paperSize="9" orientation="portrait" r:id="rId14"/>
    </customSheetView>
    <customSheetView guid="{F8CAB90F-9980-4EC7-B30B-1637EB515304}" scale="50" hiddenRows="1" hiddenColumns="1">
      <pane xSplit="2" ySplit="11" topLeftCell="C45" activePane="bottomRight" state="frozen"/>
      <selection pane="bottomRight" activeCell="Y27" sqref="Y27:Y29"/>
      <pageMargins left="0.7" right="0.7" top="0.75" bottom="0.75" header="0.3" footer="0.3"/>
      <pageSetup paperSize="9" orientation="portrait" r:id="rId15"/>
    </customSheetView>
    <customSheetView guid="{415078CD-EB99-432D-90BA-2F3D5A746E20}" scale="60" hiddenRows="1" hiddenColumns="1">
      <pane xSplit="2" ySplit="11" topLeftCell="F27" activePane="bottomRight" state="frozen"/>
      <selection pane="bottomRight" activeCell="P38" sqref="P38"/>
      <pageMargins left="0.7" right="0.7" top="0.75" bottom="0.75" header="0.3" footer="0.3"/>
      <pageSetup paperSize="9" orientation="portrait" r:id="rId16"/>
    </customSheetView>
    <customSheetView guid="{CB4792DB-A624-4844-AEB6-A6ADA80946BB}" scale="60" hiddenRows="1" hiddenColumns="1">
      <pane xSplit="2" ySplit="11" topLeftCell="Z27" activePane="bottomRight" state="frozen"/>
      <selection pane="bottomRight" activeCell="AA37" sqref="AA37"/>
      <pageMargins left="0.7" right="0.7" top="0.75" bottom="0.75" header="0.3" footer="0.3"/>
      <pageSetup paperSize="9" orientation="portrait" r:id="rId17"/>
    </customSheetView>
    <customSheetView guid="{0C2B9C2A-7B94-41EF-A2E6-F8AC9A67DE25}" scale="60" hiddenRows="1" hiddenColumns="1">
      <pane xSplit="2" ySplit="11" topLeftCell="Z27" activePane="bottomRight" state="frozen"/>
      <selection pane="bottomRight" activeCell="AA37" sqref="AA37"/>
      <pageMargins left="0.7" right="0.7" top="0.75" bottom="0.75" header="0.3" footer="0.3"/>
      <pageSetup paperSize="9" orientation="portrait" r:id="rId18"/>
    </customSheetView>
    <customSheetView guid="{391AB76E-B386-49C1-800F-016A48AA1A46}" scale="60" hiddenRows="1" hiddenColumns="1">
      <pane xSplit="2" ySplit="11" topLeftCell="C39" activePane="bottomRight" state="frozen"/>
      <selection pane="bottomRight" activeCell="N31" sqref="N31"/>
      <pageMargins left="0.7" right="0.7" top="0.75" bottom="0.75" header="0.3" footer="0.3"/>
      <pageSetup paperSize="9" orientation="portrait" r:id="rId19"/>
    </customSheetView>
    <customSheetView guid="{959E901C-5DDE-42EE-AE94-AB8976B5E00B}" scale="60" hiddenRows="1" hiddenColumns="1">
      <pane xSplit="2" ySplit="11" topLeftCell="C12" activePane="bottomRight" state="frozen"/>
      <selection pane="bottomRight" activeCell="A109" sqref="A109"/>
      <pageMargins left="0.7" right="0.7" top="0.75" bottom="0.75" header="0.3" footer="0.3"/>
    </customSheetView>
    <customSheetView guid="{F679EF4A-C5FD-4B86-B87B-D85968E0F2CA}" scale="60" hiddenRows="1" hiddenColumns="1">
      <pane xSplit="2" ySplit="11" topLeftCell="C12" activePane="bottomRight" state="frozen"/>
      <selection pane="bottomRight" activeCell="A109" sqref="A109"/>
      <pageMargins left="0.7" right="0.7" top="0.75" bottom="0.75" header="0.3" footer="0.3"/>
    </customSheetView>
    <customSheetView guid="{009B3074-D8EC-4952-BF50-43CD64449612}" scale="60" hiddenRows="1" hiddenColumns="1">
      <pane xSplit="2" ySplit="11" topLeftCell="C100" activePane="bottomRight" state="frozen"/>
      <selection pane="bottomRight" activeCell="N135" sqref="N135"/>
      <pageMargins left="0.7" right="0.7" top="0.75" bottom="0.75" header="0.3" footer="0.3"/>
    </customSheetView>
    <customSheetView guid="{770624BF-07F3-44B6-94C3-4CC447CDD45C}" scale="60" hiddenRows="1" hiddenColumns="1">
      <pane xSplit="2" ySplit="11" topLeftCell="C100" activePane="bottomRight" state="frozen"/>
      <selection pane="bottomRight" activeCell="N135" sqref="N135"/>
      <pageMargins left="0.7" right="0.7" top="0.75" bottom="0.75" header="0.3" footer="0.3"/>
    </customSheetView>
    <customSheetView guid="{B82BA08A-1A30-4F4D-A478-74A6BD09EA97}" scale="70">
      <pane xSplit="2" ySplit="11" topLeftCell="C12" activePane="bottomRight" state="frozen"/>
      <selection pane="bottomRight" activeCell="O30" sqref="O30"/>
      <pageMargins left="0.7" right="0.7" top="0.75" bottom="0.75" header="0.3" footer="0.3"/>
    </customSheetView>
    <customSheetView guid="{874882D1-E741-4CCA-BF0D-E72FA60B771D}" scale="70">
      <pane xSplit="2" ySplit="11" topLeftCell="C12" activePane="bottomRight" state="frozen"/>
      <selection pane="bottomRight" activeCell="O30" sqref="O30"/>
      <pageMargins left="0.7" right="0.7" top="0.75" bottom="0.75" header="0.3" footer="0.3"/>
    </customSheetView>
    <customSheetView guid="{C236B307-BD63-48C4-A75F-B3F3717BF55C}" scale="70">
      <pane xSplit="2" ySplit="11" topLeftCell="C12" activePane="bottomRight" state="frozen"/>
      <selection pane="bottomRight" activeCell="O30" sqref="O30"/>
      <pageMargins left="0.7" right="0.7" top="0.75" bottom="0.75" header="0.3" footer="0.3"/>
    </customSheetView>
    <customSheetView guid="{BCD82A82-B724-4763-8580-D765356E09BA}" scale="70">
      <pane xSplit="2" ySplit="11" topLeftCell="C12" activePane="bottomRight" state="frozen"/>
      <selection pane="bottomRight" activeCell="O30" sqref="O30"/>
      <pageMargins left="0.7" right="0.7" top="0.75" bottom="0.75" header="0.3" footer="0.3"/>
    </customSheetView>
    <customSheetView guid="{85F4575B-DBC5-482A-9916-255D8F0BC94E}" scale="60" hiddenRows="1" hiddenColumns="1">
      <pane xSplit="2" ySplit="11" topLeftCell="C12" activePane="bottomRight" state="frozen"/>
      <selection pane="bottomRight" activeCell="A109" sqref="A109"/>
      <pageMargins left="0.7" right="0.7" top="0.75" bottom="0.75" header="0.3" footer="0.3"/>
    </customSheetView>
    <customSheetView guid="{4D0DFB57-2CBA-42F2-9A97-C453A6851FBA}" scale="60" hiddenRows="1" hiddenColumns="1">
      <pane xSplit="2" ySplit="11" topLeftCell="D102" activePane="bottomRight" state="frozen"/>
      <selection pane="bottomRight" activeCell="E104" sqref="E103:E104"/>
      <pageMargins left="0.7" right="0.7" top="0.75" bottom="0.75" header="0.3" footer="0.3"/>
      <pageSetup paperSize="9" orientation="portrait" r:id="rId20"/>
    </customSheetView>
    <customSheetView guid="{CE1CCA00-200D-4EAA-9FBE-F8EE7C5F82FE}" scale="60" hiddenRows="1" hiddenColumns="1">
      <pane xSplit="2" ySplit="11" topLeftCell="C60" activePane="bottomRight" state="frozen"/>
      <selection pane="bottomRight" activeCell="F98" sqref="F98"/>
      <pageMargins left="0.7" right="0.7" top="0.75" bottom="0.75" header="0.3" footer="0.3"/>
      <pageSetup paperSize="9" orientation="portrait" r:id="rId21"/>
    </customSheetView>
    <customSheetView guid="{AC2D5927-4079-4C74-AF69-1BFAC505648F}" scale="60" hiddenRows="1" hiddenColumns="1">
      <pane xSplit="2" ySplit="11" topLeftCell="C39" activePane="bottomRight" state="frozen"/>
      <selection pane="bottomRight" activeCell="N31" sqref="N31"/>
      <pageMargins left="0.7" right="0.7" top="0.75" bottom="0.75" header="0.3" footer="0.3"/>
      <pageSetup paperSize="9" orientation="portrait" r:id="rId22"/>
    </customSheetView>
    <customSheetView guid="{3C3F523F-5F34-4CF7-831E-F1ABC4278CEB}" scale="60" hiddenRows="1" hiddenColumns="1">
      <pane xSplit="2" ySplit="11" topLeftCell="Z27" activePane="bottomRight" state="frozen"/>
      <selection pane="bottomRight" activeCell="AA37" sqref="AA37"/>
      <pageMargins left="0.7" right="0.7" top="0.75" bottom="0.75" header="0.3" footer="0.3"/>
      <pageSetup paperSize="9" orientation="portrait" r:id="rId23"/>
    </customSheetView>
    <customSheetView guid="{69DABE6F-6182-4403-A4A2-969F10F1C13A}" scale="50" hiddenRows="1" hiddenColumns="1">
      <pane xSplit="2" ySplit="11" topLeftCell="L18" activePane="bottomRight" state="frozen"/>
      <selection pane="bottomRight" activeCell="AD36" sqref="AD36"/>
      <pageMargins left="0.7" right="0.7" top="0.75" bottom="0.75" header="0.3" footer="0.3"/>
      <pageSetup paperSize="9" orientation="portrait" r:id="rId24"/>
    </customSheetView>
    <customSheetView guid="{DAA8A688-7558-4B5B-8DBD-E2629BD9E9A8}" scale="50" hiddenRows="1" hiddenColumns="1">
      <pane xSplit="2" ySplit="11" topLeftCell="L18" activePane="bottomRight" state="frozen"/>
      <selection pane="bottomRight" activeCell="AD36" sqref="AD36"/>
      <pageMargins left="0.7" right="0.7" top="0.75" bottom="0.75" header="0.3" footer="0.3"/>
      <pageSetup paperSize="9" orientation="portrait" r:id="rId25"/>
    </customSheetView>
    <customSheetView guid="{47B983AB-FE5F-4725-860C-A2F29420596D}" scale="50" hiddenRows="1" hiddenColumns="1">
      <pane xSplit="2" ySplit="11" topLeftCell="C63" activePane="bottomRight" state="frozen"/>
      <selection pane="bottomRight" activeCell="C101" sqref="C101:C104"/>
      <pageMargins left="0.7" right="0.7" top="0.75" bottom="0.75" header="0.3" footer="0.3"/>
      <pageSetup paperSize="9" orientation="portrait" r:id="rId26"/>
    </customSheetView>
    <customSheetView guid="{442F2C94-DD1B-4A01-8694-513D4D6F3BD9}" scale="50" hiddenRows="1" hiddenColumns="1">
      <pane xSplit="2" ySplit="11" topLeftCell="C63" activePane="bottomRight" state="frozen"/>
      <selection pane="bottomRight" activeCell="C101" sqref="C101:C104"/>
      <pageMargins left="0.7" right="0.7" top="0.75" bottom="0.75" header="0.3" footer="0.3"/>
      <pageSetup paperSize="9" orientation="portrait" r:id="rId27"/>
    </customSheetView>
    <customSheetView guid="{472DFAFE-DC7C-463D-92A0-F6A14555FDD6}" scale="50" hiddenRows="1" hiddenColumns="1">
      <pane xSplit="2" ySplit="11" topLeftCell="C63" activePane="bottomRight" state="frozen"/>
      <selection pane="bottomRight" activeCell="C101" sqref="C101:C104"/>
      <pageMargins left="0.7" right="0.7" top="0.75" bottom="0.75" header="0.3" footer="0.3"/>
      <pageSetup paperSize="9" orientation="portrait" r:id="rId28"/>
    </customSheetView>
    <customSheetView guid="{B43381A8-767B-4F49-BD2E-0056691293F3}" scale="50" hiddenRows="1" hiddenColumns="1">
      <pane xSplit="2" ySplit="11" topLeftCell="C63" activePane="bottomRight" state="frozen"/>
      <selection pane="bottomRight" activeCell="C101" sqref="C101:C104"/>
      <pageMargins left="0.7" right="0.7" top="0.75" bottom="0.75" header="0.3" footer="0.3"/>
      <pageSetup paperSize="9" orientation="portrait" r:id="rId29"/>
    </customSheetView>
  </customSheetViews>
  <mergeCells count="20">
    <mergeCell ref="A86:AF86"/>
    <mergeCell ref="A10:AF10"/>
    <mergeCell ref="A23:AF23"/>
    <mergeCell ref="A59:AF59"/>
    <mergeCell ref="AF6:AF7"/>
    <mergeCell ref="A4:AF4"/>
    <mergeCell ref="A6:A7"/>
    <mergeCell ref="F6:G6"/>
    <mergeCell ref="H6:I6"/>
    <mergeCell ref="J6:K6"/>
    <mergeCell ref="L6:M6"/>
    <mergeCell ref="N6:O6"/>
    <mergeCell ref="P6:Q6"/>
    <mergeCell ref="R6:S6"/>
    <mergeCell ref="T6:U6"/>
    <mergeCell ref="V6:W6"/>
    <mergeCell ref="X6:Y6"/>
    <mergeCell ref="Z6:AA6"/>
    <mergeCell ref="AB6:AC6"/>
    <mergeCell ref="AD6:AE6"/>
  </mergeCells>
  <hyperlinks>
    <hyperlink ref="A4:AF4" location="Оглавление!A1" display="Комплексный план (сетевой график) по реализации муниципальной программы  &quot;Развитие жилищной сферы в городе Когалыме&quot;"/>
  </hyperlinks>
  <pageMargins left="0.7" right="0.7" top="0.75" bottom="0.75" header="0.3" footer="0.3"/>
  <pageSetup paperSize="9" orientation="portrait" r:id="rId3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80" zoomScaleNormal="80" workbookViewId="0">
      <pane xSplit="4" ySplit="10" topLeftCell="AD116" activePane="bottomRight" state="frozen"/>
      <selection pane="topRight" activeCell="E1" sqref="E1"/>
      <selection pane="bottomLeft" activeCell="A11" sqref="A11"/>
      <selection pane="bottomRight" activeCell="AF49" sqref="AF49"/>
    </sheetView>
  </sheetViews>
  <sheetFormatPr defaultColWidth="9.140625" defaultRowHeight="15" x14ac:dyDescent="0.25"/>
  <cols>
    <col min="1" max="1" width="47.28515625" style="475" customWidth="1"/>
    <col min="2" max="2" width="18" style="412" customWidth="1"/>
    <col min="3" max="3" width="14.7109375" style="412" customWidth="1"/>
    <col min="4" max="4" width="17.140625" style="412" customWidth="1"/>
    <col min="5" max="5" width="17.85546875" style="412" customWidth="1"/>
    <col min="6" max="6" width="12.140625" style="412" customWidth="1"/>
    <col min="7" max="7" width="10.85546875" style="412" customWidth="1"/>
    <col min="8" max="8" width="12.7109375" style="412" customWidth="1"/>
    <col min="9" max="9" width="14.7109375" style="412" customWidth="1"/>
    <col min="10" max="10" width="12.42578125" style="412" customWidth="1"/>
    <col min="11" max="11" width="13" style="412" customWidth="1"/>
    <col min="12" max="31" width="11.5703125" style="412" customWidth="1"/>
    <col min="32" max="32" width="82.7109375" style="412" customWidth="1"/>
    <col min="33" max="16384" width="9.140625" style="412"/>
  </cols>
  <sheetData>
    <row r="1" spans="1:33" ht="12.75" customHeight="1" x14ac:dyDescent="0.25">
      <c r="A1" s="405"/>
      <c r="B1" s="406"/>
      <c r="C1" s="406"/>
      <c r="D1" s="406"/>
      <c r="E1" s="406"/>
      <c r="F1" s="406"/>
      <c r="G1" s="406"/>
      <c r="H1" s="407"/>
      <c r="I1" s="407"/>
      <c r="J1" s="408"/>
      <c r="K1" s="407"/>
      <c r="L1" s="407"/>
      <c r="M1" s="408"/>
      <c r="N1" s="407"/>
      <c r="O1" s="407"/>
      <c r="P1" s="408"/>
      <c r="Q1" s="407"/>
      <c r="R1" s="407"/>
      <c r="S1" s="407"/>
      <c r="T1" s="409"/>
      <c r="U1" s="409"/>
      <c r="V1" s="409"/>
      <c r="W1" s="409"/>
      <c r="X1" s="409"/>
      <c r="Y1" s="409"/>
      <c r="Z1" s="409"/>
      <c r="AA1" s="409"/>
      <c r="AB1" s="410"/>
      <c r="AC1" s="410"/>
      <c r="AD1" s="410"/>
      <c r="AE1" s="407"/>
      <c r="AF1" s="411"/>
    </row>
    <row r="2" spans="1:33" ht="20.25" x14ac:dyDescent="0.25">
      <c r="A2" s="1182" t="s">
        <v>0</v>
      </c>
      <c r="B2" s="1182"/>
      <c r="C2" s="1182"/>
      <c r="D2" s="1182"/>
      <c r="E2" s="1182"/>
      <c r="F2" s="1182"/>
      <c r="G2" s="1182"/>
      <c r="H2" s="1182"/>
      <c r="I2" s="1182"/>
      <c r="J2" s="1182"/>
      <c r="K2" s="1182"/>
      <c r="L2" s="1182"/>
      <c r="M2" s="1182"/>
      <c r="N2" s="1182"/>
      <c r="O2" s="1182"/>
      <c r="P2" s="1182"/>
      <c r="Q2" s="1182"/>
      <c r="R2" s="413"/>
      <c r="S2" s="413"/>
      <c r="T2" s="413"/>
      <c r="U2" s="413"/>
      <c r="V2" s="413"/>
      <c r="W2" s="413"/>
      <c r="X2" s="413"/>
      <c r="Y2" s="413"/>
      <c r="Z2" s="413"/>
      <c r="AA2" s="413"/>
      <c r="AB2" s="413"/>
      <c r="AC2" s="413"/>
      <c r="AD2" s="413"/>
      <c r="AE2" s="413"/>
      <c r="AF2" s="413"/>
    </row>
    <row r="3" spans="1:33" ht="30.75" customHeight="1" x14ac:dyDescent="0.25">
      <c r="A3" s="1123" t="s">
        <v>333</v>
      </c>
      <c r="B3" s="1123"/>
      <c r="C3" s="1123"/>
      <c r="D3" s="1123"/>
      <c r="E3" s="1123"/>
      <c r="F3" s="1123"/>
      <c r="G3" s="1123"/>
      <c r="H3" s="1123"/>
      <c r="I3" s="1123"/>
      <c r="J3" s="1123"/>
      <c r="K3" s="1123"/>
      <c r="L3" s="1123"/>
      <c r="M3" s="1123"/>
      <c r="N3" s="1123"/>
      <c r="O3" s="1123"/>
      <c r="P3" s="1123"/>
      <c r="Q3" s="1123"/>
      <c r="R3" s="414"/>
      <c r="S3" s="414"/>
      <c r="T3" s="414"/>
      <c r="U3" s="414"/>
      <c r="V3" s="414"/>
      <c r="W3" s="414"/>
      <c r="X3" s="414"/>
      <c r="Y3" s="414"/>
      <c r="Z3" s="414"/>
      <c r="AA3" s="414"/>
      <c r="AB3" s="415"/>
      <c r="AC3" s="416"/>
      <c r="AD3" s="416"/>
      <c r="AE3" s="415" t="s">
        <v>1</v>
      </c>
      <c r="AF3" s="416"/>
    </row>
    <row r="4" spans="1:33" x14ac:dyDescent="0.25">
      <c r="A4" s="1183" t="s">
        <v>2</v>
      </c>
      <c r="B4" s="1186" t="s">
        <v>3</v>
      </c>
      <c r="C4" s="1186" t="s">
        <v>3</v>
      </c>
      <c r="D4" s="1186" t="s">
        <v>4</v>
      </c>
      <c r="E4" s="1186" t="s">
        <v>5</v>
      </c>
      <c r="F4" s="1188" t="s">
        <v>6</v>
      </c>
      <c r="G4" s="1189"/>
      <c r="H4" s="1188" t="s">
        <v>7</v>
      </c>
      <c r="I4" s="1189"/>
      <c r="J4" s="1188" t="s">
        <v>8</v>
      </c>
      <c r="K4" s="1189"/>
      <c r="L4" s="1188" t="s">
        <v>9</v>
      </c>
      <c r="M4" s="1189"/>
      <c r="N4" s="1188" t="s">
        <v>10</v>
      </c>
      <c r="O4" s="1189"/>
      <c r="P4" s="1188" t="s">
        <v>11</v>
      </c>
      <c r="Q4" s="1189"/>
      <c r="R4" s="1188" t="s">
        <v>12</v>
      </c>
      <c r="S4" s="1189"/>
      <c r="T4" s="1188" t="s">
        <v>13</v>
      </c>
      <c r="U4" s="1189"/>
      <c r="V4" s="1188" t="s">
        <v>14</v>
      </c>
      <c r="W4" s="1189"/>
      <c r="X4" s="1188" t="s">
        <v>15</v>
      </c>
      <c r="Y4" s="1189"/>
      <c r="Z4" s="1188" t="s">
        <v>16</v>
      </c>
      <c r="AA4" s="1189"/>
      <c r="AB4" s="1188" t="s">
        <v>17</v>
      </c>
      <c r="AC4" s="1189"/>
      <c r="AD4" s="1188" t="s">
        <v>18</v>
      </c>
      <c r="AE4" s="1189"/>
      <c r="AF4" s="1192" t="s">
        <v>19</v>
      </c>
    </row>
    <row r="5" spans="1:33" ht="21" customHeight="1" x14ac:dyDescent="0.25">
      <c r="A5" s="1184"/>
      <c r="B5" s="1187"/>
      <c r="C5" s="1187"/>
      <c r="D5" s="1187"/>
      <c r="E5" s="1187"/>
      <c r="F5" s="1190"/>
      <c r="G5" s="1191"/>
      <c r="H5" s="1190"/>
      <c r="I5" s="1191"/>
      <c r="J5" s="1190"/>
      <c r="K5" s="1191"/>
      <c r="L5" s="1190"/>
      <c r="M5" s="1191"/>
      <c r="N5" s="1190"/>
      <c r="O5" s="1191"/>
      <c r="P5" s="1190"/>
      <c r="Q5" s="1191"/>
      <c r="R5" s="1190"/>
      <c r="S5" s="1191"/>
      <c r="T5" s="1190"/>
      <c r="U5" s="1191"/>
      <c r="V5" s="1190"/>
      <c r="W5" s="1191"/>
      <c r="X5" s="1190"/>
      <c r="Y5" s="1191"/>
      <c r="Z5" s="1190"/>
      <c r="AA5" s="1191"/>
      <c r="AB5" s="1190"/>
      <c r="AC5" s="1191"/>
      <c r="AD5" s="1190"/>
      <c r="AE5" s="1191"/>
      <c r="AF5" s="1193"/>
    </row>
    <row r="6" spans="1:33" ht="64.5" customHeight="1" x14ac:dyDescent="0.25">
      <c r="A6" s="1185"/>
      <c r="B6" s="417">
        <v>2024</v>
      </c>
      <c r="C6" s="476">
        <v>45658</v>
      </c>
      <c r="D6" s="418">
        <f>C6</f>
        <v>45658</v>
      </c>
      <c r="E6" s="418">
        <f>C6</f>
        <v>45658</v>
      </c>
      <c r="F6" s="419" t="s">
        <v>20</v>
      </c>
      <c r="G6" s="419" t="s">
        <v>21</v>
      </c>
      <c r="H6" s="419" t="s">
        <v>22</v>
      </c>
      <c r="I6" s="419" t="s">
        <v>23</v>
      </c>
      <c r="J6" s="419" t="s">
        <v>22</v>
      </c>
      <c r="K6" s="419" t="s">
        <v>23</v>
      </c>
      <c r="L6" s="419" t="s">
        <v>22</v>
      </c>
      <c r="M6" s="419" t="s">
        <v>23</v>
      </c>
      <c r="N6" s="419" t="s">
        <v>22</v>
      </c>
      <c r="O6" s="419" t="s">
        <v>23</v>
      </c>
      <c r="P6" s="419" t="s">
        <v>22</v>
      </c>
      <c r="Q6" s="419" t="s">
        <v>23</v>
      </c>
      <c r="R6" s="419" t="s">
        <v>22</v>
      </c>
      <c r="S6" s="419" t="s">
        <v>23</v>
      </c>
      <c r="T6" s="419" t="s">
        <v>22</v>
      </c>
      <c r="U6" s="419" t="s">
        <v>23</v>
      </c>
      <c r="V6" s="419" t="s">
        <v>22</v>
      </c>
      <c r="W6" s="419" t="s">
        <v>23</v>
      </c>
      <c r="X6" s="419" t="s">
        <v>22</v>
      </c>
      <c r="Y6" s="419" t="s">
        <v>23</v>
      </c>
      <c r="Z6" s="419" t="s">
        <v>22</v>
      </c>
      <c r="AA6" s="419" t="s">
        <v>23</v>
      </c>
      <c r="AB6" s="419" t="s">
        <v>22</v>
      </c>
      <c r="AC6" s="419" t="s">
        <v>23</v>
      </c>
      <c r="AD6" s="419" t="s">
        <v>22</v>
      </c>
      <c r="AE6" s="419" t="s">
        <v>23</v>
      </c>
      <c r="AF6" s="1194"/>
    </row>
    <row r="7" spans="1:33" ht="18.75" x14ac:dyDescent="0.25">
      <c r="A7" s="420">
        <v>1</v>
      </c>
      <c r="B7" s="421">
        <v>2</v>
      </c>
      <c r="C7" s="421">
        <v>3</v>
      </c>
      <c r="D7" s="421">
        <v>4</v>
      </c>
      <c r="E7" s="421">
        <v>5</v>
      </c>
      <c r="F7" s="421">
        <v>6</v>
      </c>
      <c r="G7" s="421">
        <v>7</v>
      </c>
      <c r="H7" s="421">
        <v>8</v>
      </c>
      <c r="I7" s="421">
        <v>9</v>
      </c>
      <c r="J7" s="421">
        <v>10</v>
      </c>
      <c r="K7" s="421">
        <v>11</v>
      </c>
      <c r="L7" s="421">
        <v>12</v>
      </c>
      <c r="M7" s="421">
        <v>13</v>
      </c>
      <c r="N7" s="421">
        <v>14</v>
      </c>
      <c r="O7" s="421">
        <v>15</v>
      </c>
      <c r="P7" s="421">
        <v>16</v>
      </c>
      <c r="Q7" s="421">
        <v>17</v>
      </c>
      <c r="R7" s="421">
        <v>18</v>
      </c>
      <c r="S7" s="421">
        <v>19</v>
      </c>
      <c r="T7" s="421">
        <v>20</v>
      </c>
      <c r="U7" s="421">
        <v>21</v>
      </c>
      <c r="V7" s="421">
        <v>22</v>
      </c>
      <c r="W7" s="421">
        <v>23</v>
      </c>
      <c r="X7" s="421">
        <v>24</v>
      </c>
      <c r="Y7" s="421">
        <v>25</v>
      </c>
      <c r="Z7" s="421">
        <v>26</v>
      </c>
      <c r="AA7" s="421">
        <v>27</v>
      </c>
      <c r="AB7" s="421">
        <v>28</v>
      </c>
      <c r="AC7" s="421">
        <v>29</v>
      </c>
      <c r="AD7" s="421">
        <v>30</v>
      </c>
      <c r="AE7" s="421">
        <v>31</v>
      </c>
      <c r="AF7" s="421">
        <v>32</v>
      </c>
    </row>
    <row r="8" spans="1:33" ht="18.75" x14ac:dyDescent="0.25">
      <c r="A8" s="1201" t="s">
        <v>334</v>
      </c>
      <c r="B8" s="1202"/>
      <c r="C8" s="1202"/>
      <c r="D8" s="1202"/>
      <c r="E8" s="1202"/>
      <c r="F8" s="1202"/>
      <c r="G8" s="1202"/>
      <c r="H8" s="1202"/>
      <c r="I8" s="1202"/>
      <c r="J8" s="1202"/>
      <c r="K8" s="1202"/>
      <c r="L8" s="1202"/>
      <c r="M8" s="1202"/>
      <c r="N8" s="1202"/>
      <c r="O8" s="1202"/>
      <c r="P8" s="1202"/>
      <c r="Q8" s="1202"/>
      <c r="R8" s="1202"/>
      <c r="S8" s="1202"/>
      <c r="T8" s="1202"/>
      <c r="U8" s="1202"/>
      <c r="V8" s="1202"/>
      <c r="W8" s="1202"/>
      <c r="X8" s="1202"/>
      <c r="Y8" s="1202"/>
      <c r="Z8" s="1202"/>
      <c r="AA8" s="1202"/>
      <c r="AB8" s="1202"/>
      <c r="AC8" s="1202"/>
      <c r="AD8" s="1202"/>
      <c r="AE8" s="1203"/>
      <c r="AF8" s="422"/>
    </row>
    <row r="9" spans="1:33" ht="18.75" x14ac:dyDescent="0.3">
      <c r="A9" s="423" t="s">
        <v>54</v>
      </c>
      <c r="B9" s="424"/>
      <c r="C9" s="424"/>
      <c r="D9" s="424"/>
      <c r="E9" s="424"/>
      <c r="F9" s="424"/>
      <c r="G9" s="424"/>
      <c r="H9" s="424"/>
      <c r="I9" s="424"/>
      <c r="J9" s="424"/>
      <c r="K9" s="424"/>
      <c r="L9" s="424"/>
      <c r="M9" s="424"/>
      <c r="N9" s="424"/>
      <c r="O9" s="424"/>
      <c r="P9" s="424"/>
      <c r="Q9" s="424"/>
      <c r="R9" s="424"/>
      <c r="S9" s="424"/>
      <c r="T9" s="424"/>
      <c r="U9" s="424"/>
      <c r="V9" s="424"/>
      <c r="W9" s="424"/>
      <c r="X9" s="424"/>
      <c r="Y9" s="424"/>
      <c r="Z9" s="424"/>
      <c r="AA9" s="424"/>
      <c r="AB9" s="424"/>
      <c r="AC9" s="424"/>
      <c r="AD9" s="424"/>
      <c r="AE9" s="425"/>
      <c r="AF9" s="426"/>
    </row>
    <row r="10" spans="1:33" ht="18.75" x14ac:dyDescent="0.25">
      <c r="A10" s="1195" t="s">
        <v>335</v>
      </c>
      <c r="B10" s="1196"/>
      <c r="C10" s="1196"/>
      <c r="D10" s="1196"/>
      <c r="E10" s="1196"/>
      <c r="F10" s="1196"/>
      <c r="G10" s="1196"/>
      <c r="H10" s="1196"/>
      <c r="I10" s="1196"/>
      <c r="J10" s="1196"/>
      <c r="K10" s="1196"/>
      <c r="L10" s="1196"/>
      <c r="M10" s="1196"/>
      <c r="N10" s="1196"/>
      <c r="O10" s="1196"/>
      <c r="P10" s="1196"/>
      <c r="Q10" s="1196"/>
      <c r="R10" s="1196"/>
      <c r="S10" s="1196"/>
      <c r="T10" s="1196"/>
      <c r="U10" s="1196"/>
      <c r="V10" s="1196"/>
      <c r="W10" s="1196"/>
      <c r="X10" s="1196"/>
      <c r="Y10" s="1196"/>
      <c r="Z10" s="1196"/>
      <c r="AA10" s="1196"/>
      <c r="AB10" s="1196"/>
      <c r="AC10" s="1196"/>
      <c r="AD10" s="1196"/>
      <c r="AE10" s="1197"/>
      <c r="AF10" s="427"/>
    </row>
    <row r="11" spans="1:33" s="431" customFormat="1" ht="18.75" x14ac:dyDescent="0.3">
      <c r="A11" s="428" t="s">
        <v>31</v>
      </c>
      <c r="B11" s="429">
        <f>B12+B13</f>
        <v>56056.130999999994</v>
      </c>
      <c r="C11" s="429">
        <f>SUM(C13:C13)</f>
        <v>55684.797999999995</v>
      </c>
      <c r="D11" s="429">
        <f>SUM(D13:D13)</f>
        <v>54798.125400000004</v>
      </c>
      <c r="E11" s="429">
        <f>SUM(E13:E13)</f>
        <v>54798.125400000004</v>
      </c>
      <c r="F11" s="429">
        <f>IFERROR(E11/B11*100,0)</f>
        <v>97.755810867503527</v>
      </c>
      <c r="G11" s="429">
        <f>IFERROR(E11/C11*100,0)</f>
        <v>98.407693604276005</v>
      </c>
      <c r="H11" s="477">
        <f>H12+H13</f>
        <v>7237.6100000000006</v>
      </c>
      <c r="I11" s="477">
        <f t="shared" ref="I11:AE11" si="0">I12+I13</f>
        <v>4175.2790000000005</v>
      </c>
      <c r="J11" s="477">
        <f t="shared" si="0"/>
        <v>4703.875</v>
      </c>
      <c r="K11" s="477">
        <f t="shared" si="0"/>
        <v>5381.9040000000005</v>
      </c>
      <c r="L11" s="477">
        <f t="shared" si="0"/>
        <v>3760.3250000000003</v>
      </c>
      <c r="M11" s="477">
        <f t="shared" si="0"/>
        <v>3679.2779999999998</v>
      </c>
      <c r="N11" s="477">
        <f t="shared" si="0"/>
        <v>5461.0079999999998</v>
      </c>
      <c r="O11" s="477">
        <f t="shared" si="0"/>
        <v>3373.585</v>
      </c>
      <c r="P11" s="477">
        <f t="shared" si="0"/>
        <v>4632.66</v>
      </c>
      <c r="Q11" s="477">
        <f t="shared" si="0"/>
        <v>4083.6669999999999</v>
      </c>
      <c r="R11" s="477">
        <f t="shared" si="0"/>
        <v>3739.886</v>
      </c>
      <c r="S11" s="477">
        <f t="shared" si="0"/>
        <v>5124.3719999999994</v>
      </c>
      <c r="T11" s="477">
        <f t="shared" si="0"/>
        <v>5475.5149999999994</v>
      </c>
      <c r="U11" s="477">
        <f t="shared" si="0"/>
        <v>5278.1549999999997</v>
      </c>
      <c r="V11" s="477">
        <f t="shared" si="0"/>
        <v>4751.7479999999996</v>
      </c>
      <c r="W11" s="477">
        <f t="shared" si="0"/>
        <v>4999.4790000000003</v>
      </c>
      <c r="X11" s="477">
        <f t="shared" si="0"/>
        <v>3849.056</v>
      </c>
      <c r="Y11" s="477">
        <f t="shared" si="0"/>
        <v>3475.502</v>
      </c>
      <c r="Z11" s="477">
        <f t="shared" si="0"/>
        <v>5511.0489999999991</v>
      </c>
      <c r="AA11" s="477">
        <f t="shared" si="0"/>
        <v>3583.779</v>
      </c>
      <c r="AB11" s="477">
        <f t="shared" si="0"/>
        <v>4263.6450000000004</v>
      </c>
      <c r="AC11" s="477">
        <f t="shared" si="0"/>
        <v>3464.1783999999998</v>
      </c>
      <c r="AD11" s="477">
        <f t="shared" si="0"/>
        <v>2669.7539999999999</v>
      </c>
      <c r="AE11" s="477">
        <f t="shared" si="0"/>
        <v>8550.280999999999</v>
      </c>
      <c r="AF11" s="430"/>
    </row>
    <row r="12" spans="1:33" s="431" customFormat="1" ht="18.75" x14ac:dyDescent="0.3">
      <c r="A12" s="432" t="s">
        <v>32</v>
      </c>
      <c r="B12" s="433">
        <f>B22+B26+B30</f>
        <v>371.33300000000003</v>
      </c>
      <c r="C12" s="433">
        <f t="shared" ref="C12:AE12" si="1">C22+C26+C30</f>
        <v>371.33300000000003</v>
      </c>
      <c r="D12" s="433">
        <f t="shared" si="1"/>
        <v>371.334</v>
      </c>
      <c r="E12" s="433">
        <f t="shared" si="1"/>
        <v>371.334</v>
      </c>
      <c r="F12" s="433">
        <f>IFERROR(E12/B12*100,0)</f>
        <v>100.0002693000622</v>
      </c>
      <c r="G12" s="433">
        <f>IFERROR(E12/C12*100,0)</f>
        <v>100.0002693000622</v>
      </c>
      <c r="H12" s="433">
        <f t="shared" si="1"/>
        <v>0</v>
      </c>
      <c r="I12" s="433">
        <f t="shared" si="1"/>
        <v>0</v>
      </c>
      <c r="J12" s="433">
        <f t="shared" si="1"/>
        <v>0</v>
      </c>
      <c r="K12" s="433">
        <f t="shared" si="1"/>
        <v>0</v>
      </c>
      <c r="L12" s="433">
        <f t="shared" si="1"/>
        <v>0</v>
      </c>
      <c r="M12" s="433">
        <f t="shared" si="1"/>
        <v>0</v>
      </c>
      <c r="N12" s="433">
        <f t="shared" si="1"/>
        <v>0</v>
      </c>
      <c r="O12" s="433">
        <f t="shared" si="1"/>
        <v>0</v>
      </c>
      <c r="P12" s="433">
        <f t="shared" si="1"/>
        <v>371.33300000000003</v>
      </c>
      <c r="Q12" s="433">
        <f t="shared" si="1"/>
        <v>371.334</v>
      </c>
      <c r="R12" s="433">
        <f t="shared" si="1"/>
        <v>0</v>
      </c>
      <c r="S12" s="433">
        <f t="shared" si="1"/>
        <v>0</v>
      </c>
      <c r="T12" s="433">
        <f t="shared" si="1"/>
        <v>0</v>
      </c>
      <c r="U12" s="433">
        <f t="shared" si="1"/>
        <v>0</v>
      </c>
      <c r="V12" s="433">
        <f t="shared" si="1"/>
        <v>0</v>
      </c>
      <c r="W12" s="433">
        <f t="shared" si="1"/>
        <v>0</v>
      </c>
      <c r="X12" s="433">
        <f t="shared" si="1"/>
        <v>0</v>
      </c>
      <c r="Y12" s="433">
        <f t="shared" si="1"/>
        <v>0</v>
      </c>
      <c r="Z12" s="433">
        <f t="shared" si="1"/>
        <v>0</v>
      </c>
      <c r="AA12" s="433">
        <f t="shared" si="1"/>
        <v>0</v>
      </c>
      <c r="AB12" s="433">
        <f t="shared" si="1"/>
        <v>0</v>
      </c>
      <c r="AC12" s="433">
        <f t="shared" si="1"/>
        <v>0</v>
      </c>
      <c r="AD12" s="433">
        <f t="shared" si="1"/>
        <v>0</v>
      </c>
      <c r="AE12" s="433">
        <f t="shared" si="1"/>
        <v>0</v>
      </c>
      <c r="AF12" s="430"/>
    </row>
    <row r="13" spans="1:33" ht="18.75" x14ac:dyDescent="0.3">
      <c r="A13" s="432" t="s">
        <v>33</v>
      </c>
      <c r="B13" s="433">
        <f>SUM(B16,B19,B23,B27,B31)</f>
        <v>55684.797999999995</v>
      </c>
      <c r="C13" s="433">
        <f>SUM(C16,C19,C23,C27,C31)</f>
        <v>55684.797999999995</v>
      </c>
      <c r="D13" s="433">
        <f>SUM(D16,D19,D23,D27,D31)</f>
        <v>54798.125400000004</v>
      </c>
      <c r="E13" s="433">
        <f>SUM(E16,E19,E23,E27,E31)</f>
        <v>54798.125400000004</v>
      </c>
      <c r="F13" s="433">
        <f>IFERROR(E13/B13*100,0)</f>
        <v>98.407693604276005</v>
      </c>
      <c r="G13" s="433">
        <f>IFERROR(E13/C13*100,0)</f>
        <v>98.407693604276005</v>
      </c>
      <c r="H13" s="478">
        <f t="shared" ref="H13:AE13" si="2">SUM(H16,H19,H23,H27,H31)</f>
        <v>7237.6100000000006</v>
      </c>
      <c r="I13" s="478">
        <f t="shared" si="2"/>
        <v>4175.2790000000005</v>
      </c>
      <c r="J13" s="478">
        <f t="shared" si="2"/>
        <v>4703.875</v>
      </c>
      <c r="K13" s="478">
        <f t="shared" si="2"/>
        <v>5381.9040000000005</v>
      </c>
      <c r="L13" s="478">
        <f t="shared" si="2"/>
        <v>3760.3250000000003</v>
      </c>
      <c r="M13" s="478">
        <f t="shared" si="2"/>
        <v>3679.2779999999998</v>
      </c>
      <c r="N13" s="478">
        <f t="shared" si="2"/>
        <v>5461.0079999999998</v>
      </c>
      <c r="O13" s="478">
        <f t="shared" si="2"/>
        <v>3373.585</v>
      </c>
      <c r="P13" s="478">
        <f t="shared" si="2"/>
        <v>4261.3270000000002</v>
      </c>
      <c r="Q13" s="478">
        <f t="shared" si="2"/>
        <v>3712.3330000000001</v>
      </c>
      <c r="R13" s="478">
        <f t="shared" si="2"/>
        <v>3739.886</v>
      </c>
      <c r="S13" s="478">
        <f t="shared" si="2"/>
        <v>5124.3719999999994</v>
      </c>
      <c r="T13" s="478">
        <f t="shared" si="2"/>
        <v>5475.5149999999994</v>
      </c>
      <c r="U13" s="478">
        <f t="shared" si="2"/>
        <v>5278.1549999999997</v>
      </c>
      <c r="V13" s="478">
        <f t="shared" si="2"/>
        <v>4751.7479999999996</v>
      </c>
      <c r="W13" s="478">
        <f t="shared" si="2"/>
        <v>4999.4790000000003</v>
      </c>
      <c r="X13" s="478">
        <f t="shared" si="2"/>
        <v>3849.056</v>
      </c>
      <c r="Y13" s="478">
        <f t="shared" si="2"/>
        <v>3475.502</v>
      </c>
      <c r="Z13" s="478">
        <f t="shared" si="2"/>
        <v>5511.0489999999991</v>
      </c>
      <c r="AA13" s="478">
        <f t="shared" si="2"/>
        <v>3583.779</v>
      </c>
      <c r="AB13" s="478">
        <f t="shared" si="2"/>
        <v>4263.6450000000004</v>
      </c>
      <c r="AC13" s="478">
        <f t="shared" si="2"/>
        <v>3464.1783999999998</v>
      </c>
      <c r="AD13" s="478">
        <f t="shared" si="2"/>
        <v>2669.7539999999999</v>
      </c>
      <c r="AE13" s="478">
        <f t="shared" si="2"/>
        <v>8550.280999999999</v>
      </c>
      <c r="AF13" s="427"/>
    </row>
    <row r="14" spans="1:33" ht="18.75" x14ac:dyDescent="0.25">
      <c r="A14" s="1195" t="s">
        <v>336</v>
      </c>
      <c r="B14" s="1196"/>
      <c r="C14" s="1196"/>
      <c r="D14" s="1196"/>
      <c r="E14" s="1196"/>
      <c r="F14" s="1196"/>
      <c r="G14" s="1196"/>
      <c r="H14" s="1196"/>
      <c r="I14" s="1196"/>
      <c r="J14" s="1196"/>
      <c r="K14" s="1196"/>
      <c r="L14" s="1196"/>
      <c r="M14" s="1196"/>
      <c r="N14" s="1196"/>
      <c r="O14" s="1196"/>
      <c r="P14" s="1196"/>
      <c r="Q14" s="1196"/>
      <c r="R14" s="1196"/>
      <c r="S14" s="1196"/>
      <c r="T14" s="1196"/>
      <c r="U14" s="1196"/>
      <c r="V14" s="1196"/>
      <c r="W14" s="1196"/>
      <c r="X14" s="1196"/>
      <c r="Y14" s="1196"/>
      <c r="Z14" s="1196"/>
      <c r="AA14" s="1196"/>
      <c r="AB14" s="1196"/>
      <c r="AC14" s="1196"/>
      <c r="AD14" s="1196"/>
      <c r="AE14" s="1197"/>
      <c r="AF14" s="434"/>
    </row>
    <row r="15" spans="1:33" s="431" customFormat="1" ht="18.75" x14ac:dyDescent="0.3">
      <c r="A15" s="428" t="s">
        <v>31</v>
      </c>
      <c r="B15" s="429">
        <f>SUM(B16:B16)</f>
        <v>114.995</v>
      </c>
      <c r="C15" s="429">
        <f>SUM(C16:C16)</f>
        <v>114.995</v>
      </c>
      <c r="D15" s="429">
        <f>SUM(D16:D16)</f>
        <v>114.12299999999999</v>
      </c>
      <c r="E15" s="429">
        <f>SUM(E16:E16)</f>
        <v>114.12299999999999</v>
      </c>
      <c r="F15" s="429">
        <f>IFERROR(E15/B15*100,0)</f>
        <v>99.241706161137429</v>
      </c>
      <c r="G15" s="429">
        <f>IFERROR(E15/C15*100,0)</f>
        <v>99.241706161137429</v>
      </c>
      <c r="H15" s="477">
        <f t="shared" ref="H15:AE15" si="3">SUM(H16:H16)</f>
        <v>0</v>
      </c>
      <c r="I15" s="477">
        <f t="shared" si="3"/>
        <v>0</v>
      </c>
      <c r="J15" s="477">
        <f t="shared" si="3"/>
        <v>0</v>
      </c>
      <c r="K15" s="477">
        <f t="shared" si="3"/>
        <v>0</v>
      </c>
      <c r="L15" s="477">
        <f t="shared" si="3"/>
        <v>19.495000000000001</v>
      </c>
      <c r="M15" s="477">
        <f t="shared" si="3"/>
        <v>0</v>
      </c>
      <c r="N15" s="477">
        <f t="shared" si="3"/>
        <v>9.2780000000000005</v>
      </c>
      <c r="O15" s="477">
        <f t="shared" si="3"/>
        <v>22.062999999999999</v>
      </c>
      <c r="P15" s="477">
        <f t="shared" si="3"/>
        <v>11.349</v>
      </c>
      <c r="Q15" s="477">
        <f t="shared" si="3"/>
        <v>8.2119999999999997</v>
      </c>
      <c r="R15" s="477">
        <f t="shared" si="3"/>
        <v>9.8550000000000004</v>
      </c>
      <c r="S15" s="477">
        <f t="shared" si="3"/>
        <v>11.111000000000001</v>
      </c>
      <c r="T15" s="477">
        <f t="shared" si="3"/>
        <v>8.6720000000000006</v>
      </c>
      <c r="U15" s="477">
        <f t="shared" si="3"/>
        <v>8.2119999999999997</v>
      </c>
      <c r="V15" s="477">
        <f t="shared" si="3"/>
        <v>15.365</v>
      </c>
      <c r="W15" s="477">
        <f t="shared" si="3"/>
        <v>13.798999999999999</v>
      </c>
      <c r="X15" s="477">
        <f t="shared" si="3"/>
        <v>12.031000000000001</v>
      </c>
      <c r="Y15" s="477">
        <f t="shared" si="3"/>
        <v>13.744</v>
      </c>
      <c r="Z15" s="477">
        <f t="shared" si="3"/>
        <v>6.81</v>
      </c>
      <c r="AA15" s="477">
        <f t="shared" si="3"/>
        <v>8.0969999999999995</v>
      </c>
      <c r="AB15" s="477">
        <f t="shared" si="3"/>
        <v>12.56</v>
      </c>
      <c r="AC15" s="477">
        <f t="shared" si="3"/>
        <v>15.715</v>
      </c>
      <c r="AD15" s="477">
        <f t="shared" si="3"/>
        <v>9.58</v>
      </c>
      <c r="AE15" s="477">
        <f t="shared" si="3"/>
        <v>13.17</v>
      </c>
      <c r="AF15" s="435"/>
      <c r="AG15" s="668"/>
    </row>
    <row r="16" spans="1:33" ht="21" x14ac:dyDescent="0.35">
      <c r="A16" s="432" t="s">
        <v>33</v>
      </c>
      <c r="B16" s="433">
        <f>SUM(H16,J16,L16,N16,P16,R16,T16,V16,X16,Z16,AB16,AD16)</f>
        <v>114.995</v>
      </c>
      <c r="C16" s="433">
        <f>H16+J16+L16+N16+P16+R16+T16+V16+X16+Z16+AB16+AD16</f>
        <v>114.995</v>
      </c>
      <c r="D16" s="433">
        <f>E16</f>
        <v>114.12299999999999</v>
      </c>
      <c r="E16" s="433">
        <f>SUM(I16,K16,M16,O16,Q16,S16,U16,W16,Y16,AA16,AC16,AE16)</f>
        <v>114.12299999999999</v>
      </c>
      <c r="F16" s="433">
        <f>IFERROR(E16/B16*100,0)</f>
        <v>99.241706161137429</v>
      </c>
      <c r="G16" s="433">
        <f>IFERROR(E16/C16*100,0)</f>
        <v>99.241706161137429</v>
      </c>
      <c r="H16" s="478">
        <v>0</v>
      </c>
      <c r="I16" s="478">
        <v>0</v>
      </c>
      <c r="J16" s="478">
        <v>0</v>
      </c>
      <c r="K16" s="478">
        <v>0</v>
      </c>
      <c r="L16" s="478">
        <v>19.495000000000001</v>
      </c>
      <c r="M16" s="478">
        <v>0</v>
      </c>
      <c r="N16" s="478">
        <v>9.2780000000000005</v>
      </c>
      <c r="O16" s="478">
        <v>22.062999999999999</v>
      </c>
      <c r="P16" s="478">
        <v>11.349</v>
      </c>
      <c r="Q16" s="478">
        <v>8.2119999999999997</v>
      </c>
      <c r="R16" s="478">
        <v>9.8550000000000004</v>
      </c>
      <c r="S16" s="478">
        <v>11.111000000000001</v>
      </c>
      <c r="T16" s="478">
        <v>8.6720000000000006</v>
      </c>
      <c r="U16" s="478">
        <v>8.2119999999999997</v>
      </c>
      <c r="V16" s="478">
        <v>15.365</v>
      </c>
      <c r="W16" s="478">
        <v>13.798999999999999</v>
      </c>
      <c r="X16" s="478">
        <v>12.031000000000001</v>
      </c>
      <c r="Y16" s="478">
        <v>13.744</v>
      </c>
      <c r="Z16" s="478">
        <v>6.81</v>
      </c>
      <c r="AA16" s="478">
        <v>8.0969999999999995</v>
      </c>
      <c r="AB16" s="478">
        <v>12.56</v>
      </c>
      <c r="AC16" s="478">
        <v>15.715</v>
      </c>
      <c r="AD16" s="478">
        <v>9.58</v>
      </c>
      <c r="AE16" s="478">
        <v>13.17</v>
      </c>
      <c r="AF16" s="434"/>
      <c r="AG16" s="667"/>
    </row>
    <row r="17" spans="1:33" ht="21" x14ac:dyDescent="0.35">
      <c r="A17" s="1195" t="s">
        <v>337</v>
      </c>
      <c r="B17" s="1196"/>
      <c r="C17" s="1196"/>
      <c r="D17" s="1196"/>
      <c r="E17" s="1196"/>
      <c r="F17" s="1196"/>
      <c r="G17" s="1196"/>
      <c r="H17" s="1196"/>
      <c r="I17" s="1196"/>
      <c r="J17" s="1196"/>
      <c r="K17" s="1196"/>
      <c r="L17" s="1196"/>
      <c r="M17" s="1196"/>
      <c r="N17" s="1196"/>
      <c r="O17" s="1196"/>
      <c r="P17" s="1196"/>
      <c r="Q17" s="1196"/>
      <c r="R17" s="1196"/>
      <c r="S17" s="1196"/>
      <c r="T17" s="1196"/>
      <c r="U17" s="1196"/>
      <c r="V17" s="1196"/>
      <c r="W17" s="1196"/>
      <c r="X17" s="1196"/>
      <c r="Y17" s="1196"/>
      <c r="Z17" s="1196"/>
      <c r="AA17" s="1196"/>
      <c r="AB17" s="1196"/>
      <c r="AC17" s="1196"/>
      <c r="AD17" s="1196"/>
      <c r="AE17" s="1197"/>
      <c r="AF17" s="434"/>
      <c r="AG17" s="667"/>
    </row>
    <row r="18" spans="1:33" s="431" customFormat="1" ht="21" x14ac:dyDescent="0.35">
      <c r="A18" s="428" t="s">
        <v>31</v>
      </c>
      <c r="B18" s="429">
        <f>SUM(B19:B19)</f>
        <v>0</v>
      </c>
      <c r="C18" s="429">
        <f>SUM(C19:C19)</f>
        <v>0</v>
      </c>
      <c r="D18" s="429">
        <f>SUM(D19:D19)</f>
        <v>0</v>
      </c>
      <c r="E18" s="429">
        <f>SUM(E19:E19)</f>
        <v>0</v>
      </c>
      <c r="F18" s="429">
        <f>IFERROR(E18/B18*100,0)</f>
        <v>0</v>
      </c>
      <c r="G18" s="429">
        <f>IFERROR(E18/C18*100,0)</f>
        <v>0</v>
      </c>
      <c r="H18" s="477">
        <f t="shared" ref="H18:AE18" si="4">SUM(H19:H19)</f>
        <v>0</v>
      </c>
      <c r="I18" s="477">
        <f t="shared" si="4"/>
        <v>0</v>
      </c>
      <c r="J18" s="477">
        <f t="shared" si="4"/>
        <v>0</v>
      </c>
      <c r="K18" s="477">
        <f t="shared" si="4"/>
        <v>0</v>
      </c>
      <c r="L18" s="477">
        <f t="shared" si="4"/>
        <v>0</v>
      </c>
      <c r="M18" s="477">
        <f t="shared" si="4"/>
        <v>0</v>
      </c>
      <c r="N18" s="477">
        <f t="shared" si="4"/>
        <v>0</v>
      </c>
      <c r="O18" s="477">
        <f t="shared" si="4"/>
        <v>0</v>
      </c>
      <c r="P18" s="477">
        <f t="shared" si="4"/>
        <v>0</v>
      </c>
      <c r="Q18" s="477">
        <f t="shared" si="4"/>
        <v>0</v>
      </c>
      <c r="R18" s="477">
        <f t="shared" si="4"/>
        <v>0</v>
      </c>
      <c r="S18" s="477">
        <f t="shared" si="4"/>
        <v>0</v>
      </c>
      <c r="T18" s="477">
        <f t="shared" si="4"/>
        <v>0</v>
      </c>
      <c r="U18" s="477">
        <f t="shared" si="4"/>
        <v>0</v>
      </c>
      <c r="V18" s="477">
        <f t="shared" si="4"/>
        <v>0</v>
      </c>
      <c r="W18" s="477">
        <f t="shared" si="4"/>
        <v>0</v>
      </c>
      <c r="X18" s="477">
        <f t="shared" si="4"/>
        <v>0</v>
      </c>
      <c r="Y18" s="477">
        <f t="shared" si="4"/>
        <v>0</v>
      </c>
      <c r="Z18" s="477">
        <f t="shared" si="4"/>
        <v>0</v>
      </c>
      <c r="AA18" s="477">
        <f t="shared" si="4"/>
        <v>0</v>
      </c>
      <c r="AB18" s="477">
        <f t="shared" si="4"/>
        <v>0</v>
      </c>
      <c r="AC18" s="477">
        <f t="shared" si="4"/>
        <v>0</v>
      </c>
      <c r="AD18" s="477">
        <f t="shared" si="4"/>
        <v>0</v>
      </c>
      <c r="AE18" s="477">
        <f t="shared" si="4"/>
        <v>0</v>
      </c>
      <c r="AF18" s="435"/>
      <c r="AG18" s="667"/>
    </row>
    <row r="19" spans="1:33" ht="21" x14ac:dyDescent="0.35">
      <c r="A19" s="432" t="s">
        <v>33</v>
      </c>
      <c r="B19" s="433">
        <f>SUM(H19,J19,L19,N19,P19,R19,T19,V19,X19,Z19,AB19,AD19)</f>
        <v>0</v>
      </c>
      <c r="C19" s="433">
        <f>SUM(H19+J19)</f>
        <v>0</v>
      </c>
      <c r="D19" s="433">
        <f>E19</f>
        <v>0</v>
      </c>
      <c r="E19" s="433">
        <f>SUM(I19,K19,M19,O19,Q19,S19,U19,W19,Y19,AA19,AC19,AE19)</f>
        <v>0</v>
      </c>
      <c r="F19" s="433">
        <f>IFERROR(E19/B19*100,0)</f>
        <v>0</v>
      </c>
      <c r="G19" s="433">
        <f>IFERROR(E19/C19*100,0)</f>
        <v>0</v>
      </c>
      <c r="H19" s="478">
        <v>0</v>
      </c>
      <c r="I19" s="478">
        <v>0</v>
      </c>
      <c r="J19" s="478">
        <v>0</v>
      </c>
      <c r="K19" s="478">
        <v>0</v>
      </c>
      <c r="L19" s="478">
        <v>0</v>
      </c>
      <c r="M19" s="478">
        <v>0</v>
      </c>
      <c r="N19" s="478">
        <v>0</v>
      </c>
      <c r="O19" s="478">
        <v>0</v>
      </c>
      <c r="P19" s="478">
        <v>0</v>
      </c>
      <c r="Q19" s="478">
        <v>0</v>
      </c>
      <c r="R19" s="478">
        <v>0</v>
      </c>
      <c r="S19" s="478">
        <v>0</v>
      </c>
      <c r="T19" s="478">
        <v>0</v>
      </c>
      <c r="U19" s="478">
        <v>0</v>
      </c>
      <c r="V19" s="478">
        <v>0</v>
      </c>
      <c r="W19" s="478">
        <v>0</v>
      </c>
      <c r="X19" s="478">
        <v>0</v>
      </c>
      <c r="Y19" s="478">
        <v>0</v>
      </c>
      <c r="Z19" s="478">
        <v>0</v>
      </c>
      <c r="AA19" s="478">
        <v>0</v>
      </c>
      <c r="AB19" s="478">
        <v>0</v>
      </c>
      <c r="AC19" s="478">
        <v>0</v>
      </c>
      <c r="AD19" s="478">
        <v>0</v>
      </c>
      <c r="AE19" s="478">
        <v>0</v>
      </c>
      <c r="AF19" s="434"/>
      <c r="AG19" s="667"/>
    </row>
    <row r="20" spans="1:33" ht="21" x14ac:dyDescent="0.35">
      <c r="A20" s="1195" t="s">
        <v>338</v>
      </c>
      <c r="B20" s="1196"/>
      <c r="C20" s="1196"/>
      <c r="D20" s="1196"/>
      <c r="E20" s="1196"/>
      <c r="F20" s="1196"/>
      <c r="G20" s="1196"/>
      <c r="H20" s="1196"/>
      <c r="I20" s="1196"/>
      <c r="J20" s="1196"/>
      <c r="K20" s="1196"/>
      <c r="L20" s="1196"/>
      <c r="M20" s="1196"/>
      <c r="N20" s="1196"/>
      <c r="O20" s="1196"/>
      <c r="P20" s="1196"/>
      <c r="Q20" s="1196"/>
      <c r="R20" s="1196"/>
      <c r="S20" s="1196"/>
      <c r="T20" s="1196"/>
      <c r="U20" s="1196"/>
      <c r="V20" s="1196"/>
      <c r="W20" s="1196"/>
      <c r="X20" s="1196"/>
      <c r="Y20" s="1196"/>
      <c r="Z20" s="1196"/>
      <c r="AA20" s="1196"/>
      <c r="AB20" s="1196"/>
      <c r="AC20" s="1196"/>
      <c r="AD20" s="1196"/>
      <c r="AE20" s="1197"/>
      <c r="AF20" s="436"/>
      <c r="AG20" s="667"/>
    </row>
    <row r="21" spans="1:33" s="431" customFormat="1" ht="37.5" x14ac:dyDescent="0.35">
      <c r="A21" s="568" t="s">
        <v>31</v>
      </c>
      <c r="B21" s="569">
        <f>B22+B23</f>
        <v>27642.000999999997</v>
      </c>
      <c r="C21" s="569">
        <f t="shared" ref="C21:E21" si="5">C22+C23</f>
        <v>27642.000999999997</v>
      </c>
      <c r="D21" s="569">
        <f t="shared" si="5"/>
        <v>27125.699000000001</v>
      </c>
      <c r="E21" s="569">
        <f t="shared" si="5"/>
        <v>27125.699000000001</v>
      </c>
      <c r="F21" s="569">
        <f>IFERROR(E21/B21*100,0)</f>
        <v>98.13218297763612</v>
      </c>
      <c r="G21" s="569">
        <f>IFERROR(E21/C21*100,0)</f>
        <v>98.13218297763612</v>
      </c>
      <c r="H21" s="570">
        <f>H22+H23</f>
        <v>3701.1</v>
      </c>
      <c r="I21" s="570">
        <f t="shared" ref="I21:AE21" si="6">I22+I23</f>
        <v>2125.4960000000001</v>
      </c>
      <c r="J21" s="570">
        <f t="shared" si="6"/>
        <v>2342.2199999999998</v>
      </c>
      <c r="K21" s="570">
        <f t="shared" si="6"/>
        <v>2654.116</v>
      </c>
      <c r="L21" s="570">
        <f t="shared" si="6"/>
        <v>1876.24</v>
      </c>
      <c r="M21" s="570">
        <f t="shared" si="6"/>
        <v>1791.963</v>
      </c>
      <c r="N21" s="570">
        <f t="shared" si="6"/>
        <v>2727.83</v>
      </c>
      <c r="O21" s="570">
        <f t="shared" si="6"/>
        <v>1789.04</v>
      </c>
      <c r="P21" s="570">
        <f t="shared" si="6"/>
        <v>2300.3200000000002</v>
      </c>
      <c r="Q21" s="570">
        <f t="shared" si="6"/>
        <v>2062.489</v>
      </c>
      <c r="R21" s="570">
        <f t="shared" si="6"/>
        <v>1865.441</v>
      </c>
      <c r="S21" s="570">
        <f t="shared" si="6"/>
        <v>2377.9029999999998</v>
      </c>
      <c r="T21" s="570">
        <f t="shared" si="6"/>
        <v>2742.93</v>
      </c>
      <c r="U21" s="570">
        <f t="shared" si="6"/>
        <v>2614.6689999999999</v>
      </c>
      <c r="V21" s="570">
        <f t="shared" si="6"/>
        <v>2374.9250000000002</v>
      </c>
      <c r="W21" s="570">
        <f t="shared" si="6"/>
        <v>2622.453</v>
      </c>
      <c r="X21" s="570">
        <f t="shared" si="6"/>
        <v>1959.2349999999999</v>
      </c>
      <c r="Y21" s="570">
        <f t="shared" si="6"/>
        <v>1496.529</v>
      </c>
      <c r="Z21" s="570">
        <f t="shared" si="6"/>
        <v>2780.2249999999999</v>
      </c>
      <c r="AA21" s="570">
        <f t="shared" si="6"/>
        <v>1712.04</v>
      </c>
      <c r="AB21" s="570">
        <f t="shared" si="6"/>
        <v>2125.875</v>
      </c>
      <c r="AC21" s="570">
        <f t="shared" si="6"/>
        <v>1647.23</v>
      </c>
      <c r="AD21" s="570">
        <f t="shared" si="6"/>
        <v>845.66</v>
      </c>
      <c r="AE21" s="570">
        <f t="shared" si="6"/>
        <v>4231.7709999999997</v>
      </c>
      <c r="AF21" s="436" t="s">
        <v>501</v>
      </c>
      <c r="AG21" s="667"/>
    </row>
    <row r="22" spans="1:33" s="835" customFormat="1" ht="21" x14ac:dyDescent="0.35">
      <c r="A22" s="571" t="s">
        <v>32</v>
      </c>
      <c r="B22" s="572">
        <f>SUM(H22,J22,L22,N22,P22,R22,T22,V22,X22,Z22,AB22,AD22)</f>
        <v>174.44200000000001</v>
      </c>
      <c r="C22" s="572">
        <f>SUM(H22+J22+L22+N22+P22+R22+T22+V22+X22+Z22+AB22+AD22)</f>
        <v>174.44200000000001</v>
      </c>
      <c r="D22" s="572">
        <f>E22</f>
        <v>174.44300000000001</v>
      </c>
      <c r="E22" s="572">
        <f>SUM(I22,K22,M22,O22,Q22,S22,U22,W22,Y22,AA22,AC22,AE22)</f>
        <v>174.44300000000001</v>
      </c>
      <c r="F22" s="572">
        <f>IFERROR(E22/B22*100,0)</f>
        <v>100.00057325644053</v>
      </c>
      <c r="G22" s="572">
        <f>IFERROR(E22/C22*100,0)</f>
        <v>100.00057325644053</v>
      </c>
      <c r="H22" s="573">
        <v>0</v>
      </c>
      <c r="I22" s="573">
        <v>0</v>
      </c>
      <c r="J22" s="573">
        <v>0</v>
      </c>
      <c r="K22" s="573">
        <v>0</v>
      </c>
      <c r="L22" s="573">
        <v>0</v>
      </c>
      <c r="M22" s="573">
        <v>0</v>
      </c>
      <c r="N22" s="573">
        <v>0</v>
      </c>
      <c r="O22" s="573">
        <v>0</v>
      </c>
      <c r="P22" s="573">
        <v>174.44200000000001</v>
      </c>
      <c r="Q22" s="573">
        <v>174.44300000000001</v>
      </c>
      <c r="R22" s="573">
        <v>0</v>
      </c>
      <c r="S22" s="573">
        <v>0</v>
      </c>
      <c r="T22" s="573">
        <v>0</v>
      </c>
      <c r="U22" s="573">
        <v>0</v>
      </c>
      <c r="V22" s="573">
        <v>0</v>
      </c>
      <c r="W22" s="573">
        <v>0</v>
      </c>
      <c r="X22" s="573">
        <v>0</v>
      </c>
      <c r="Y22" s="573">
        <v>0</v>
      </c>
      <c r="Z22" s="573">
        <v>0</v>
      </c>
      <c r="AA22" s="573">
        <v>0</v>
      </c>
      <c r="AB22" s="573">
        <v>0</v>
      </c>
      <c r="AC22" s="573">
        <v>0</v>
      </c>
      <c r="AD22" s="573">
        <v>0</v>
      </c>
      <c r="AE22" s="573">
        <v>0</v>
      </c>
      <c r="AF22" s="436"/>
      <c r="AG22" s="667"/>
    </row>
    <row r="23" spans="1:33" ht="21" x14ac:dyDescent="0.35">
      <c r="A23" s="571" t="s">
        <v>33</v>
      </c>
      <c r="B23" s="572">
        <f>SUM(H23,J23,L23,N23,P23,R23,T23,V23,X23,Z23,AB23,AD23)</f>
        <v>27467.558999999997</v>
      </c>
      <c r="C23" s="572">
        <f>SUM(H23+J23+L23+N23+P23+R23+T23+V23+X23+Z23+AB23+AD23)</f>
        <v>27467.558999999997</v>
      </c>
      <c r="D23" s="572">
        <f>E23</f>
        <v>26951.256000000001</v>
      </c>
      <c r="E23" s="572">
        <f>SUM(I23,K23,M23,O23,Q23,S23,U23,W23,Y23,AA23,AC23,AE23)</f>
        <v>26951.256000000001</v>
      </c>
      <c r="F23" s="572">
        <f>IFERROR(E23/B23*100,0)</f>
        <v>98.120317134842622</v>
      </c>
      <c r="G23" s="572">
        <f>IFERROR(E23/C23*100,0)</f>
        <v>98.120317134842622</v>
      </c>
      <c r="H23" s="573">
        <v>3701.1</v>
      </c>
      <c r="I23" s="573">
        <v>2125.4960000000001</v>
      </c>
      <c r="J23" s="573">
        <v>2342.2199999999998</v>
      </c>
      <c r="K23" s="573">
        <v>2654.116</v>
      </c>
      <c r="L23" s="573">
        <v>1876.24</v>
      </c>
      <c r="M23" s="573">
        <v>1791.963</v>
      </c>
      <c r="N23" s="573">
        <v>2727.83</v>
      </c>
      <c r="O23" s="573">
        <v>1789.04</v>
      </c>
      <c r="P23" s="573">
        <v>2125.8780000000002</v>
      </c>
      <c r="Q23" s="573">
        <v>1888.046</v>
      </c>
      <c r="R23" s="573">
        <v>1865.441</v>
      </c>
      <c r="S23" s="573">
        <v>2377.9029999999998</v>
      </c>
      <c r="T23" s="573">
        <v>2742.93</v>
      </c>
      <c r="U23" s="573">
        <v>2614.6689999999999</v>
      </c>
      <c r="V23" s="573">
        <v>2374.9250000000002</v>
      </c>
      <c r="W23" s="573">
        <v>2622.453</v>
      </c>
      <c r="X23" s="573">
        <v>1959.2349999999999</v>
      </c>
      <c r="Y23" s="573">
        <v>1496.529</v>
      </c>
      <c r="Z23" s="573">
        <v>2780.2249999999999</v>
      </c>
      <c r="AA23" s="573">
        <v>1712.04</v>
      </c>
      <c r="AB23" s="573">
        <v>2125.875</v>
      </c>
      <c r="AC23" s="573">
        <v>1647.23</v>
      </c>
      <c r="AD23" s="573">
        <v>845.66</v>
      </c>
      <c r="AE23" s="573">
        <v>4231.7709999999997</v>
      </c>
      <c r="AF23" s="436"/>
      <c r="AG23" s="667"/>
    </row>
    <row r="24" spans="1:33" ht="21" x14ac:dyDescent="0.35">
      <c r="A24" s="1198" t="s">
        <v>339</v>
      </c>
      <c r="B24" s="1199"/>
      <c r="C24" s="1199"/>
      <c r="D24" s="1199"/>
      <c r="E24" s="1199"/>
      <c r="F24" s="1199"/>
      <c r="G24" s="1199"/>
      <c r="H24" s="1199"/>
      <c r="I24" s="1199"/>
      <c r="J24" s="1199"/>
      <c r="K24" s="1199"/>
      <c r="L24" s="1199"/>
      <c r="M24" s="1199"/>
      <c r="N24" s="1199"/>
      <c r="O24" s="1199"/>
      <c r="P24" s="1199"/>
      <c r="Q24" s="1199"/>
      <c r="R24" s="1199"/>
      <c r="S24" s="1199"/>
      <c r="T24" s="1199"/>
      <c r="U24" s="1199"/>
      <c r="V24" s="1199"/>
      <c r="W24" s="1199"/>
      <c r="X24" s="1199"/>
      <c r="Y24" s="1199"/>
      <c r="Z24" s="1199"/>
      <c r="AA24" s="1199"/>
      <c r="AB24" s="1199"/>
      <c r="AC24" s="1199"/>
      <c r="AD24" s="1199"/>
      <c r="AE24" s="1200"/>
      <c r="AF24" s="436"/>
      <c r="AG24" s="667"/>
    </row>
    <row r="25" spans="1:33" s="431" customFormat="1" ht="37.5" x14ac:dyDescent="0.35">
      <c r="A25" s="568" t="s">
        <v>31</v>
      </c>
      <c r="B25" s="569">
        <f>B26+B27</f>
        <v>19790.822</v>
      </c>
      <c r="C25" s="569">
        <f t="shared" ref="C25:E25" si="7">C26+C27</f>
        <v>19790.822</v>
      </c>
      <c r="D25" s="569">
        <f t="shared" si="7"/>
        <v>19619.920999999998</v>
      </c>
      <c r="E25" s="569">
        <f t="shared" si="7"/>
        <v>19619.920999999998</v>
      </c>
      <c r="F25" s="569">
        <f>IFERROR(E25/B25*100,0)</f>
        <v>99.136463356600331</v>
      </c>
      <c r="G25" s="569">
        <f>IFERROR(E25/C25*100,0)</f>
        <v>99.136463356600331</v>
      </c>
      <c r="H25" s="570">
        <f>H26+H27</f>
        <v>2449.17</v>
      </c>
      <c r="I25" s="570">
        <f t="shared" ref="I25:AE25" si="8">I26+I27</f>
        <v>1553.9559999999999</v>
      </c>
      <c r="J25" s="570">
        <f t="shared" si="8"/>
        <v>1667.3150000000001</v>
      </c>
      <c r="K25" s="570">
        <f t="shared" si="8"/>
        <v>2039.366</v>
      </c>
      <c r="L25" s="570">
        <f t="shared" si="8"/>
        <v>1312.9</v>
      </c>
      <c r="M25" s="570">
        <f t="shared" si="8"/>
        <v>1249.7349999999999</v>
      </c>
      <c r="N25" s="570">
        <f t="shared" si="8"/>
        <v>1911.73</v>
      </c>
      <c r="O25" s="570">
        <f t="shared" si="8"/>
        <v>1000.62</v>
      </c>
      <c r="P25" s="570">
        <f t="shared" si="8"/>
        <v>1645.7350000000001</v>
      </c>
      <c r="Q25" s="570">
        <f t="shared" si="8"/>
        <v>1270.1550000000002</v>
      </c>
      <c r="R25" s="570">
        <f t="shared" si="8"/>
        <v>1312.9</v>
      </c>
      <c r="S25" s="570">
        <f t="shared" si="8"/>
        <v>1834.088</v>
      </c>
      <c r="T25" s="570">
        <f t="shared" si="8"/>
        <v>1911.74</v>
      </c>
      <c r="U25" s="570">
        <f t="shared" si="8"/>
        <v>1953.75</v>
      </c>
      <c r="V25" s="570">
        <f t="shared" si="8"/>
        <v>1655.5840000000001</v>
      </c>
      <c r="W25" s="570">
        <f t="shared" si="8"/>
        <v>1729.5840000000001</v>
      </c>
      <c r="X25" s="570">
        <f t="shared" si="8"/>
        <v>1326.4</v>
      </c>
      <c r="Y25" s="570">
        <f t="shared" si="8"/>
        <v>1439.4649999999999</v>
      </c>
      <c r="Z25" s="570">
        <f t="shared" si="8"/>
        <v>1911.7439999999999</v>
      </c>
      <c r="AA25" s="570">
        <f t="shared" si="8"/>
        <v>1346.972</v>
      </c>
      <c r="AB25" s="570">
        <f t="shared" si="8"/>
        <v>1494.65</v>
      </c>
      <c r="AC25" s="570">
        <f t="shared" si="8"/>
        <v>1178.54</v>
      </c>
      <c r="AD25" s="570">
        <f t="shared" si="8"/>
        <v>1190.954</v>
      </c>
      <c r="AE25" s="570">
        <f t="shared" si="8"/>
        <v>3023.69</v>
      </c>
      <c r="AF25" s="666" t="s">
        <v>501</v>
      </c>
      <c r="AG25" s="667"/>
    </row>
    <row r="26" spans="1:33" s="431" customFormat="1" ht="21" x14ac:dyDescent="0.35">
      <c r="A26" s="571" t="s">
        <v>32</v>
      </c>
      <c r="B26" s="572">
        <f>SUM(H26,J26,L26,N26,P26,R26,T26,V26,X26,Z26,AB26,AD26)</f>
        <v>151.995</v>
      </c>
      <c r="C26" s="572">
        <f>H26+J26+L26+N26+P26+R26+T26+V26+X26+Z26+AB26+AD26</f>
        <v>151.995</v>
      </c>
      <c r="D26" s="572">
        <f>E26</f>
        <v>151.995</v>
      </c>
      <c r="E26" s="572">
        <f>SUM(I26,K26,M26,O26,Q26,S26,U26,W26,Y26,AA26,AC26,AE26)</f>
        <v>151.995</v>
      </c>
      <c r="F26" s="572">
        <f>IFERROR(E26/B26*100,0)</f>
        <v>100</v>
      </c>
      <c r="G26" s="572">
        <f>IFERROR(E26/C26*100,0)</f>
        <v>100</v>
      </c>
      <c r="H26" s="570"/>
      <c r="I26" s="570"/>
      <c r="J26" s="570"/>
      <c r="K26" s="570"/>
      <c r="L26" s="570"/>
      <c r="M26" s="570"/>
      <c r="N26" s="570"/>
      <c r="O26" s="570"/>
      <c r="P26" s="573">
        <v>151.995</v>
      </c>
      <c r="Q26" s="573">
        <v>151.995</v>
      </c>
      <c r="R26" s="570"/>
      <c r="S26" s="570"/>
      <c r="T26" s="570"/>
      <c r="U26" s="570"/>
      <c r="V26" s="570"/>
      <c r="W26" s="570"/>
      <c r="X26" s="570"/>
      <c r="Y26" s="570"/>
      <c r="Z26" s="570"/>
      <c r="AA26" s="570"/>
      <c r="AB26" s="570"/>
      <c r="AC26" s="570"/>
      <c r="AD26" s="570"/>
      <c r="AE26" s="570"/>
      <c r="AF26" s="666"/>
      <c r="AG26" s="667"/>
    </row>
    <row r="27" spans="1:33" ht="21" x14ac:dyDescent="0.35">
      <c r="A27" s="571" t="s">
        <v>33</v>
      </c>
      <c r="B27" s="572">
        <f>SUM(H27,J27,L27,N27,P27,R27,T27,V27,X27,Z27,AB27,AD27)</f>
        <v>19638.827000000001</v>
      </c>
      <c r="C27" s="572">
        <f>H27+J27+L27+N27+P27+R27+T27+V27+X27+Z27+AB27+AD27</f>
        <v>19638.827000000001</v>
      </c>
      <c r="D27" s="572">
        <f>E27</f>
        <v>19467.925999999999</v>
      </c>
      <c r="E27" s="572">
        <f>SUM(I27,K27,M27,O27,Q27,S27,U27,W27,Y27,AA27,AC27,AE27)</f>
        <v>19467.925999999999</v>
      </c>
      <c r="F27" s="572">
        <f>IFERROR(E27/B27*100,0)</f>
        <v>99.129780001626372</v>
      </c>
      <c r="G27" s="572">
        <f>IFERROR(E27/C27*100,0)</f>
        <v>99.129780001626372</v>
      </c>
      <c r="H27" s="573">
        <v>2449.17</v>
      </c>
      <c r="I27" s="573">
        <v>1553.9559999999999</v>
      </c>
      <c r="J27" s="573">
        <v>1667.3150000000001</v>
      </c>
      <c r="K27" s="573">
        <v>2039.366</v>
      </c>
      <c r="L27" s="573">
        <v>1312.9</v>
      </c>
      <c r="M27" s="573">
        <v>1249.7349999999999</v>
      </c>
      <c r="N27" s="573">
        <v>1911.73</v>
      </c>
      <c r="O27" s="573">
        <v>1000.62</v>
      </c>
      <c r="P27" s="573">
        <v>1493.74</v>
      </c>
      <c r="Q27" s="573">
        <v>1118.1600000000001</v>
      </c>
      <c r="R27" s="573">
        <v>1312.9</v>
      </c>
      <c r="S27" s="573">
        <v>1834.088</v>
      </c>
      <c r="T27" s="573">
        <v>1911.74</v>
      </c>
      <c r="U27" s="573">
        <v>1953.75</v>
      </c>
      <c r="V27" s="573">
        <v>1655.5840000000001</v>
      </c>
      <c r="W27" s="573">
        <v>1729.5840000000001</v>
      </c>
      <c r="X27" s="573">
        <v>1326.4</v>
      </c>
      <c r="Y27" s="573">
        <v>1439.4649999999999</v>
      </c>
      <c r="Z27" s="573">
        <v>1911.7439999999999</v>
      </c>
      <c r="AA27" s="573">
        <v>1346.972</v>
      </c>
      <c r="AB27" s="573">
        <v>1494.65</v>
      </c>
      <c r="AC27" s="573">
        <v>1178.54</v>
      </c>
      <c r="AD27" s="573">
        <v>1190.954</v>
      </c>
      <c r="AE27" s="573">
        <v>3023.69</v>
      </c>
      <c r="AF27" s="436"/>
      <c r="AG27" s="667"/>
    </row>
    <row r="28" spans="1:33" ht="21" x14ac:dyDescent="0.35">
      <c r="A28" s="1198" t="s">
        <v>340</v>
      </c>
      <c r="B28" s="1199"/>
      <c r="C28" s="1199"/>
      <c r="D28" s="1199"/>
      <c r="E28" s="1199"/>
      <c r="F28" s="1199"/>
      <c r="G28" s="1199"/>
      <c r="H28" s="1199"/>
      <c r="I28" s="1199"/>
      <c r="J28" s="1199"/>
      <c r="K28" s="1199"/>
      <c r="L28" s="1199"/>
      <c r="M28" s="1199"/>
      <c r="N28" s="1199"/>
      <c r="O28" s="1199"/>
      <c r="P28" s="1199"/>
      <c r="Q28" s="1199"/>
      <c r="R28" s="1199"/>
      <c r="S28" s="1199"/>
      <c r="T28" s="1199"/>
      <c r="U28" s="1199"/>
      <c r="V28" s="1199"/>
      <c r="W28" s="1199"/>
      <c r="X28" s="1199"/>
      <c r="Y28" s="1199"/>
      <c r="Z28" s="1199"/>
      <c r="AA28" s="1199"/>
      <c r="AB28" s="1199"/>
      <c r="AC28" s="1199"/>
      <c r="AD28" s="1199"/>
      <c r="AE28" s="1200"/>
      <c r="AF28" s="434"/>
      <c r="AG28" s="667"/>
    </row>
    <row r="29" spans="1:33" s="431" customFormat="1" ht="37.5" x14ac:dyDescent="0.35">
      <c r="A29" s="568" t="s">
        <v>31</v>
      </c>
      <c r="B29" s="569">
        <f>B30+B31</f>
        <v>8508.3130000000001</v>
      </c>
      <c r="C29" s="569">
        <f t="shared" ref="C29:E29" si="9">C30+C31</f>
        <v>8508.3130000000001</v>
      </c>
      <c r="D29" s="569">
        <f t="shared" si="9"/>
        <v>8309.7164000000012</v>
      </c>
      <c r="E29" s="569">
        <f t="shared" si="9"/>
        <v>8309.7164000000012</v>
      </c>
      <c r="F29" s="569">
        <f>IFERROR(E29/B29*100,0)</f>
        <v>97.665852208304997</v>
      </c>
      <c r="G29" s="569">
        <f>IFERROR(E29/C29*100,0)</f>
        <v>97.665852208304997</v>
      </c>
      <c r="H29" s="570">
        <f>H30+H31</f>
        <v>1087.3399999999999</v>
      </c>
      <c r="I29" s="570">
        <f t="shared" ref="I29:AE29" si="10">I30+I31</f>
        <v>495.827</v>
      </c>
      <c r="J29" s="570">
        <f t="shared" si="10"/>
        <v>694.34</v>
      </c>
      <c r="K29" s="570">
        <f t="shared" si="10"/>
        <v>688.42200000000003</v>
      </c>
      <c r="L29" s="570">
        <f t="shared" si="10"/>
        <v>551.69000000000005</v>
      </c>
      <c r="M29" s="570">
        <f>M30+M31</f>
        <v>637.58000000000004</v>
      </c>
      <c r="N29" s="570">
        <f t="shared" si="10"/>
        <v>812.17</v>
      </c>
      <c r="O29" s="570">
        <f t="shared" si="10"/>
        <v>561.86199999999997</v>
      </c>
      <c r="P29" s="570">
        <f t="shared" si="10"/>
        <v>675.25599999999997</v>
      </c>
      <c r="Q29" s="570">
        <f t="shared" si="10"/>
        <v>742.81099999999992</v>
      </c>
      <c r="R29" s="570">
        <f t="shared" si="10"/>
        <v>551.69000000000005</v>
      </c>
      <c r="S29" s="570">
        <f t="shared" si="10"/>
        <v>901.27</v>
      </c>
      <c r="T29" s="570">
        <f t="shared" si="10"/>
        <v>812.173</v>
      </c>
      <c r="U29" s="570">
        <f t="shared" si="10"/>
        <v>701.524</v>
      </c>
      <c r="V29" s="570">
        <f t="shared" si="10"/>
        <v>705.87400000000002</v>
      </c>
      <c r="W29" s="570">
        <f t="shared" si="10"/>
        <v>633.64300000000003</v>
      </c>
      <c r="X29" s="570">
        <f t="shared" si="10"/>
        <v>551.39</v>
      </c>
      <c r="Y29" s="570">
        <f t="shared" si="10"/>
        <v>525.76400000000001</v>
      </c>
      <c r="Z29" s="570">
        <f t="shared" si="10"/>
        <v>812.27</v>
      </c>
      <c r="AA29" s="570">
        <f t="shared" si="10"/>
        <v>516.66999999999996</v>
      </c>
      <c r="AB29" s="570">
        <f t="shared" si="10"/>
        <v>630.55999999999995</v>
      </c>
      <c r="AC29" s="570">
        <f t="shared" si="10"/>
        <v>622.6934</v>
      </c>
      <c r="AD29" s="570">
        <f t="shared" si="10"/>
        <v>623.55999999999995</v>
      </c>
      <c r="AE29" s="570">
        <f t="shared" si="10"/>
        <v>1281.6500000000001</v>
      </c>
      <c r="AF29" s="434" t="s">
        <v>501</v>
      </c>
      <c r="AG29" s="667"/>
    </row>
    <row r="30" spans="1:33" s="431" customFormat="1" ht="21" x14ac:dyDescent="0.35">
      <c r="A30" s="571" t="s">
        <v>32</v>
      </c>
      <c r="B30" s="572">
        <f>SUM(H30,J30,L30,N30,P30,R30,T30,V30,X30,Z30,AB30,AD30)</f>
        <v>44.896000000000001</v>
      </c>
      <c r="C30" s="572">
        <f>H30+J30+L30+N30+P30+R30+T30+V30+X30+Z30+AB30+AD30</f>
        <v>44.896000000000001</v>
      </c>
      <c r="D30" s="572">
        <f>E30</f>
        <v>44.896000000000001</v>
      </c>
      <c r="E30" s="572">
        <f>SUM(I30,K30,M30,O30,Q30,S30,U30,W30,Y30,AA30,AC30,AE30)</f>
        <v>44.896000000000001</v>
      </c>
      <c r="F30" s="572">
        <f>IFERROR(E30/B30*100,0)</f>
        <v>100</v>
      </c>
      <c r="G30" s="572">
        <f>IFERROR(E30/C30*100,0)</f>
        <v>100</v>
      </c>
      <c r="H30" s="570"/>
      <c r="I30" s="570"/>
      <c r="J30" s="570"/>
      <c r="K30" s="570"/>
      <c r="L30" s="570"/>
      <c r="M30" s="570"/>
      <c r="N30" s="570"/>
      <c r="O30" s="570"/>
      <c r="P30" s="573">
        <v>44.896000000000001</v>
      </c>
      <c r="Q30" s="573">
        <v>44.896000000000001</v>
      </c>
      <c r="R30" s="570"/>
      <c r="S30" s="570"/>
      <c r="T30" s="570"/>
      <c r="U30" s="570"/>
      <c r="V30" s="570"/>
      <c r="W30" s="570"/>
      <c r="X30" s="570"/>
      <c r="Y30" s="570"/>
      <c r="Z30" s="570"/>
      <c r="AA30" s="570"/>
      <c r="AB30" s="570"/>
      <c r="AC30" s="570"/>
      <c r="AD30" s="570"/>
      <c r="AE30" s="570"/>
      <c r="AF30" s="434"/>
      <c r="AG30" s="667"/>
    </row>
    <row r="31" spans="1:33" ht="21" x14ac:dyDescent="0.35">
      <c r="A31" s="571" t="s">
        <v>33</v>
      </c>
      <c r="B31" s="572">
        <f>SUM(H31,J31,L31,N31,P31,R31,T31,V31,X31,Z31,AB31,AD31)</f>
        <v>8463.4169999999995</v>
      </c>
      <c r="C31" s="572">
        <f>H31+J31+L31+N31+P31+R31+T31+V31+X31+Z31+AB31+AD31</f>
        <v>8463.4169999999995</v>
      </c>
      <c r="D31" s="572">
        <f>E31</f>
        <v>8264.8204000000005</v>
      </c>
      <c r="E31" s="572">
        <f>SUM(I31,K31,M31,O31,Q31,S31,U31,W31,Y31,AA31,AC31,AE31)</f>
        <v>8264.8204000000005</v>
      </c>
      <c r="F31" s="572">
        <f>IFERROR(E31/B31*100,0)</f>
        <v>97.653470223669714</v>
      </c>
      <c r="G31" s="572">
        <f>IFERROR(E31/C31*100,0)</f>
        <v>97.653470223669714</v>
      </c>
      <c r="H31" s="573">
        <v>1087.3399999999999</v>
      </c>
      <c r="I31" s="573">
        <v>495.827</v>
      </c>
      <c r="J31" s="573">
        <v>694.34</v>
      </c>
      <c r="K31" s="573">
        <v>688.42200000000003</v>
      </c>
      <c r="L31" s="573">
        <v>551.69000000000005</v>
      </c>
      <c r="M31" s="573">
        <v>637.58000000000004</v>
      </c>
      <c r="N31" s="573">
        <v>812.17</v>
      </c>
      <c r="O31" s="573">
        <v>561.86199999999997</v>
      </c>
      <c r="P31" s="573">
        <v>630.36</v>
      </c>
      <c r="Q31" s="573">
        <v>697.91499999999996</v>
      </c>
      <c r="R31" s="573">
        <v>551.69000000000005</v>
      </c>
      <c r="S31" s="573">
        <v>901.27</v>
      </c>
      <c r="T31" s="573">
        <v>812.173</v>
      </c>
      <c r="U31" s="573">
        <v>701.524</v>
      </c>
      <c r="V31" s="573">
        <v>705.87400000000002</v>
      </c>
      <c r="W31" s="573">
        <v>633.64300000000003</v>
      </c>
      <c r="X31" s="573">
        <v>551.39</v>
      </c>
      <c r="Y31" s="573">
        <v>525.76400000000001</v>
      </c>
      <c r="Z31" s="573">
        <v>812.27</v>
      </c>
      <c r="AA31" s="573">
        <v>516.66999999999996</v>
      </c>
      <c r="AB31" s="573">
        <v>630.55999999999995</v>
      </c>
      <c r="AC31" s="573">
        <v>622.6934</v>
      </c>
      <c r="AD31" s="573">
        <v>623.55999999999995</v>
      </c>
      <c r="AE31" s="573">
        <v>1281.6500000000001</v>
      </c>
      <c r="AF31" s="434"/>
      <c r="AG31" s="667"/>
    </row>
    <row r="32" spans="1:33" ht="21" x14ac:dyDescent="0.35">
      <c r="A32" s="944" t="s">
        <v>341</v>
      </c>
      <c r="B32" s="945"/>
      <c r="C32" s="945"/>
      <c r="D32" s="945"/>
      <c r="E32" s="945"/>
      <c r="F32" s="438"/>
      <c r="G32" s="438"/>
      <c r="H32" s="945"/>
      <c r="I32" s="945"/>
      <c r="J32" s="945"/>
      <c r="K32" s="945"/>
      <c r="L32" s="945"/>
      <c r="M32" s="945"/>
      <c r="N32" s="945"/>
      <c r="O32" s="945"/>
      <c r="P32" s="945"/>
      <c r="Q32" s="945"/>
      <c r="R32" s="945"/>
      <c r="S32" s="945"/>
      <c r="T32" s="945"/>
      <c r="U32" s="945"/>
      <c r="V32" s="945"/>
      <c r="W32" s="945"/>
      <c r="X32" s="945"/>
      <c r="Y32" s="945"/>
      <c r="Z32" s="945"/>
      <c r="AA32" s="945"/>
      <c r="AB32" s="945"/>
      <c r="AC32" s="945"/>
      <c r="AD32" s="945"/>
      <c r="AE32" s="945"/>
      <c r="AF32" s="836"/>
      <c r="AG32" s="667"/>
    </row>
    <row r="33" spans="1:33" s="431" customFormat="1" ht="21" x14ac:dyDescent="0.35">
      <c r="A33" s="568" t="s">
        <v>31</v>
      </c>
      <c r="B33" s="946">
        <f>B34+B35</f>
        <v>56056.130999999994</v>
      </c>
      <c r="C33" s="946">
        <f t="shared" ref="C33:E33" si="11">C34+C35</f>
        <v>56056.130999999994</v>
      </c>
      <c r="D33" s="946">
        <f t="shared" si="11"/>
        <v>55169.459400000007</v>
      </c>
      <c r="E33" s="946">
        <f t="shared" si="11"/>
        <v>55169.459400000007</v>
      </c>
      <c r="F33" s="441">
        <f>IFERROR(E33/B33*100,0)</f>
        <v>98.418243314009686</v>
      </c>
      <c r="G33" s="441">
        <f>IFERROR(E33/C33*100,0)</f>
        <v>98.418243314009686</v>
      </c>
      <c r="H33" s="947">
        <f t="shared" ref="H33:AE33" si="12">SUM(H35:H35)</f>
        <v>7237.6100000000006</v>
      </c>
      <c r="I33" s="947">
        <f t="shared" si="12"/>
        <v>4175.2790000000005</v>
      </c>
      <c r="J33" s="947">
        <f t="shared" si="12"/>
        <v>4703.875</v>
      </c>
      <c r="K33" s="947">
        <f t="shared" si="12"/>
        <v>5381.9040000000005</v>
      </c>
      <c r="L33" s="947">
        <f t="shared" si="12"/>
        <v>3760.3250000000003</v>
      </c>
      <c r="M33" s="947">
        <f t="shared" si="12"/>
        <v>3679.2779999999998</v>
      </c>
      <c r="N33" s="947">
        <f t="shared" si="12"/>
        <v>5461.0079999999998</v>
      </c>
      <c r="O33" s="947">
        <f t="shared" si="12"/>
        <v>3373.585</v>
      </c>
      <c r="P33" s="947">
        <f t="shared" si="12"/>
        <v>4261.3270000000002</v>
      </c>
      <c r="Q33" s="947">
        <f t="shared" si="12"/>
        <v>3712.3330000000001</v>
      </c>
      <c r="R33" s="947">
        <f t="shared" si="12"/>
        <v>3739.886</v>
      </c>
      <c r="S33" s="947">
        <f t="shared" si="12"/>
        <v>5124.3719999999994</v>
      </c>
      <c r="T33" s="947">
        <f t="shared" si="12"/>
        <v>5475.5149999999994</v>
      </c>
      <c r="U33" s="947">
        <f t="shared" si="12"/>
        <v>5278.1549999999997</v>
      </c>
      <c r="V33" s="947">
        <f t="shared" si="12"/>
        <v>4751.7479999999996</v>
      </c>
      <c r="W33" s="947">
        <f t="shared" si="12"/>
        <v>4999.4790000000003</v>
      </c>
      <c r="X33" s="947">
        <f t="shared" si="12"/>
        <v>3849.056</v>
      </c>
      <c r="Y33" s="947">
        <f t="shared" si="12"/>
        <v>3475.502</v>
      </c>
      <c r="Z33" s="947">
        <f t="shared" si="12"/>
        <v>5511.0489999999991</v>
      </c>
      <c r="AA33" s="947">
        <f t="shared" si="12"/>
        <v>3583.779</v>
      </c>
      <c r="AB33" s="947">
        <f t="shared" si="12"/>
        <v>4263.6450000000004</v>
      </c>
      <c r="AC33" s="947">
        <f t="shared" si="12"/>
        <v>3464.1783999999998</v>
      </c>
      <c r="AD33" s="947">
        <f t="shared" si="12"/>
        <v>2669.7539999999999</v>
      </c>
      <c r="AE33" s="947">
        <f t="shared" si="12"/>
        <v>8550.280999999999</v>
      </c>
      <c r="AF33" s="435"/>
      <c r="AG33" s="667"/>
    </row>
    <row r="34" spans="1:33" s="431" customFormat="1" ht="21" x14ac:dyDescent="0.35">
      <c r="A34" s="571" t="s">
        <v>32</v>
      </c>
      <c r="B34" s="443">
        <f>B22+B26+B30</f>
        <v>371.33300000000003</v>
      </c>
      <c r="C34" s="443">
        <f>H34+J34+L34+N34+P34+R34+T34+V34+X34+Z34+AB34+AD34</f>
        <v>371.33300000000003</v>
      </c>
      <c r="D34" s="443">
        <f t="shared" ref="D34:AE34" si="13">D22+D26+D30</f>
        <v>371.334</v>
      </c>
      <c r="E34" s="443">
        <f t="shared" si="13"/>
        <v>371.334</v>
      </c>
      <c r="F34" s="438">
        <f>IFERROR(E34/B34*100,0)</f>
        <v>100.0002693000622</v>
      </c>
      <c r="G34" s="438">
        <f>IFERROR(E34/C34*100,0)</f>
        <v>100.0002693000622</v>
      </c>
      <c r="H34" s="443">
        <f t="shared" si="13"/>
        <v>0</v>
      </c>
      <c r="I34" s="443">
        <f t="shared" si="13"/>
        <v>0</v>
      </c>
      <c r="J34" s="443">
        <f t="shared" si="13"/>
        <v>0</v>
      </c>
      <c r="K34" s="443">
        <f t="shared" si="13"/>
        <v>0</v>
      </c>
      <c r="L34" s="443">
        <f t="shared" si="13"/>
        <v>0</v>
      </c>
      <c r="M34" s="443">
        <f t="shared" si="13"/>
        <v>0</v>
      </c>
      <c r="N34" s="443">
        <f t="shared" si="13"/>
        <v>0</v>
      </c>
      <c r="O34" s="443">
        <f t="shared" si="13"/>
        <v>0</v>
      </c>
      <c r="P34" s="443">
        <f t="shared" si="13"/>
        <v>371.33300000000003</v>
      </c>
      <c r="Q34" s="443">
        <f t="shared" si="13"/>
        <v>371.334</v>
      </c>
      <c r="R34" s="443">
        <f t="shared" si="13"/>
        <v>0</v>
      </c>
      <c r="S34" s="443">
        <f t="shared" si="13"/>
        <v>0</v>
      </c>
      <c r="T34" s="443">
        <f t="shared" si="13"/>
        <v>0</v>
      </c>
      <c r="U34" s="443">
        <f t="shared" si="13"/>
        <v>0</v>
      </c>
      <c r="V34" s="443">
        <f t="shared" si="13"/>
        <v>0</v>
      </c>
      <c r="W34" s="443">
        <f t="shared" si="13"/>
        <v>0</v>
      </c>
      <c r="X34" s="443">
        <f t="shared" si="13"/>
        <v>0</v>
      </c>
      <c r="Y34" s="443">
        <f t="shared" si="13"/>
        <v>0</v>
      </c>
      <c r="Z34" s="443">
        <f t="shared" si="13"/>
        <v>0</v>
      </c>
      <c r="AA34" s="443">
        <f t="shared" si="13"/>
        <v>0</v>
      </c>
      <c r="AB34" s="443">
        <f t="shared" si="13"/>
        <v>0</v>
      </c>
      <c r="AC34" s="443">
        <f t="shared" si="13"/>
        <v>0</v>
      </c>
      <c r="AD34" s="443">
        <f t="shared" si="13"/>
        <v>0</v>
      </c>
      <c r="AE34" s="443">
        <f t="shared" si="13"/>
        <v>0</v>
      </c>
      <c r="AF34" s="435"/>
      <c r="AG34" s="667"/>
    </row>
    <row r="35" spans="1:33" ht="21" x14ac:dyDescent="0.35">
      <c r="A35" s="442" t="s">
        <v>33</v>
      </c>
      <c r="B35" s="443">
        <f>B16+B19+B23+B27+B31</f>
        <v>55684.797999999995</v>
      </c>
      <c r="C35" s="443">
        <f>H35+J35+L35+N35+P35+R35+T35+V35+X35+Z35+AB35+AD35</f>
        <v>55684.797999999995</v>
      </c>
      <c r="D35" s="443">
        <f>D16+D19+D23+D27+D31</f>
        <v>54798.125400000004</v>
      </c>
      <c r="E35" s="443">
        <f>E16+E19+E23+E27+E31</f>
        <v>54798.125400000004</v>
      </c>
      <c r="F35" s="443">
        <f>IFERROR(E35/B35*100,0)</f>
        <v>98.407693604276005</v>
      </c>
      <c r="G35" s="443">
        <f>IFERROR(E35/C35*100,0)</f>
        <v>98.407693604276005</v>
      </c>
      <c r="H35" s="480">
        <f t="shared" ref="H35:AE35" si="14">H16+H19+H23+H27+H31</f>
        <v>7237.6100000000006</v>
      </c>
      <c r="I35" s="480">
        <f t="shared" si="14"/>
        <v>4175.2790000000005</v>
      </c>
      <c r="J35" s="480">
        <f t="shared" si="14"/>
        <v>4703.875</v>
      </c>
      <c r="K35" s="480">
        <f t="shared" si="14"/>
        <v>5381.9040000000005</v>
      </c>
      <c r="L35" s="480">
        <f t="shared" si="14"/>
        <v>3760.3250000000003</v>
      </c>
      <c r="M35" s="480">
        <f t="shared" si="14"/>
        <v>3679.2779999999998</v>
      </c>
      <c r="N35" s="480">
        <f t="shared" si="14"/>
        <v>5461.0079999999998</v>
      </c>
      <c r="O35" s="480">
        <f t="shared" si="14"/>
        <v>3373.585</v>
      </c>
      <c r="P35" s="480">
        <f t="shared" si="14"/>
        <v>4261.3270000000002</v>
      </c>
      <c r="Q35" s="480">
        <f t="shared" si="14"/>
        <v>3712.3330000000001</v>
      </c>
      <c r="R35" s="480">
        <f t="shared" si="14"/>
        <v>3739.886</v>
      </c>
      <c r="S35" s="480">
        <f t="shared" si="14"/>
        <v>5124.3719999999994</v>
      </c>
      <c r="T35" s="480">
        <f t="shared" si="14"/>
        <v>5475.5149999999994</v>
      </c>
      <c r="U35" s="480">
        <f t="shared" si="14"/>
        <v>5278.1549999999997</v>
      </c>
      <c r="V35" s="480">
        <f t="shared" si="14"/>
        <v>4751.7479999999996</v>
      </c>
      <c r="W35" s="480">
        <f t="shared" si="14"/>
        <v>4999.4790000000003</v>
      </c>
      <c r="X35" s="480">
        <f t="shared" si="14"/>
        <v>3849.056</v>
      </c>
      <c r="Y35" s="480">
        <f t="shared" si="14"/>
        <v>3475.502</v>
      </c>
      <c r="Z35" s="480">
        <f t="shared" si="14"/>
        <v>5511.0489999999991</v>
      </c>
      <c r="AA35" s="480">
        <f t="shared" si="14"/>
        <v>3583.779</v>
      </c>
      <c r="AB35" s="480">
        <f t="shared" si="14"/>
        <v>4263.6450000000004</v>
      </c>
      <c r="AC35" s="480">
        <f t="shared" si="14"/>
        <v>3464.1783999999998</v>
      </c>
      <c r="AD35" s="480">
        <f t="shared" si="14"/>
        <v>2669.7539999999999</v>
      </c>
      <c r="AE35" s="480">
        <f t="shared" si="14"/>
        <v>8550.280999999999</v>
      </c>
      <c r="AF35" s="434"/>
      <c r="AG35" s="667"/>
    </row>
    <row r="36" spans="1:33" ht="21" x14ac:dyDescent="0.35">
      <c r="A36" s="1201" t="s">
        <v>342</v>
      </c>
      <c r="B36" s="1202"/>
      <c r="C36" s="1202"/>
      <c r="D36" s="1202"/>
      <c r="E36" s="1202"/>
      <c r="F36" s="1202"/>
      <c r="G36" s="1202"/>
      <c r="H36" s="1202"/>
      <c r="I36" s="1202"/>
      <c r="J36" s="1202"/>
      <c r="K36" s="1202"/>
      <c r="L36" s="1202"/>
      <c r="M36" s="1202"/>
      <c r="N36" s="1202"/>
      <c r="O36" s="1202"/>
      <c r="P36" s="1202"/>
      <c r="Q36" s="1202"/>
      <c r="R36" s="1202"/>
      <c r="S36" s="1202"/>
      <c r="T36" s="1202"/>
      <c r="U36" s="1202"/>
      <c r="V36" s="1202"/>
      <c r="W36" s="1202"/>
      <c r="X36" s="1202"/>
      <c r="Y36" s="1202"/>
      <c r="Z36" s="1202"/>
      <c r="AA36" s="1202"/>
      <c r="AB36" s="1202"/>
      <c r="AC36" s="1202"/>
      <c r="AD36" s="1202"/>
      <c r="AE36" s="1203"/>
      <c r="AF36" s="444"/>
      <c r="AG36" s="667"/>
    </row>
    <row r="37" spans="1:33" ht="21" x14ac:dyDescent="0.35">
      <c r="A37" s="445" t="s">
        <v>167</v>
      </c>
      <c r="B37" s="224"/>
      <c r="C37" s="446"/>
      <c r="D37" s="446"/>
      <c r="E37" s="224"/>
      <c r="F37" s="225"/>
      <c r="G37" s="225"/>
      <c r="H37" s="447"/>
      <c r="I37" s="447"/>
      <c r="J37" s="447"/>
      <c r="K37" s="447"/>
      <c r="L37" s="447"/>
      <c r="M37" s="447"/>
      <c r="N37" s="447"/>
      <c r="O37" s="447"/>
      <c r="P37" s="447"/>
      <c r="Q37" s="447"/>
      <c r="R37" s="447"/>
      <c r="S37" s="447"/>
      <c r="T37" s="447"/>
      <c r="U37" s="447"/>
      <c r="V37" s="447"/>
      <c r="W37" s="447"/>
      <c r="X37" s="447"/>
      <c r="Y37" s="447"/>
      <c r="Z37" s="447"/>
      <c r="AA37" s="447"/>
      <c r="AB37" s="447"/>
      <c r="AC37" s="447"/>
      <c r="AD37" s="447"/>
      <c r="AE37" s="448"/>
      <c r="AF37" s="449"/>
      <c r="AG37" s="667"/>
    </row>
    <row r="38" spans="1:33" ht="21" x14ac:dyDescent="0.35">
      <c r="A38" s="1204" t="s">
        <v>343</v>
      </c>
      <c r="B38" s="1205"/>
      <c r="C38" s="1205"/>
      <c r="D38" s="1205"/>
      <c r="E38" s="1205"/>
      <c r="F38" s="1205"/>
      <c r="G38" s="1205"/>
      <c r="H38" s="1205"/>
      <c r="I38" s="1205"/>
      <c r="J38" s="1205"/>
      <c r="K38" s="1205"/>
      <c r="L38" s="1205"/>
      <c r="M38" s="1205"/>
      <c r="N38" s="1205"/>
      <c r="O38" s="1205"/>
      <c r="P38" s="1205"/>
      <c r="Q38" s="1205"/>
      <c r="R38" s="1205"/>
      <c r="S38" s="1205"/>
      <c r="T38" s="1205"/>
      <c r="U38" s="1205"/>
      <c r="V38" s="1205"/>
      <c r="W38" s="1205"/>
      <c r="X38" s="1205"/>
      <c r="Y38" s="1205"/>
      <c r="Z38" s="1205"/>
      <c r="AA38" s="1205"/>
      <c r="AB38" s="1205"/>
      <c r="AC38" s="1205"/>
      <c r="AD38" s="1205"/>
      <c r="AE38" s="1206"/>
      <c r="AF38" s="434"/>
      <c r="AG38" s="667"/>
    </row>
    <row r="39" spans="1:33" s="431" customFormat="1" ht="21" x14ac:dyDescent="0.35">
      <c r="A39" s="428" t="s">
        <v>31</v>
      </c>
      <c r="B39" s="569">
        <f>B40+B41</f>
        <v>342.11</v>
      </c>
      <c r="C39" s="569">
        <f>C40+C41</f>
        <v>342.11</v>
      </c>
      <c r="D39" s="429">
        <f>D40+D41</f>
        <v>278.28999999999996</v>
      </c>
      <c r="E39" s="429">
        <f>E40+E41</f>
        <v>278.28999999999996</v>
      </c>
      <c r="F39" s="429">
        <f>IFERROR(E39/B39*100,0)</f>
        <v>81.345181374411723</v>
      </c>
      <c r="G39" s="429">
        <f>IFERROR(E39/C39*100,0)</f>
        <v>81.345181374411723</v>
      </c>
      <c r="H39" s="477">
        <f>H40+H41</f>
        <v>0</v>
      </c>
      <c r="I39" s="477">
        <f t="shared" ref="I39:AE39" si="15">I40+I41</f>
        <v>0</v>
      </c>
      <c r="J39" s="477">
        <f t="shared" si="15"/>
        <v>0</v>
      </c>
      <c r="K39" s="477">
        <f t="shared" si="15"/>
        <v>0</v>
      </c>
      <c r="L39" s="477">
        <f t="shared" si="15"/>
        <v>0</v>
      </c>
      <c r="M39" s="477">
        <f t="shared" si="15"/>
        <v>0</v>
      </c>
      <c r="N39" s="477">
        <f t="shared" si="15"/>
        <v>0</v>
      </c>
      <c r="O39" s="477">
        <f t="shared" si="15"/>
        <v>0</v>
      </c>
      <c r="P39" s="477">
        <f t="shared" si="15"/>
        <v>0</v>
      </c>
      <c r="Q39" s="477">
        <f t="shared" si="15"/>
        <v>0</v>
      </c>
      <c r="R39" s="477">
        <f t="shared" si="15"/>
        <v>292.11</v>
      </c>
      <c r="S39" s="477">
        <f t="shared" si="15"/>
        <v>292.11</v>
      </c>
      <c r="T39" s="477">
        <f t="shared" si="15"/>
        <v>0</v>
      </c>
      <c r="U39" s="477">
        <f t="shared" si="15"/>
        <v>0</v>
      </c>
      <c r="V39" s="477">
        <f t="shared" si="15"/>
        <v>50</v>
      </c>
      <c r="W39" s="477">
        <f t="shared" si="15"/>
        <v>50</v>
      </c>
      <c r="X39" s="477">
        <f t="shared" si="15"/>
        <v>0</v>
      </c>
      <c r="Y39" s="477">
        <f t="shared" si="15"/>
        <v>0</v>
      </c>
      <c r="Z39" s="477">
        <f t="shared" si="15"/>
        <v>0</v>
      </c>
      <c r="AA39" s="477">
        <f t="shared" si="15"/>
        <v>0</v>
      </c>
      <c r="AB39" s="477">
        <f t="shared" si="15"/>
        <v>0</v>
      </c>
      <c r="AC39" s="975">
        <f t="shared" si="15"/>
        <v>-63.82</v>
      </c>
      <c r="AD39" s="477">
        <f t="shared" si="15"/>
        <v>0</v>
      </c>
      <c r="AE39" s="477">
        <f t="shared" si="15"/>
        <v>0</v>
      </c>
      <c r="AF39" s="450"/>
      <c r="AG39" s="667"/>
    </row>
    <row r="40" spans="1:33" ht="21" x14ac:dyDescent="0.35">
      <c r="A40" s="432" t="s">
        <v>32</v>
      </c>
      <c r="B40" s="433">
        <f t="shared" ref="B40:E42" si="16">B45</f>
        <v>325</v>
      </c>
      <c r="C40" s="433">
        <f t="shared" si="16"/>
        <v>325</v>
      </c>
      <c r="D40" s="433">
        <f t="shared" si="16"/>
        <v>264.37299999999999</v>
      </c>
      <c r="E40" s="433">
        <f t="shared" si="16"/>
        <v>264.37299999999999</v>
      </c>
      <c r="F40" s="443">
        <f>IFERROR(E40/B40*100,0)</f>
        <v>81.345538461538453</v>
      </c>
      <c r="G40" s="443">
        <f>IFERROR(E40/C40*100,0)</f>
        <v>81.345538461538453</v>
      </c>
      <c r="H40" s="478">
        <f t="shared" ref="H40:AE42" si="17">H45</f>
        <v>0</v>
      </c>
      <c r="I40" s="478">
        <f t="shared" si="17"/>
        <v>0</v>
      </c>
      <c r="J40" s="478">
        <f t="shared" si="17"/>
        <v>0</v>
      </c>
      <c r="K40" s="478">
        <f t="shared" si="17"/>
        <v>0</v>
      </c>
      <c r="L40" s="478">
        <f t="shared" si="17"/>
        <v>0</v>
      </c>
      <c r="M40" s="478">
        <f t="shared" si="17"/>
        <v>0</v>
      </c>
      <c r="N40" s="478">
        <f t="shared" si="17"/>
        <v>0</v>
      </c>
      <c r="O40" s="478">
        <f t="shared" si="17"/>
        <v>0</v>
      </c>
      <c r="P40" s="478">
        <f t="shared" si="17"/>
        <v>0</v>
      </c>
      <c r="Q40" s="478">
        <f t="shared" si="17"/>
        <v>0</v>
      </c>
      <c r="R40" s="478">
        <f t="shared" si="17"/>
        <v>277.5</v>
      </c>
      <c r="S40" s="478">
        <f t="shared" si="17"/>
        <v>277.5</v>
      </c>
      <c r="T40" s="478">
        <f t="shared" si="17"/>
        <v>0</v>
      </c>
      <c r="U40" s="478">
        <f t="shared" si="17"/>
        <v>0</v>
      </c>
      <c r="V40" s="478">
        <f t="shared" si="17"/>
        <v>47.5</v>
      </c>
      <c r="W40" s="478">
        <f t="shared" si="17"/>
        <v>47.5</v>
      </c>
      <c r="X40" s="478">
        <f t="shared" si="17"/>
        <v>0</v>
      </c>
      <c r="Y40" s="478">
        <f t="shared" si="17"/>
        <v>0</v>
      </c>
      <c r="Z40" s="478">
        <f t="shared" si="17"/>
        <v>0</v>
      </c>
      <c r="AA40" s="478">
        <f t="shared" si="17"/>
        <v>0</v>
      </c>
      <c r="AB40" s="478">
        <f t="shared" si="17"/>
        <v>0</v>
      </c>
      <c r="AC40" s="976">
        <f t="shared" si="17"/>
        <v>-60.627000000000002</v>
      </c>
      <c r="AD40" s="478">
        <f t="shared" si="17"/>
        <v>0</v>
      </c>
      <c r="AE40" s="478">
        <f t="shared" si="17"/>
        <v>0</v>
      </c>
      <c r="AF40" s="434"/>
      <c r="AG40" s="667"/>
    </row>
    <row r="41" spans="1:33" ht="21" x14ac:dyDescent="0.35">
      <c r="A41" s="432" t="s">
        <v>33</v>
      </c>
      <c r="B41" s="433">
        <f t="shared" si="16"/>
        <v>17.11</v>
      </c>
      <c r="C41" s="433">
        <f>C46</f>
        <v>17.11</v>
      </c>
      <c r="D41" s="433">
        <f t="shared" si="16"/>
        <v>13.917</v>
      </c>
      <c r="E41" s="433">
        <f t="shared" si="16"/>
        <v>13.917</v>
      </c>
      <c r="F41" s="443">
        <f>IFERROR(E41/B41*100,0)</f>
        <v>81.33839859731151</v>
      </c>
      <c r="G41" s="443">
        <f>IFERROR(E41/C41*100,0)</f>
        <v>81.33839859731151</v>
      </c>
      <c r="H41" s="478">
        <f t="shared" si="17"/>
        <v>0</v>
      </c>
      <c r="I41" s="478">
        <f t="shared" si="17"/>
        <v>0</v>
      </c>
      <c r="J41" s="478">
        <f t="shared" si="17"/>
        <v>0</v>
      </c>
      <c r="K41" s="478">
        <f t="shared" si="17"/>
        <v>0</v>
      </c>
      <c r="L41" s="478">
        <f t="shared" si="17"/>
        <v>0</v>
      </c>
      <c r="M41" s="478">
        <f t="shared" si="17"/>
        <v>0</v>
      </c>
      <c r="N41" s="478">
        <f t="shared" si="17"/>
        <v>0</v>
      </c>
      <c r="O41" s="478">
        <f t="shared" si="17"/>
        <v>0</v>
      </c>
      <c r="P41" s="478">
        <f t="shared" si="17"/>
        <v>0</v>
      </c>
      <c r="Q41" s="478">
        <f t="shared" si="17"/>
        <v>0</v>
      </c>
      <c r="R41" s="478">
        <f t="shared" si="17"/>
        <v>14.61</v>
      </c>
      <c r="S41" s="478">
        <f t="shared" si="17"/>
        <v>14.61</v>
      </c>
      <c r="T41" s="478">
        <f t="shared" si="17"/>
        <v>0</v>
      </c>
      <c r="U41" s="478">
        <f t="shared" si="17"/>
        <v>0</v>
      </c>
      <c r="V41" s="478">
        <f t="shared" si="17"/>
        <v>2.5</v>
      </c>
      <c r="W41" s="478">
        <f t="shared" si="17"/>
        <v>2.5</v>
      </c>
      <c r="X41" s="478">
        <f t="shared" si="17"/>
        <v>0</v>
      </c>
      <c r="Y41" s="478">
        <f t="shared" si="17"/>
        <v>0</v>
      </c>
      <c r="Z41" s="478">
        <f t="shared" si="17"/>
        <v>0</v>
      </c>
      <c r="AA41" s="478">
        <f t="shared" si="17"/>
        <v>0</v>
      </c>
      <c r="AB41" s="478">
        <f t="shared" si="17"/>
        <v>0</v>
      </c>
      <c r="AC41" s="976">
        <f t="shared" si="17"/>
        <v>-3.1930000000000001</v>
      </c>
      <c r="AD41" s="478">
        <f t="shared" si="17"/>
        <v>0</v>
      </c>
      <c r="AE41" s="478">
        <f t="shared" si="17"/>
        <v>0</v>
      </c>
      <c r="AF41" s="434"/>
      <c r="AG41" s="667"/>
    </row>
    <row r="42" spans="1:33" ht="37.5" x14ac:dyDescent="0.35">
      <c r="A42" s="451" t="s">
        <v>174</v>
      </c>
      <c r="B42" s="433">
        <f t="shared" si="16"/>
        <v>17.11</v>
      </c>
      <c r="C42" s="433">
        <f t="shared" si="16"/>
        <v>17.11</v>
      </c>
      <c r="D42" s="433">
        <f t="shared" si="16"/>
        <v>13.917</v>
      </c>
      <c r="E42" s="433">
        <f t="shared" si="16"/>
        <v>13.917</v>
      </c>
      <c r="F42" s="443">
        <f>IFERROR(E42/B42*100,0)</f>
        <v>81.33839859731151</v>
      </c>
      <c r="G42" s="443">
        <f>IFERROR(E42/C42*100,0)</f>
        <v>81.33839859731151</v>
      </c>
      <c r="H42" s="478">
        <f t="shared" si="17"/>
        <v>0</v>
      </c>
      <c r="I42" s="478">
        <f t="shared" si="17"/>
        <v>0</v>
      </c>
      <c r="J42" s="478">
        <f t="shared" si="17"/>
        <v>0</v>
      </c>
      <c r="K42" s="478">
        <f t="shared" si="17"/>
        <v>0</v>
      </c>
      <c r="L42" s="478">
        <f t="shared" si="17"/>
        <v>0</v>
      </c>
      <c r="M42" s="478">
        <f t="shared" si="17"/>
        <v>0</v>
      </c>
      <c r="N42" s="478">
        <f t="shared" si="17"/>
        <v>0</v>
      </c>
      <c r="O42" s="478">
        <f t="shared" si="17"/>
        <v>0</v>
      </c>
      <c r="P42" s="478">
        <f t="shared" si="17"/>
        <v>0</v>
      </c>
      <c r="Q42" s="478">
        <f t="shared" si="17"/>
        <v>0</v>
      </c>
      <c r="R42" s="478">
        <f t="shared" si="17"/>
        <v>14.61</v>
      </c>
      <c r="S42" s="478">
        <f t="shared" si="17"/>
        <v>14.61</v>
      </c>
      <c r="T42" s="478">
        <f t="shared" si="17"/>
        <v>0</v>
      </c>
      <c r="U42" s="478">
        <f t="shared" si="17"/>
        <v>0</v>
      </c>
      <c r="V42" s="478">
        <f t="shared" si="17"/>
        <v>2.5</v>
      </c>
      <c r="W42" s="478">
        <f t="shared" si="17"/>
        <v>2.5</v>
      </c>
      <c r="X42" s="478">
        <f t="shared" si="17"/>
        <v>0</v>
      </c>
      <c r="Y42" s="478">
        <f t="shared" si="17"/>
        <v>0</v>
      </c>
      <c r="Z42" s="478">
        <f t="shared" si="17"/>
        <v>0</v>
      </c>
      <c r="AA42" s="478">
        <f t="shared" si="17"/>
        <v>0</v>
      </c>
      <c r="AB42" s="478">
        <f t="shared" si="17"/>
        <v>0</v>
      </c>
      <c r="AC42" s="976">
        <f t="shared" si="17"/>
        <v>-3.1930000000000001</v>
      </c>
      <c r="AD42" s="478">
        <f t="shared" si="17"/>
        <v>0</v>
      </c>
      <c r="AE42" s="478">
        <f t="shared" si="17"/>
        <v>0</v>
      </c>
      <c r="AF42" s="434"/>
      <c r="AG42" s="667"/>
    </row>
    <row r="43" spans="1:33" ht="21" x14ac:dyDescent="0.35">
      <c r="A43" s="1195" t="s">
        <v>344</v>
      </c>
      <c r="B43" s="1196"/>
      <c r="C43" s="1196"/>
      <c r="D43" s="1196"/>
      <c r="E43" s="1196"/>
      <c r="F43" s="1196"/>
      <c r="G43" s="1196"/>
      <c r="H43" s="1196"/>
      <c r="I43" s="1196"/>
      <c r="J43" s="1196"/>
      <c r="K43" s="1196"/>
      <c r="L43" s="1196"/>
      <c r="M43" s="1196"/>
      <c r="N43" s="1196"/>
      <c r="O43" s="1196"/>
      <c r="P43" s="1196"/>
      <c r="Q43" s="1196"/>
      <c r="R43" s="1196"/>
      <c r="S43" s="1196"/>
      <c r="T43" s="1196"/>
      <c r="U43" s="1196"/>
      <c r="V43" s="1196"/>
      <c r="W43" s="1196"/>
      <c r="X43" s="1196"/>
      <c r="Y43" s="1196"/>
      <c r="Z43" s="1196"/>
      <c r="AA43" s="1196"/>
      <c r="AB43" s="1196"/>
      <c r="AC43" s="1196"/>
      <c r="AD43" s="1196"/>
      <c r="AE43" s="1197"/>
      <c r="AF43" s="452"/>
      <c r="AG43" s="667"/>
    </row>
    <row r="44" spans="1:33" s="431" customFormat="1" ht="21" x14ac:dyDescent="0.35">
      <c r="A44" s="428" t="s">
        <v>31</v>
      </c>
      <c r="B44" s="429">
        <f>B45+B46</f>
        <v>342.11</v>
      </c>
      <c r="C44" s="429">
        <f>C45+C46</f>
        <v>342.11</v>
      </c>
      <c r="D44" s="429">
        <f>D45+D46</f>
        <v>278.28999999999996</v>
      </c>
      <c r="E44" s="429">
        <f>E45+E46</f>
        <v>278.28999999999996</v>
      </c>
      <c r="F44" s="429">
        <f>IFERROR(E44/B44*100,0)</f>
        <v>81.345181374411723</v>
      </c>
      <c r="G44" s="429">
        <f>IFERROR(E44/C44*100,0)</f>
        <v>81.345181374411723</v>
      </c>
      <c r="H44" s="477">
        <f>H45+H46</f>
        <v>0</v>
      </c>
      <c r="I44" s="477">
        <f t="shared" ref="I44:AE44" si="18">I45+I46</f>
        <v>0</v>
      </c>
      <c r="J44" s="477">
        <f t="shared" si="18"/>
        <v>0</v>
      </c>
      <c r="K44" s="477">
        <f t="shared" si="18"/>
        <v>0</v>
      </c>
      <c r="L44" s="477">
        <f t="shared" si="18"/>
        <v>0</v>
      </c>
      <c r="M44" s="477">
        <f t="shared" si="18"/>
        <v>0</v>
      </c>
      <c r="N44" s="477">
        <f t="shared" si="18"/>
        <v>0</v>
      </c>
      <c r="O44" s="477">
        <f t="shared" si="18"/>
        <v>0</v>
      </c>
      <c r="P44" s="477">
        <f t="shared" si="18"/>
        <v>0</v>
      </c>
      <c r="Q44" s="477">
        <f t="shared" si="18"/>
        <v>0</v>
      </c>
      <c r="R44" s="477">
        <f t="shared" si="18"/>
        <v>292.11</v>
      </c>
      <c r="S44" s="477">
        <f t="shared" si="18"/>
        <v>292.11</v>
      </c>
      <c r="T44" s="477">
        <f t="shared" si="18"/>
        <v>0</v>
      </c>
      <c r="U44" s="477">
        <f t="shared" si="18"/>
        <v>0</v>
      </c>
      <c r="V44" s="477">
        <f t="shared" si="18"/>
        <v>50</v>
      </c>
      <c r="W44" s="477">
        <f t="shared" si="18"/>
        <v>50</v>
      </c>
      <c r="X44" s="477">
        <f t="shared" si="18"/>
        <v>0</v>
      </c>
      <c r="Y44" s="477">
        <f t="shared" si="18"/>
        <v>0</v>
      </c>
      <c r="Z44" s="477">
        <f t="shared" si="18"/>
        <v>0</v>
      </c>
      <c r="AA44" s="477">
        <f t="shared" si="18"/>
        <v>0</v>
      </c>
      <c r="AB44" s="477">
        <f t="shared" si="18"/>
        <v>0</v>
      </c>
      <c r="AC44" s="975">
        <f t="shared" si="18"/>
        <v>-63.82</v>
      </c>
      <c r="AD44" s="477">
        <f t="shared" si="18"/>
        <v>0</v>
      </c>
      <c r="AE44" s="477">
        <f t="shared" si="18"/>
        <v>0</v>
      </c>
      <c r="AF44" s="435"/>
      <c r="AG44" s="667"/>
    </row>
    <row r="45" spans="1:33" ht="21" x14ac:dyDescent="0.35">
      <c r="A45" s="432" t="s">
        <v>32</v>
      </c>
      <c r="B45" s="433">
        <f>SUM(H45,J45,L45,N45,P45,R45,T45,V45,X45,Z45,AB45,AD45)</f>
        <v>325</v>
      </c>
      <c r="C45" s="433">
        <f>H45+J45+L45+N45+P45+R45+T45+V45+X45</f>
        <v>325</v>
      </c>
      <c r="D45" s="433">
        <f>E45</f>
        <v>264.37299999999999</v>
      </c>
      <c r="E45" s="433">
        <f>SUM(I45,K45,M45,O45,Q45,S45,U45,W45,Y45,AA45,AC45,AE45)</f>
        <v>264.37299999999999</v>
      </c>
      <c r="F45" s="433">
        <f>IFERROR(E45/B45*100,0)</f>
        <v>81.345538461538453</v>
      </c>
      <c r="G45" s="433">
        <f>IFERROR(E45/C45*100,0)</f>
        <v>81.345538461538453</v>
      </c>
      <c r="H45" s="478">
        <f>H50+H55</f>
        <v>0</v>
      </c>
      <c r="I45" s="478">
        <f t="shared" ref="I45:AE47" si="19">I50+I55</f>
        <v>0</v>
      </c>
      <c r="J45" s="478">
        <f t="shared" si="19"/>
        <v>0</v>
      </c>
      <c r="K45" s="478">
        <f t="shared" si="19"/>
        <v>0</v>
      </c>
      <c r="L45" s="478">
        <f t="shared" si="19"/>
        <v>0</v>
      </c>
      <c r="M45" s="478">
        <f t="shared" si="19"/>
        <v>0</v>
      </c>
      <c r="N45" s="478">
        <f t="shared" si="19"/>
        <v>0</v>
      </c>
      <c r="O45" s="478">
        <f t="shared" si="19"/>
        <v>0</v>
      </c>
      <c r="P45" s="478">
        <f t="shared" si="19"/>
        <v>0</v>
      </c>
      <c r="Q45" s="478">
        <f t="shared" si="19"/>
        <v>0</v>
      </c>
      <c r="R45" s="478">
        <f t="shared" si="19"/>
        <v>277.5</v>
      </c>
      <c r="S45" s="478">
        <f t="shared" si="19"/>
        <v>277.5</v>
      </c>
      <c r="T45" s="478">
        <f t="shared" si="19"/>
        <v>0</v>
      </c>
      <c r="U45" s="478">
        <f t="shared" si="19"/>
        <v>0</v>
      </c>
      <c r="V45" s="478">
        <f t="shared" si="19"/>
        <v>47.5</v>
      </c>
      <c r="W45" s="478">
        <f t="shared" si="19"/>
        <v>47.5</v>
      </c>
      <c r="X45" s="478">
        <f t="shared" si="19"/>
        <v>0</v>
      </c>
      <c r="Y45" s="478">
        <f t="shared" si="19"/>
        <v>0</v>
      </c>
      <c r="Z45" s="478">
        <f t="shared" si="19"/>
        <v>0</v>
      </c>
      <c r="AA45" s="478">
        <f t="shared" si="19"/>
        <v>0</v>
      </c>
      <c r="AB45" s="478">
        <f t="shared" si="19"/>
        <v>0</v>
      </c>
      <c r="AC45" s="976">
        <f t="shared" si="19"/>
        <v>-60.627000000000002</v>
      </c>
      <c r="AD45" s="478">
        <f t="shared" si="19"/>
        <v>0</v>
      </c>
      <c r="AE45" s="478">
        <f t="shared" si="19"/>
        <v>0</v>
      </c>
      <c r="AF45" s="434"/>
      <c r="AG45" s="667"/>
    </row>
    <row r="46" spans="1:33" ht="21" x14ac:dyDescent="0.35">
      <c r="A46" s="432" t="s">
        <v>33</v>
      </c>
      <c r="B46" s="433">
        <f>SUM(H46,J46,L46,N46,P46,R46,T46,V46,X46,Z46,AB46,AD46)</f>
        <v>17.11</v>
      </c>
      <c r="C46" s="433">
        <f t="shared" ref="C46" si="20">H46+J46+L46+N46+P46+R46+T46+V46</f>
        <v>17.11</v>
      </c>
      <c r="D46" s="433">
        <f>E46</f>
        <v>13.917</v>
      </c>
      <c r="E46" s="433">
        <f>SUM(I46,K46,M46,O46,Q46,S46,U46,W46,Y46,AA46,AC46,AE46)</f>
        <v>13.917</v>
      </c>
      <c r="F46" s="433">
        <f>IFERROR(E46/B46*100,0)</f>
        <v>81.33839859731151</v>
      </c>
      <c r="G46" s="433">
        <f>IFERROR(E46/C46*100,0)</f>
        <v>81.33839859731151</v>
      </c>
      <c r="H46" s="478">
        <f t="shared" ref="H46:W47" si="21">H51+H56</f>
        <v>0</v>
      </c>
      <c r="I46" s="478">
        <f t="shared" si="21"/>
        <v>0</v>
      </c>
      <c r="J46" s="478">
        <f t="shared" si="21"/>
        <v>0</v>
      </c>
      <c r="K46" s="478">
        <f t="shared" si="21"/>
        <v>0</v>
      </c>
      <c r="L46" s="478">
        <f t="shared" si="21"/>
        <v>0</v>
      </c>
      <c r="M46" s="478">
        <f t="shared" si="21"/>
        <v>0</v>
      </c>
      <c r="N46" s="478">
        <f t="shared" si="21"/>
        <v>0</v>
      </c>
      <c r="O46" s="478">
        <f t="shared" si="21"/>
        <v>0</v>
      </c>
      <c r="P46" s="478">
        <f t="shared" si="21"/>
        <v>0</v>
      </c>
      <c r="Q46" s="478">
        <f t="shared" si="21"/>
        <v>0</v>
      </c>
      <c r="R46" s="478">
        <f t="shared" si="21"/>
        <v>14.61</v>
      </c>
      <c r="S46" s="478">
        <f t="shared" si="21"/>
        <v>14.61</v>
      </c>
      <c r="T46" s="478">
        <f t="shared" si="21"/>
        <v>0</v>
      </c>
      <c r="U46" s="478">
        <f t="shared" si="21"/>
        <v>0</v>
      </c>
      <c r="V46" s="478">
        <f t="shared" si="21"/>
        <v>2.5</v>
      </c>
      <c r="W46" s="478">
        <f t="shared" si="21"/>
        <v>2.5</v>
      </c>
      <c r="X46" s="478">
        <f t="shared" si="19"/>
        <v>0</v>
      </c>
      <c r="Y46" s="478">
        <f t="shared" si="19"/>
        <v>0</v>
      </c>
      <c r="Z46" s="478">
        <f t="shared" si="19"/>
        <v>0</v>
      </c>
      <c r="AA46" s="478">
        <f t="shared" si="19"/>
        <v>0</v>
      </c>
      <c r="AB46" s="478">
        <f t="shared" si="19"/>
        <v>0</v>
      </c>
      <c r="AC46" s="976">
        <f t="shared" si="19"/>
        <v>-3.1930000000000001</v>
      </c>
      <c r="AD46" s="478">
        <f t="shared" si="19"/>
        <v>0</v>
      </c>
      <c r="AE46" s="478">
        <f t="shared" si="19"/>
        <v>0</v>
      </c>
      <c r="AF46" s="434"/>
      <c r="AG46" s="667"/>
    </row>
    <row r="47" spans="1:33" ht="37.5" x14ac:dyDescent="0.35">
      <c r="A47" s="451" t="s">
        <v>174</v>
      </c>
      <c r="B47" s="433">
        <f>SUM(H47,J47,L47,N47,P47,R47,T47,V47,X47,Z47,AB47,AD47)</f>
        <v>17.11</v>
      </c>
      <c r="C47" s="433">
        <f>H47+J47+L47+N47+P47+R47+T47+V47</f>
        <v>17.11</v>
      </c>
      <c r="D47" s="433">
        <f>E47</f>
        <v>13.917</v>
      </c>
      <c r="E47" s="433">
        <f>SUM(I47,K47,M47,O47,Q47,S47,U47,W47,Y47,AA47,AC47,AE47)</f>
        <v>13.917</v>
      </c>
      <c r="F47" s="433">
        <f>IFERROR(E47/B47*100,0)</f>
        <v>81.33839859731151</v>
      </c>
      <c r="G47" s="433">
        <f>IFERROR(E47/C47*100,0)</f>
        <v>81.33839859731151</v>
      </c>
      <c r="H47" s="478">
        <f t="shared" si="21"/>
        <v>0</v>
      </c>
      <c r="I47" s="478">
        <f t="shared" si="21"/>
        <v>0</v>
      </c>
      <c r="J47" s="478">
        <f t="shared" si="21"/>
        <v>0</v>
      </c>
      <c r="K47" s="478">
        <f t="shared" si="21"/>
        <v>0</v>
      </c>
      <c r="L47" s="478">
        <f t="shared" si="21"/>
        <v>0</v>
      </c>
      <c r="M47" s="478">
        <f t="shared" si="21"/>
        <v>0</v>
      </c>
      <c r="N47" s="478">
        <f t="shared" si="21"/>
        <v>0</v>
      </c>
      <c r="O47" s="478">
        <f t="shared" si="21"/>
        <v>0</v>
      </c>
      <c r="P47" s="478">
        <f t="shared" si="21"/>
        <v>0</v>
      </c>
      <c r="Q47" s="478">
        <f t="shared" si="21"/>
        <v>0</v>
      </c>
      <c r="R47" s="478">
        <f t="shared" si="21"/>
        <v>14.61</v>
      </c>
      <c r="S47" s="478">
        <f t="shared" si="21"/>
        <v>14.61</v>
      </c>
      <c r="T47" s="478">
        <f t="shared" si="21"/>
        <v>0</v>
      </c>
      <c r="U47" s="478">
        <f t="shared" si="21"/>
        <v>0</v>
      </c>
      <c r="V47" s="478">
        <f t="shared" si="21"/>
        <v>2.5</v>
      </c>
      <c r="W47" s="478">
        <f t="shared" si="21"/>
        <v>2.5</v>
      </c>
      <c r="X47" s="478">
        <f t="shared" si="19"/>
        <v>0</v>
      </c>
      <c r="Y47" s="478">
        <f t="shared" si="19"/>
        <v>0</v>
      </c>
      <c r="Z47" s="478">
        <f t="shared" si="19"/>
        <v>0</v>
      </c>
      <c r="AA47" s="478">
        <f t="shared" si="19"/>
        <v>0</v>
      </c>
      <c r="AB47" s="478">
        <f t="shared" si="19"/>
        <v>0</v>
      </c>
      <c r="AC47" s="976">
        <f t="shared" si="19"/>
        <v>-3.1930000000000001</v>
      </c>
      <c r="AD47" s="478">
        <f t="shared" si="19"/>
        <v>0</v>
      </c>
      <c r="AE47" s="478">
        <f t="shared" si="19"/>
        <v>0</v>
      </c>
      <c r="AF47" s="434"/>
      <c r="AG47" s="667"/>
    </row>
    <row r="48" spans="1:33" ht="21" x14ac:dyDescent="0.35">
      <c r="A48" s="1195" t="s">
        <v>345</v>
      </c>
      <c r="B48" s="1196"/>
      <c r="C48" s="1196"/>
      <c r="D48" s="1196"/>
      <c r="E48" s="1196"/>
      <c r="F48" s="1196"/>
      <c r="G48" s="1196"/>
      <c r="H48" s="1196"/>
      <c r="I48" s="1196"/>
      <c r="J48" s="1196"/>
      <c r="K48" s="1196"/>
      <c r="L48" s="1196"/>
      <c r="M48" s="1196"/>
      <c r="N48" s="1196"/>
      <c r="O48" s="1196"/>
      <c r="P48" s="1196"/>
      <c r="Q48" s="1196"/>
      <c r="R48" s="1196"/>
      <c r="S48" s="1196"/>
      <c r="T48" s="1196"/>
      <c r="U48" s="1196"/>
      <c r="V48" s="1196"/>
      <c r="W48" s="1196"/>
      <c r="X48" s="1196"/>
      <c r="Y48" s="1196"/>
      <c r="Z48" s="1196"/>
      <c r="AA48" s="1196"/>
      <c r="AB48" s="1196"/>
      <c r="AC48" s="1196"/>
      <c r="AD48" s="1196"/>
      <c r="AE48" s="1197"/>
      <c r="AF48" s="434"/>
      <c r="AG48" s="667"/>
    </row>
    <row r="49" spans="1:33" s="431" customFormat="1" ht="234" customHeight="1" x14ac:dyDescent="0.35">
      <c r="A49" s="428" t="s">
        <v>31</v>
      </c>
      <c r="B49" s="429">
        <f>B50+B51</f>
        <v>342.11</v>
      </c>
      <c r="C49" s="429">
        <f>C50+C51</f>
        <v>342.11</v>
      </c>
      <c r="D49" s="429">
        <f>D50+D51</f>
        <v>278.28999999999996</v>
      </c>
      <c r="E49" s="429">
        <f>E50+E51</f>
        <v>278.28999999999996</v>
      </c>
      <c r="F49" s="429">
        <f>IFERROR(E49/B49*100,0)</f>
        <v>81.345181374411723</v>
      </c>
      <c r="G49" s="429">
        <f>IFERROR(E49/C49*100,0)</f>
        <v>81.345181374411723</v>
      </c>
      <c r="H49" s="477">
        <f>H50+H51</f>
        <v>0</v>
      </c>
      <c r="I49" s="477">
        <f t="shared" ref="I49:AE49" si="22">I50+I51</f>
        <v>0</v>
      </c>
      <c r="J49" s="477">
        <f t="shared" si="22"/>
        <v>0</v>
      </c>
      <c r="K49" s="477">
        <f t="shared" si="22"/>
        <v>0</v>
      </c>
      <c r="L49" s="477">
        <f t="shared" si="22"/>
        <v>0</v>
      </c>
      <c r="M49" s="477">
        <f t="shared" si="22"/>
        <v>0</v>
      </c>
      <c r="N49" s="477">
        <f t="shared" si="22"/>
        <v>0</v>
      </c>
      <c r="O49" s="477">
        <f t="shared" si="22"/>
        <v>0</v>
      </c>
      <c r="P49" s="477">
        <f t="shared" si="22"/>
        <v>0</v>
      </c>
      <c r="Q49" s="477">
        <f t="shared" si="22"/>
        <v>0</v>
      </c>
      <c r="R49" s="477">
        <f t="shared" si="22"/>
        <v>292.11</v>
      </c>
      <c r="S49" s="477">
        <f t="shared" si="22"/>
        <v>292.11</v>
      </c>
      <c r="T49" s="477">
        <f t="shared" si="22"/>
        <v>0</v>
      </c>
      <c r="U49" s="477">
        <f t="shared" si="22"/>
        <v>0</v>
      </c>
      <c r="V49" s="477">
        <f t="shared" si="22"/>
        <v>50</v>
      </c>
      <c r="W49" s="477">
        <f t="shared" si="22"/>
        <v>50</v>
      </c>
      <c r="X49" s="477">
        <f t="shared" si="22"/>
        <v>0</v>
      </c>
      <c r="Y49" s="477">
        <f t="shared" si="22"/>
        <v>0</v>
      </c>
      <c r="Z49" s="477">
        <f t="shared" si="22"/>
        <v>0</v>
      </c>
      <c r="AA49" s="477">
        <f t="shared" si="22"/>
        <v>0</v>
      </c>
      <c r="AB49" s="477">
        <f t="shared" si="22"/>
        <v>0</v>
      </c>
      <c r="AC49" s="975">
        <f t="shared" si="22"/>
        <v>-63.82</v>
      </c>
      <c r="AD49" s="477">
        <f t="shared" si="22"/>
        <v>0</v>
      </c>
      <c r="AE49" s="477">
        <f t="shared" si="22"/>
        <v>0</v>
      </c>
      <c r="AF49" s="980" t="s">
        <v>652</v>
      </c>
      <c r="AG49" s="667"/>
    </row>
    <row r="50" spans="1:33" ht="21" x14ac:dyDescent="0.35">
      <c r="A50" s="432" t="s">
        <v>32</v>
      </c>
      <c r="B50" s="572">
        <f>SUM(H50,J50,L50,N50,P50,R50,T50,V50,X50,Z50,AB50,AD50)</f>
        <v>325</v>
      </c>
      <c r="C50" s="433">
        <f t="shared" ref="C50:C52" si="23">H50+J50+L50+N50+P50+R50+T50+V50</f>
        <v>325</v>
      </c>
      <c r="D50" s="433">
        <f>E50</f>
        <v>264.37299999999999</v>
      </c>
      <c r="E50" s="433">
        <f>SUM(I50,K50,M50,O50,Q50,S50,U50,W50,Y50,AA50,AC50,AE50)</f>
        <v>264.37299999999999</v>
      </c>
      <c r="F50" s="433">
        <f>IFERROR(E50/B50*100,0)</f>
        <v>81.345538461538453</v>
      </c>
      <c r="G50" s="433">
        <f>IFERROR(E50/C50*100,0)</f>
        <v>81.345538461538453</v>
      </c>
      <c r="H50" s="478">
        <v>0</v>
      </c>
      <c r="I50" s="478">
        <v>0</v>
      </c>
      <c r="J50" s="478">
        <v>0</v>
      </c>
      <c r="K50" s="478">
        <v>0</v>
      </c>
      <c r="L50" s="478">
        <v>0</v>
      </c>
      <c r="M50" s="478">
        <v>0</v>
      </c>
      <c r="N50" s="478">
        <v>0</v>
      </c>
      <c r="O50" s="478">
        <v>0</v>
      </c>
      <c r="P50" s="478">
        <v>0</v>
      </c>
      <c r="Q50" s="478">
        <v>0</v>
      </c>
      <c r="R50" s="478">
        <v>277.5</v>
      </c>
      <c r="S50" s="478">
        <v>277.5</v>
      </c>
      <c r="T50" s="478">
        <v>0</v>
      </c>
      <c r="U50" s="478">
        <v>0</v>
      </c>
      <c r="V50" s="478">
        <v>47.5</v>
      </c>
      <c r="W50" s="478">
        <v>47.5</v>
      </c>
      <c r="X50" s="478">
        <v>0</v>
      </c>
      <c r="Y50" s="478">
        <v>0</v>
      </c>
      <c r="Z50" s="478">
        <v>0</v>
      </c>
      <c r="AA50" s="478">
        <v>0</v>
      </c>
      <c r="AB50" s="478">
        <v>0</v>
      </c>
      <c r="AC50" s="976">
        <v>-60.627000000000002</v>
      </c>
      <c r="AD50" s="478">
        <v>0</v>
      </c>
      <c r="AE50" s="478">
        <v>0</v>
      </c>
      <c r="AF50" s="434"/>
      <c r="AG50" s="667"/>
    </row>
    <row r="51" spans="1:33" ht="21" x14ac:dyDescent="0.35">
      <c r="A51" s="432" t="s">
        <v>33</v>
      </c>
      <c r="B51" s="433">
        <f>SUM(H51,J51,L51,N51,P51,R51,T51,V51,X51,Z51,AB51,AD51)</f>
        <v>17.11</v>
      </c>
      <c r="C51" s="433">
        <f t="shared" si="23"/>
        <v>17.11</v>
      </c>
      <c r="D51" s="433">
        <f>E51</f>
        <v>13.917</v>
      </c>
      <c r="E51" s="433">
        <f>SUM(I51,K51,M51,O51,Q51,S51,U51,W51,Y51,AA51,AC51,AE51)</f>
        <v>13.917</v>
      </c>
      <c r="F51" s="433">
        <f>IFERROR(E51/B51*100,0)</f>
        <v>81.33839859731151</v>
      </c>
      <c r="G51" s="433">
        <f>IFERROR(E51/C51*100,0)</f>
        <v>81.33839859731151</v>
      </c>
      <c r="H51" s="478">
        <v>0</v>
      </c>
      <c r="I51" s="478">
        <v>0</v>
      </c>
      <c r="J51" s="478">
        <v>0</v>
      </c>
      <c r="K51" s="478">
        <v>0</v>
      </c>
      <c r="L51" s="478">
        <v>0</v>
      </c>
      <c r="M51" s="478">
        <v>0</v>
      </c>
      <c r="N51" s="478">
        <v>0</v>
      </c>
      <c r="O51" s="478">
        <v>0</v>
      </c>
      <c r="P51" s="478">
        <v>0</v>
      </c>
      <c r="Q51" s="478">
        <v>0</v>
      </c>
      <c r="R51" s="478">
        <v>14.61</v>
      </c>
      <c r="S51" s="478">
        <v>14.61</v>
      </c>
      <c r="T51" s="478">
        <v>0</v>
      </c>
      <c r="U51" s="478">
        <v>0</v>
      </c>
      <c r="V51" s="478">
        <v>2.5</v>
      </c>
      <c r="W51" s="478">
        <v>2.5</v>
      </c>
      <c r="X51" s="478">
        <v>0</v>
      </c>
      <c r="Y51" s="478">
        <v>0</v>
      </c>
      <c r="Z51" s="478">
        <v>0</v>
      </c>
      <c r="AA51" s="478">
        <v>0</v>
      </c>
      <c r="AB51" s="478">
        <v>0</v>
      </c>
      <c r="AC51" s="976">
        <v>-3.1930000000000001</v>
      </c>
      <c r="AD51" s="478">
        <v>0</v>
      </c>
      <c r="AE51" s="478">
        <v>0</v>
      </c>
      <c r="AF51" s="434"/>
      <c r="AG51" s="667"/>
    </row>
    <row r="52" spans="1:33" ht="37.5" x14ac:dyDescent="0.35">
      <c r="A52" s="451" t="s">
        <v>174</v>
      </c>
      <c r="B52" s="433">
        <f>SUM(H52,J52,L52,N52,P52,R52,T52,V52,X52,Z52,AB52,AD52)</f>
        <v>17.11</v>
      </c>
      <c r="C52" s="433">
        <f t="shared" si="23"/>
        <v>17.11</v>
      </c>
      <c r="D52" s="433">
        <f>E52</f>
        <v>13.917</v>
      </c>
      <c r="E52" s="433">
        <f>SUM(I52,K52,M52,O52,Q52,S52,U52,W52,Y52,AA52,AC52,AE52)</f>
        <v>13.917</v>
      </c>
      <c r="F52" s="433">
        <f>IFERROR(E52/B52*100,0)</f>
        <v>81.33839859731151</v>
      </c>
      <c r="G52" s="433">
        <f>IFERROR(E52/C52*100,0)</f>
        <v>81.33839859731151</v>
      </c>
      <c r="H52" s="478">
        <v>0</v>
      </c>
      <c r="I52" s="478">
        <v>0</v>
      </c>
      <c r="J52" s="478">
        <v>0</v>
      </c>
      <c r="K52" s="478">
        <v>0</v>
      </c>
      <c r="L52" s="478">
        <v>0</v>
      </c>
      <c r="M52" s="478">
        <v>0</v>
      </c>
      <c r="N52" s="478">
        <v>0</v>
      </c>
      <c r="O52" s="478">
        <v>0</v>
      </c>
      <c r="P52" s="478">
        <v>0</v>
      </c>
      <c r="Q52" s="478">
        <v>0</v>
      </c>
      <c r="R52" s="478">
        <v>14.61</v>
      </c>
      <c r="S52" s="478">
        <v>14.61</v>
      </c>
      <c r="T52" s="478">
        <v>0</v>
      </c>
      <c r="U52" s="478">
        <v>0</v>
      </c>
      <c r="V52" s="478">
        <v>2.5</v>
      </c>
      <c r="W52" s="478">
        <v>2.5</v>
      </c>
      <c r="X52" s="478">
        <v>0</v>
      </c>
      <c r="Y52" s="478">
        <v>0</v>
      </c>
      <c r="Z52" s="478">
        <v>0</v>
      </c>
      <c r="AA52" s="478">
        <v>0</v>
      </c>
      <c r="AB52" s="478">
        <v>0</v>
      </c>
      <c r="AC52" s="976">
        <v>-3.1930000000000001</v>
      </c>
      <c r="AD52" s="478">
        <v>0</v>
      </c>
      <c r="AE52" s="478">
        <v>0</v>
      </c>
      <c r="AF52" s="434"/>
      <c r="AG52" s="667"/>
    </row>
    <row r="53" spans="1:33" ht="21" x14ac:dyDescent="0.35">
      <c r="A53" s="1195" t="s">
        <v>346</v>
      </c>
      <c r="B53" s="1196"/>
      <c r="C53" s="1196"/>
      <c r="D53" s="1196"/>
      <c r="E53" s="1196"/>
      <c r="F53" s="1196"/>
      <c r="G53" s="1196"/>
      <c r="H53" s="1196"/>
      <c r="I53" s="1196"/>
      <c r="J53" s="1196"/>
      <c r="K53" s="1196"/>
      <c r="L53" s="1196"/>
      <c r="M53" s="1196"/>
      <c r="N53" s="1196"/>
      <c r="O53" s="1196"/>
      <c r="P53" s="1196"/>
      <c r="Q53" s="1196"/>
      <c r="R53" s="1196"/>
      <c r="S53" s="1196"/>
      <c r="T53" s="1196"/>
      <c r="U53" s="1196"/>
      <c r="V53" s="1196"/>
      <c r="W53" s="1196"/>
      <c r="X53" s="1196"/>
      <c r="Y53" s="1196"/>
      <c r="Z53" s="1196"/>
      <c r="AA53" s="1196"/>
      <c r="AB53" s="1196"/>
      <c r="AC53" s="1196"/>
      <c r="AD53" s="1196"/>
      <c r="AE53" s="1197"/>
      <c r="AF53" s="434"/>
      <c r="AG53" s="667"/>
    </row>
    <row r="54" spans="1:33" s="431" customFormat="1" ht="21" x14ac:dyDescent="0.35">
      <c r="A54" s="428" t="s">
        <v>31</v>
      </c>
      <c r="B54" s="429">
        <f>B55+B56</f>
        <v>0</v>
      </c>
      <c r="C54" s="429">
        <f>C55+C56</f>
        <v>0</v>
      </c>
      <c r="D54" s="429">
        <f>D55+D56</f>
        <v>0</v>
      </c>
      <c r="E54" s="429">
        <f>E55+E56</f>
        <v>0</v>
      </c>
      <c r="F54" s="429">
        <f>IFERROR(E54/B54*100,0)</f>
        <v>0</v>
      </c>
      <c r="G54" s="429">
        <f>IFERROR(E54/C54*100,0)</f>
        <v>0</v>
      </c>
      <c r="H54" s="477">
        <f>H55+H56</f>
        <v>0</v>
      </c>
      <c r="I54" s="477">
        <f t="shared" ref="I54:AE54" si="24">I55+I56</f>
        <v>0</v>
      </c>
      <c r="J54" s="477">
        <f t="shared" si="24"/>
        <v>0</v>
      </c>
      <c r="K54" s="477">
        <f t="shared" si="24"/>
        <v>0</v>
      </c>
      <c r="L54" s="477">
        <f t="shared" si="24"/>
        <v>0</v>
      </c>
      <c r="M54" s="477">
        <f t="shared" si="24"/>
        <v>0</v>
      </c>
      <c r="N54" s="477">
        <f t="shared" si="24"/>
        <v>0</v>
      </c>
      <c r="O54" s="477">
        <f t="shared" si="24"/>
        <v>0</v>
      </c>
      <c r="P54" s="477">
        <f t="shared" si="24"/>
        <v>0</v>
      </c>
      <c r="Q54" s="477">
        <f t="shared" si="24"/>
        <v>0</v>
      </c>
      <c r="R54" s="477">
        <f t="shared" si="24"/>
        <v>0</v>
      </c>
      <c r="S54" s="477">
        <f t="shared" si="24"/>
        <v>0</v>
      </c>
      <c r="T54" s="477">
        <f t="shared" si="24"/>
        <v>0</v>
      </c>
      <c r="U54" s="477">
        <f t="shared" si="24"/>
        <v>0</v>
      </c>
      <c r="V54" s="477">
        <f t="shared" si="24"/>
        <v>0</v>
      </c>
      <c r="W54" s="477">
        <f t="shared" si="24"/>
        <v>0</v>
      </c>
      <c r="X54" s="477">
        <f t="shared" si="24"/>
        <v>0</v>
      </c>
      <c r="Y54" s="477">
        <f t="shared" si="24"/>
        <v>0</v>
      </c>
      <c r="Z54" s="477">
        <f t="shared" si="24"/>
        <v>0</v>
      </c>
      <c r="AA54" s="477">
        <f t="shared" si="24"/>
        <v>0</v>
      </c>
      <c r="AB54" s="477">
        <f t="shared" si="24"/>
        <v>0</v>
      </c>
      <c r="AC54" s="477">
        <f t="shared" si="24"/>
        <v>0</v>
      </c>
      <c r="AD54" s="477">
        <f t="shared" si="24"/>
        <v>0</v>
      </c>
      <c r="AE54" s="477">
        <f t="shared" si="24"/>
        <v>0</v>
      </c>
      <c r="AF54" s="435"/>
      <c r="AG54" s="667"/>
    </row>
    <row r="55" spans="1:33" ht="21" x14ac:dyDescent="0.35">
      <c r="A55" s="432" t="s">
        <v>32</v>
      </c>
      <c r="B55" s="433">
        <f>SUM(H55,J55,L55,N55,P55,R55,T55,V55,X55,Z55,AB55,AD55)</f>
        <v>0</v>
      </c>
      <c r="C55" s="433">
        <f>H55+J55+L55+N55+P55+R55+T55+V55</f>
        <v>0</v>
      </c>
      <c r="D55" s="433">
        <f>E55</f>
        <v>0</v>
      </c>
      <c r="E55" s="433">
        <f>SUM(I55,K55,M55,O55,Q55,S55,U55,W55,Y55,AA55,AC55,AE55)</f>
        <v>0</v>
      </c>
      <c r="F55" s="433">
        <f>IFERROR(E55/B55*100,0)</f>
        <v>0</v>
      </c>
      <c r="G55" s="433">
        <f>IFERROR(E55/C55*100,0)</f>
        <v>0</v>
      </c>
      <c r="H55" s="478">
        <f>H60</f>
        <v>0</v>
      </c>
      <c r="I55" s="478">
        <f t="shared" ref="I55:AE57" si="25">I60</f>
        <v>0</v>
      </c>
      <c r="J55" s="478">
        <f t="shared" si="25"/>
        <v>0</v>
      </c>
      <c r="K55" s="478">
        <f t="shared" si="25"/>
        <v>0</v>
      </c>
      <c r="L55" s="478">
        <f t="shared" si="25"/>
        <v>0</v>
      </c>
      <c r="M55" s="478">
        <f t="shared" si="25"/>
        <v>0</v>
      </c>
      <c r="N55" s="478">
        <f t="shared" si="25"/>
        <v>0</v>
      </c>
      <c r="O55" s="478">
        <f t="shared" si="25"/>
        <v>0</v>
      </c>
      <c r="P55" s="478">
        <f t="shared" si="25"/>
        <v>0</v>
      </c>
      <c r="Q55" s="478">
        <f t="shared" si="25"/>
        <v>0</v>
      </c>
      <c r="R55" s="478">
        <f t="shared" si="25"/>
        <v>0</v>
      </c>
      <c r="S55" s="478">
        <f t="shared" si="25"/>
        <v>0</v>
      </c>
      <c r="T55" s="478">
        <f t="shared" si="25"/>
        <v>0</v>
      </c>
      <c r="U55" s="478">
        <f t="shared" si="25"/>
        <v>0</v>
      </c>
      <c r="V55" s="478">
        <f t="shared" si="25"/>
        <v>0</v>
      </c>
      <c r="W55" s="478">
        <f t="shared" si="25"/>
        <v>0</v>
      </c>
      <c r="X55" s="478">
        <f t="shared" si="25"/>
        <v>0</v>
      </c>
      <c r="Y55" s="478">
        <f t="shared" si="25"/>
        <v>0</v>
      </c>
      <c r="Z55" s="478">
        <f t="shared" si="25"/>
        <v>0</v>
      </c>
      <c r="AA55" s="478">
        <f t="shared" si="25"/>
        <v>0</v>
      </c>
      <c r="AB55" s="478">
        <f t="shared" si="25"/>
        <v>0</v>
      </c>
      <c r="AC55" s="478">
        <f t="shared" si="25"/>
        <v>0</v>
      </c>
      <c r="AD55" s="478">
        <f t="shared" si="25"/>
        <v>0</v>
      </c>
      <c r="AE55" s="478">
        <f t="shared" si="25"/>
        <v>0</v>
      </c>
      <c r="AF55" s="434"/>
      <c r="AG55" s="667"/>
    </row>
    <row r="56" spans="1:33" ht="21" x14ac:dyDescent="0.35">
      <c r="A56" s="432" t="s">
        <v>33</v>
      </c>
      <c r="B56" s="433">
        <f>SUM(H56,J56,L56,N56,P56,R56,T56,V56,X56,Z56,AB56,AD56)</f>
        <v>0</v>
      </c>
      <c r="C56" s="433">
        <f t="shared" ref="C56:C57" si="26">H56+J56+L56+N56+P56+R56+T56+V56</f>
        <v>0</v>
      </c>
      <c r="D56" s="433">
        <f>E56</f>
        <v>0</v>
      </c>
      <c r="E56" s="433">
        <f>SUM(I56,K56,M56,O56,Q56,S56,U56,W56,Y56,AA56,AC56,AE56)</f>
        <v>0</v>
      </c>
      <c r="F56" s="433">
        <f>IFERROR(E56/B56*100,0)</f>
        <v>0</v>
      </c>
      <c r="G56" s="433">
        <f>IFERROR(E56/C56*100,0)</f>
        <v>0</v>
      </c>
      <c r="H56" s="478">
        <f t="shared" ref="H56:W57" si="27">H61</f>
        <v>0</v>
      </c>
      <c r="I56" s="478">
        <f t="shared" si="27"/>
        <v>0</v>
      </c>
      <c r="J56" s="478">
        <f t="shared" si="27"/>
        <v>0</v>
      </c>
      <c r="K56" s="478">
        <f t="shared" si="27"/>
        <v>0</v>
      </c>
      <c r="L56" s="478">
        <f t="shared" si="27"/>
        <v>0</v>
      </c>
      <c r="M56" s="478">
        <f t="shared" si="27"/>
        <v>0</v>
      </c>
      <c r="N56" s="478">
        <f t="shared" si="27"/>
        <v>0</v>
      </c>
      <c r="O56" s="478">
        <f t="shared" si="27"/>
        <v>0</v>
      </c>
      <c r="P56" s="478">
        <f t="shared" si="27"/>
        <v>0</v>
      </c>
      <c r="Q56" s="478">
        <f t="shared" si="27"/>
        <v>0</v>
      </c>
      <c r="R56" s="478">
        <f t="shared" si="27"/>
        <v>0</v>
      </c>
      <c r="S56" s="478">
        <f t="shared" si="27"/>
        <v>0</v>
      </c>
      <c r="T56" s="478">
        <f t="shared" si="27"/>
        <v>0</v>
      </c>
      <c r="U56" s="478">
        <f t="shared" si="27"/>
        <v>0</v>
      </c>
      <c r="V56" s="478">
        <f t="shared" si="27"/>
        <v>0</v>
      </c>
      <c r="W56" s="478">
        <f t="shared" si="27"/>
        <v>0</v>
      </c>
      <c r="X56" s="478">
        <f t="shared" si="25"/>
        <v>0</v>
      </c>
      <c r="Y56" s="478">
        <f t="shared" si="25"/>
        <v>0</v>
      </c>
      <c r="Z56" s="478">
        <f t="shared" si="25"/>
        <v>0</v>
      </c>
      <c r="AA56" s="478">
        <f t="shared" si="25"/>
        <v>0</v>
      </c>
      <c r="AB56" s="478">
        <f t="shared" si="25"/>
        <v>0</v>
      </c>
      <c r="AC56" s="478">
        <f t="shared" si="25"/>
        <v>0</v>
      </c>
      <c r="AD56" s="478">
        <f t="shared" si="25"/>
        <v>0</v>
      </c>
      <c r="AE56" s="478">
        <f t="shared" si="25"/>
        <v>0</v>
      </c>
      <c r="AF56" s="434"/>
      <c r="AG56" s="667"/>
    </row>
    <row r="57" spans="1:33" ht="37.5" x14ac:dyDescent="0.35">
      <c r="A57" s="451" t="s">
        <v>174</v>
      </c>
      <c r="B57" s="433">
        <f>SUM(H57,J57,L57,N57,P57,R57,T57,V57,X57,Z57,AB57,AD57)</f>
        <v>0</v>
      </c>
      <c r="C57" s="433">
        <f t="shared" si="26"/>
        <v>0</v>
      </c>
      <c r="D57" s="433">
        <f>E57</f>
        <v>0</v>
      </c>
      <c r="E57" s="433">
        <f>SUM(I57,K57,M57,O57,Q57,S57,U57,W57,Y57,AA57,AC57,AE57)</f>
        <v>0</v>
      </c>
      <c r="F57" s="433">
        <f>IFERROR(E57/B57*100,0)</f>
        <v>0</v>
      </c>
      <c r="G57" s="433">
        <f>IFERROR(E57/C57*100,0)</f>
        <v>0</v>
      </c>
      <c r="H57" s="478">
        <f t="shared" si="27"/>
        <v>0</v>
      </c>
      <c r="I57" s="478">
        <f t="shared" si="27"/>
        <v>0</v>
      </c>
      <c r="J57" s="478">
        <f t="shared" si="27"/>
        <v>0</v>
      </c>
      <c r="K57" s="478">
        <f t="shared" si="27"/>
        <v>0</v>
      </c>
      <c r="L57" s="478">
        <f t="shared" si="27"/>
        <v>0</v>
      </c>
      <c r="M57" s="478">
        <f t="shared" si="27"/>
        <v>0</v>
      </c>
      <c r="N57" s="478">
        <f t="shared" si="27"/>
        <v>0</v>
      </c>
      <c r="O57" s="478">
        <f t="shared" si="27"/>
        <v>0</v>
      </c>
      <c r="P57" s="478">
        <f t="shared" si="27"/>
        <v>0</v>
      </c>
      <c r="Q57" s="478">
        <f t="shared" si="27"/>
        <v>0</v>
      </c>
      <c r="R57" s="478">
        <f t="shared" si="27"/>
        <v>0</v>
      </c>
      <c r="S57" s="478">
        <f t="shared" si="27"/>
        <v>0</v>
      </c>
      <c r="T57" s="478">
        <f t="shared" si="27"/>
        <v>0</v>
      </c>
      <c r="U57" s="478">
        <f t="shared" si="27"/>
        <v>0</v>
      </c>
      <c r="V57" s="478">
        <f t="shared" si="27"/>
        <v>0</v>
      </c>
      <c r="W57" s="478">
        <f t="shared" si="27"/>
        <v>0</v>
      </c>
      <c r="X57" s="478">
        <f t="shared" si="25"/>
        <v>0</v>
      </c>
      <c r="Y57" s="478">
        <f t="shared" si="25"/>
        <v>0</v>
      </c>
      <c r="Z57" s="478">
        <f t="shared" si="25"/>
        <v>0</v>
      </c>
      <c r="AA57" s="478">
        <f t="shared" si="25"/>
        <v>0</v>
      </c>
      <c r="AB57" s="478">
        <f t="shared" si="25"/>
        <v>0</v>
      </c>
      <c r="AC57" s="478">
        <f t="shared" si="25"/>
        <v>0</v>
      </c>
      <c r="AD57" s="478">
        <f t="shared" si="25"/>
        <v>0</v>
      </c>
      <c r="AE57" s="478">
        <f t="shared" si="25"/>
        <v>0</v>
      </c>
      <c r="AF57" s="434"/>
      <c r="AG57" s="667"/>
    </row>
    <row r="58" spans="1:33" ht="21" x14ac:dyDescent="0.35">
      <c r="A58" s="1195" t="s">
        <v>347</v>
      </c>
      <c r="B58" s="1196"/>
      <c r="C58" s="1196"/>
      <c r="D58" s="1196"/>
      <c r="E58" s="1196"/>
      <c r="F58" s="1196"/>
      <c r="G58" s="1196"/>
      <c r="H58" s="1196"/>
      <c r="I58" s="1196"/>
      <c r="J58" s="1196"/>
      <c r="K58" s="1196"/>
      <c r="L58" s="1196"/>
      <c r="M58" s="1196"/>
      <c r="N58" s="1196"/>
      <c r="O58" s="1196"/>
      <c r="P58" s="1196"/>
      <c r="Q58" s="1196"/>
      <c r="R58" s="1196"/>
      <c r="S58" s="1196"/>
      <c r="T58" s="1196"/>
      <c r="U58" s="1196"/>
      <c r="V58" s="1196"/>
      <c r="W58" s="1196"/>
      <c r="X58" s="1196"/>
      <c r="Y58" s="1196"/>
      <c r="Z58" s="1196"/>
      <c r="AA58" s="1196"/>
      <c r="AB58" s="1196"/>
      <c r="AC58" s="1196"/>
      <c r="AD58" s="1196"/>
      <c r="AE58" s="1197"/>
      <c r="AF58" s="452"/>
      <c r="AG58" s="667"/>
    </row>
    <row r="59" spans="1:33" s="431" customFormat="1" ht="21" x14ac:dyDescent="0.35">
      <c r="A59" s="428" t="s">
        <v>31</v>
      </c>
      <c r="B59" s="429">
        <f>B60+B61</f>
        <v>0</v>
      </c>
      <c r="C59" s="429">
        <f>C60+C61</f>
        <v>0</v>
      </c>
      <c r="D59" s="429">
        <f>D60+D61</f>
        <v>0</v>
      </c>
      <c r="E59" s="429">
        <f>E60+E61</f>
        <v>0</v>
      </c>
      <c r="F59" s="429">
        <f>IFERROR(E59/B59*100,0)</f>
        <v>0</v>
      </c>
      <c r="G59" s="429">
        <f>IFERROR(E59/C59*100,0)</f>
        <v>0</v>
      </c>
      <c r="H59" s="477">
        <f>H60+H61</f>
        <v>0</v>
      </c>
      <c r="I59" s="477">
        <f t="shared" ref="I59:AE59" si="28">I60+I61</f>
        <v>0</v>
      </c>
      <c r="J59" s="477">
        <f t="shared" si="28"/>
        <v>0</v>
      </c>
      <c r="K59" s="477">
        <f t="shared" si="28"/>
        <v>0</v>
      </c>
      <c r="L59" s="477">
        <f t="shared" si="28"/>
        <v>0</v>
      </c>
      <c r="M59" s="477">
        <f t="shared" si="28"/>
        <v>0</v>
      </c>
      <c r="N59" s="477">
        <f t="shared" si="28"/>
        <v>0</v>
      </c>
      <c r="O59" s="477">
        <f t="shared" si="28"/>
        <v>0</v>
      </c>
      <c r="P59" s="477">
        <f t="shared" si="28"/>
        <v>0</v>
      </c>
      <c r="Q59" s="477">
        <f t="shared" si="28"/>
        <v>0</v>
      </c>
      <c r="R59" s="477">
        <f t="shared" si="28"/>
        <v>0</v>
      </c>
      <c r="S59" s="477">
        <f t="shared" si="28"/>
        <v>0</v>
      </c>
      <c r="T59" s="477">
        <f t="shared" si="28"/>
        <v>0</v>
      </c>
      <c r="U59" s="477">
        <f t="shared" si="28"/>
        <v>0</v>
      </c>
      <c r="V59" s="477">
        <f t="shared" si="28"/>
        <v>0</v>
      </c>
      <c r="W59" s="477">
        <f t="shared" si="28"/>
        <v>0</v>
      </c>
      <c r="X59" s="477">
        <f t="shared" si="28"/>
        <v>0</v>
      </c>
      <c r="Y59" s="477">
        <f t="shared" si="28"/>
        <v>0</v>
      </c>
      <c r="Z59" s="477">
        <f t="shared" si="28"/>
        <v>0</v>
      </c>
      <c r="AA59" s="477">
        <f t="shared" si="28"/>
        <v>0</v>
      </c>
      <c r="AB59" s="477">
        <f t="shared" si="28"/>
        <v>0</v>
      </c>
      <c r="AC59" s="477">
        <f t="shared" si="28"/>
        <v>0</v>
      </c>
      <c r="AD59" s="477">
        <f t="shared" si="28"/>
        <v>0</v>
      </c>
      <c r="AE59" s="477">
        <f t="shared" si="28"/>
        <v>0</v>
      </c>
      <c r="AF59" s="435"/>
      <c r="AG59" s="667"/>
    </row>
    <row r="60" spans="1:33" ht="21" x14ac:dyDescent="0.35">
      <c r="A60" s="432" t="s">
        <v>32</v>
      </c>
      <c r="B60" s="572">
        <f>SUM(H60,J60,L60,N60,P60,R60,T60,V60,X60,Z60,AB60,AD60)</f>
        <v>0</v>
      </c>
      <c r="C60" s="433">
        <f>H60+J60+L60+N60+P60+R60</f>
        <v>0</v>
      </c>
      <c r="D60" s="433">
        <f>E60</f>
        <v>0</v>
      </c>
      <c r="E60" s="433">
        <f>SUM(I60,K60,M60,O60,Q60,S60,U60,W60,Y60,AA60,AC60,AE60)</f>
        <v>0</v>
      </c>
      <c r="F60" s="433">
        <f>IFERROR(E60/B60*100,0)</f>
        <v>0</v>
      </c>
      <c r="G60" s="433">
        <f>IFERROR(E60/C60*100,0)</f>
        <v>0</v>
      </c>
      <c r="H60" s="478">
        <v>0</v>
      </c>
      <c r="I60" s="478">
        <v>0</v>
      </c>
      <c r="J60" s="478">
        <v>0</v>
      </c>
      <c r="K60" s="478">
        <v>0</v>
      </c>
      <c r="L60" s="478">
        <v>0</v>
      </c>
      <c r="M60" s="478">
        <v>0</v>
      </c>
      <c r="N60" s="478">
        <v>0</v>
      </c>
      <c r="O60" s="478">
        <v>0</v>
      </c>
      <c r="P60" s="478">
        <v>0</v>
      </c>
      <c r="Q60" s="478">
        <v>0</v>
      </c>
      <c r="R60" s="478">
        <v>0</v>
      </c>
      <c r="S60" s="478">
        <v>0</v>
      </c>
      <c r="T60" s="478">
        <v>0</v>
      </c>
      <c r="U60" s="478">
        <v>0</v>
      </c>
      <c r="V60" s="478">
        <v>0</v>
      </c>
      <c r="W60" s="478">
        <v>0</v>
      </c>
      <c r="X60" s="478">
        <v>0</v>
      </c>
      <c r="Y60" s="478">
        <v>0</v>
      </c>
      <c r="Z60" s="478">
        <v>0</v>
      </c>
      <c r="AA60" s="478">
        <v>0</v>
      </c>
      <c r="AB60" s="478">
        <v>0</v>
      </c>
      <c r="AC60" s="478">
        <v>0</v>
      </c>
      <c r="AD60" s="478">
        <v>0</v>
      </c>
      <c r="AE60" s="478">
        <v>0</v>
      </c>
      <c r="AF60" s="434"/>
      <c r="AG60" s="667"/>
    </row>
    <row r="61" spans="1:33" ht="21" x14ac:dyDescent="0.35">
      <c r="A61" s="432" t="s">
        <v>33</v>
      </c>
      <c r="B61" s="433">
        <f>SUM(H61,J61,L61,N61,P61,R61,T61,V61,X61,Z61,AB61,AD61)</f>
        <v>0</v>
      </c>
      <c r="C61" s="433">
        <f t="shared" ref="C61:C62" si="29">H61+J61+L61+N61+P61+R61</f>
        <v>0</v>
      </c>
      <c r="D61" s="433">
        <f>E61</f>
        <v>0</v>
      </c>
      <c r="E61" s="433">
        <f>SUM(I61,K61,M61,O61,Q61,S61,U61,W61,Y61,AA61,AC61,AE61)</f>
        <v>0</v>
      </c>
      <c r="F61" s="433">
        <f>IFERROR(E61/B61*100,0)</f>
        <v>0</v>
      </c>
      <c r="G61" s="433">
        <f>IFERROR(E61/C61*100,0)</f>
        <v>0</v>
      </c>
      <c r="H61" s="478">
        <v>0</v>
      </c>
      <c r="I61" s="478">
        <v>0</v>
      </c>
      <c r="J61" s="478">
        <v>0</v>
      </c>
      <c r="K61" s="478">
        <v>0</v>
      </c>
      <c r="L61" s="478">
        <v>0</v>
      </c>
      <c r="M61" s="478">
        <v>0</v>
      </c>
      <c r="N61" s="478">
        <v>0</v>
      </c>
      <c r="O61" s="478">
        <v>0</v>
      </c>
      <c r="P61" s="478">
        <v>0</v>
      </c>
      <c r="Q61" s="478">
        <v>0</v>
      </c>
      <c r="R61" s="478">
        <v>0</v>
      </c>
      <c r="S61" s="478">
        <v>0</v>
      </c>
      <c r="T61" s="478">
        <v>0</v>
      </c>
      <c r="U61" s="478">
        <v>0</v>
      </c>
      <c r="V61" s="478">
        <v>0</v>
      </c>
      <c r="W61" s="478">
        <v>0</v>
      </c>
      <c r="X61" s="478">
        <v>0</v>
      </c>
      <c r="Y61" s="478">
        <v>0</v>
      </c>
      <c r="Z61" s="478">
        <v>0</v>
      </c>
      <c r="AA61" s="478">
        <v>0</v>
      </c>
      <c r="AB61" s="478">
        <v>0</v>
      </c>
      <c r="AC61" s="478">
        <v>0</v>
      </c>
      <c r="AD61" s="478">
        <v>0</v>
      </c>
      <c r="AE61" s="478">
        <v>0</v>
      </c>
      <c r="AF61" s="434"/>
      <c r="AG61" s="667"/>
    </row>
    <row r="62" spans="1:33" ht="37.5" x14ac:dyDescent="0.35">
      <c r="A62" s="451" t="s">
        <v>174</v>
      </c>
      <c r="B62" s="433">
        <f>SUM(H62,J62,L62,N62,P62,R62,T62,V62,X62,Z62,AB62,AD62)</f>
        <v>0</v>
      </c>
      <c r="C62" s="433">
        <f t="shared" si="29"/>
        <v>0</v>
      </c>
      <c r="D62" s="433">
        <f>E62</f>
        <v>0</v>
      </c>
      <c r="E62" s="433">
        <f>SUM(I62,K62,M62,O62,Q62,S62,U62,W62,Y62,AA62,AC62,AE62)</f>
        <v>0</v>
      </c>
      <c r="F62" s="433">
        <f>IFERROR(E62/B62*100,0)</f>
        <v>0</v>
      </c>
      <c r="G62" s="433">
        <f>IFERROR(E62/C62*100,0)</f>
        <v>0</v>
      </c>
      <c r="H62" s="478">
        <v>0</v>
      </c>
      <c r="I62" s="478">
        <v>0</v>
      </c>
      <c r="J62" s="478">
        <v>0</v>
      </c>
      <c r="K62" s="478">
        <v>0</v>
      </c>
      <c r="L62" s="478">
        <v>0</v>
      </c>
      <c r="M62" s="478">
        <v>0</v>
      </c>
      <c r="N62" s="478">
        <v>0</v>
      </c>
      <c r="O62" s="478">
        <v>0</v>
      </c>
      <c r="P62" s="478">
        <v>0</v>
      </c>
      <c r="Q62" s="478">
        <v>0</v>
      </c>
      <c r="R62" s="478">
        <v>0</v>
      </c>
      <c r="S62" s="478">
        <v>0</v>
      </c>
      <c r="T62" s="478">
        <v>0</v>
      </c>
      <c r="U62" s="478">
        <v>0</v>
      </c>
      <c r="V62" s="478">
        <v>0</v>
      </c>
      <c r="W62" s="478">
        <v>0</v>
      </c>
      <c r="X62" s="478">
        <v>0</v>
      </c>
      <c r="Y62" s="478">
        <v>0</v>
      </c>
      <c r="Z62" s="478">
        <v>0</v>
      </c>
      <c r="AA62" s="478">
        <v>0</v>
      </c>
      <c r="AB62" s="478">
        <v>0</v>
      </c>
      <c r="AC62" s="478">
        <v>0</v>
      </c>
      <c r="AD62" s="478">
        <v>0</v>
      </c>
      <c r="AE62" s="478">
        <v>0</v>
      </c>
      <c r="AF62" s="434"/>
      <c r="AG62" s="667"/>
    </row>
    <row r="63" spans="1:33" ht="21" x14ac:dyDescent="0.35">
      <c r="A63" s="1207" t="s">
        <v>348</v>
      </c>
      <c r="B63" s="1207"/>
      <c r="C63" s="1207"/>
      <c r="D63" s="1207"/>
      <c r="E63" s="1207"/>
      <c r="F63" s="1207"/>
      <c r="G63" s="1207"/>
      <c r="H63" s="1207"/>
      <c r="I63" s="1207"/>
      <c r="J63" s="1207"/>
      <c r="K63" s="1207"/>
      <c r="L63" s="1207"/>
      <c r="M63" s="1207"/>
      <c r="N63" s="1207"/>
      <c r="O63" s="1207"/>
      <c r="P63" s="1207"/>
      <c r="Q63" s="1207"/>
      <c r="R63" s="1207"/>
      <c r="S63" s="1207"/>
      <c r="T63" s="1207"/>
      <c r="U63" s="1207"/>
      <c r="V63" s="1207"/>
      <c r="W63" s="1207"/>
      <c r="X63" s="1207"/>
      <c r="Y63" s="1207"/>
      <c r="Z63" s="1207"/>
      <c r="AA63" s="1207"/>
      <c r="AB63" s="1207"/>
      <c r="AC63" s="1207"/>
      <c r="AD63" s="1207"/>
      <c r="AE63" s="1207"/>
      <c r="AF63" s="453"/>
      <c r="AG63" s="667"/>
    </row>
    <row r="64" spans="1:33" s="431" customFormat="1" ht="21" x14ac:dyDescent="0.35">
      <c r="A64" s="428" t="s">
        <v>31</v>
      </c>
      <c r="B64" s="429">
        <f>B65+B66</f>
        <v>8831.2000000000007</v>
      </c>
      <c r="C64" s="429">
        <f>C65+C66</f>
        <v>8831.2000000000007</v>
      </c>
      <c r="D64" s="429">
        <f>D65+D66</f>
        <v>8820.6080000000002</v>
      </c>
      <c r="E64" s="429">
        <f>E65+E66</f>
        <v>8820.6080000000002</v>
      </c>
      <c r="F64" s="429">
        <f>IFERROR(E64/B64*100,0)</f>
        <v>99.880061599782593</v>
      </c>
      <c r="G64" s="429">
        <f>IFERROR(E64/C64*100,0)</f>
        <v>99.880061599782593</v>
      </c>
      <c r="H64" s="477">
        <f>H65+H66</f>
        <v>0</v>
      </c>
      <c r="I64" s="477">
        <f t="shared" ref="I64:AE64" si="30">I65+I66</f>
        <v>0</v>
      </c>
      <c r="J64" s="477">
        <f t="shared" si="30"/>
        <v>0</v>
      </c>
      <c r="K64" s="477">
        <f t="shared" si="30"/>
        <v>0</v>
      </c>
      <c r="L64" s="477">
        <f t="shared" si="30"/>
        <v>0</v>
      </c>
      <c r="M64" s="477">
        <f t="shared" si="30"/>
        <v>0</v>
      </c>
      <c r="N64" s="477">
        <f t="shared" si="30"/>
        <v>0</v>
      </c>
      <c r="O64" s="477">
        <f t="shared" si="30"/>
        <v>0</v>
      </c>
      <c r="P64" s="477">
        <f t="shared" si="30"/>
        <v>0</v>
      </c>
      <c r="Q64" s="477">
        <f t="shared" si="30"/>
        <v>0</v>
      </c>
      <c r="R64" s="477">
        <f t="shared" si="30"/>
        <v>8738.1</v>
      </c>
      <c r="S64" s="477">
        <f t="shared" si="30"/>
        <v>6040.8760000000002</v>
      </c>
      <c r="T64" s="477">
        <f t="shared" si="30"/>
        <v>0</v>
      </c>
      <c r="U64" s="477">
        <f t="shared" si="30"/>
        <v>2200</v>
      </c>
      <c r="V64" s="477">
        <f t="shared" si="30"/>
        <v>93.1</v>
      </c>
      <c r="W64" s="477">
        <f t="shared" si="30"/>
        <v>579.73199999999997</v>
      </c>
      <c r="X64" s="477">
        <f t="shared" si="30"/>
        <v>0</v>
      </c>
      <c r="Y64" s="477">
        <f t="shared" si="30"/>
        <v>0</v>
      </c>
      <c r="Z64" s="477">
        <f t="shared" si="30"/>
        <v>0</v>
      </c>
      <c r="AA64" s="477">
        <f t="shared" si="30"/>
        <v>0</v>
      </c>
      <c r="AB64" s="477">
        <f t="shared" si="30"/>
        <v>0</v>
      </c>
      <c r="AC64" s="477">
        <f t="shared" si="30"/>
        <v>0</v>
      </c>
      <c r="AD64" s="477">
        <f t="shared" si="30"/>
        <v>0</v>
      </c>
      <c r="AE64" s="477">
        <f t="shared" si="30"/>
        <v>0</v>
      </c>
      <c r="AF64" s="450"/>
      <c r="AG64" s="667"/>
    </row>
    <row r="65" spans="1:33" ht="21" x14ac:dyDescent="0.35">
      <c r="A65" s="432" t="s">
        <v>32</v>
      </c>
      <c r="B65" s="443">
        <f>B75+B80+B85+B90+B95+B100+B105+B110+B115+B120+B125</f>
        <v>3972.6</v>
      </c>
      <c r="C65" s="480">
        <f t="shared" ref="C65:Q66" si="31">C75+C80+C85+C90+C95+C100+C105+C110+C115+C120+C125</f>
        <v>3972.6</v>
      </c>
      <c r="D65" s="480">
        <f t="shared" si="31"/>
        <v>3962.538</v>
      </c>
      <c r="E65" s="480">
        <f t="shared" si="31"/>
        <v>3962.538</v>
      </c>
      <c r="F65" s="443">
        <f>IFERROR(E65/B65*100,0)</f>
        <v>99.746714997734486</v>
      </c>
      <c r="G65" s="443">
        <f>IFERROR(E65/C65*100,0)</f>
        <v>99.746714997734486</v>
      </c>
      <c r="H65" s="480">
        <f t="shared" si="31"/>
        <v>0</v>
      </c>
      <c r="I65" s="480">
        <f t="shared" si="31"/>
        <v>0</v>
      </c>
      <c r="J65" s="480">
        <f t="shared" si="31"/>
        <v>0</v>
      </c>
      <c r="K65" s="480">
        <f t="shared" si="31"/>
        <v>0</v>
      </c>
      <c r="L65" s="480">
        <f t="shared" si="31"/>
        <v>0</v>
      </c>
      <c r="M65" s="480">
        <f t="shared" si="31"/>
        <v>0</v>
      </c>
      <c r="N65" s="480">
        <f t="shared" si="31"/>
        <v>0</v>
      </c>
      <c r="O65" s="480">
        <f t="shared" si="31"/>
        <v>0</v>
      </c>
      <c r="P65" s="480">
        <f t="shared" si="31"/>
        <v>0</v>
      </c>
      <c r="Q65" s="480">
        <f t="shared" si="31"/>
        <v>0</v>
      </c>
      <c r="R65" s="480">
        <f t="shared" ref="R65:AE66" si="32">R75+R80+R85+R90+R95+R100+R105+R110+R115+R120+R125</f>
        <v>3972.6</v>
      </c>
      <c r="S65" s="480">
        <f t="shared" si="32"/>
        <v>3891.2799999999997</v>
      </c>
      <c r="T65" s="480">
        <f t="shared" si="32"/>
        <v>0</v>
      </c>
      <c r="U65" s="480">
        <f t="shared" si="32"/>
        <v>0</v>
      </c>
      <c r="V65" s="480">
        <f t="shared" si="32"/>
        <v>0</v>
      </c>
      <c r="W65" s="480">
        <f t="shared" si="32"/>
        <v>71.257999999999996</v>
      </c>
      <c r="X65" s="480">
        <f t="shared" si="32"/>
        <v>0</v>
      </c>
      <c r="Y65" s="480">
        <f t="shared" si="32"/>
        <v>0</v>
      </c>
      <c r="Z65" s="480">
        <f t="shared" si="32"/>
        <v>0</v>
      </c>
      <c r="AA65" s="480">
        <f t="shared" si="32"/>
        <v>0</v>
      </c>
      <c r="AB65" s="480">
        <f t="shared" si="32"/>
        <v>0</v>
      </c>
      <c r="AC65" s="480">
        <f t="shared" si="32"/>
        <v>0</v>
      </c>
      <c r="AD65" s="480">
        <f t="shared" si="32"/>
        <v>0</v>
      </c>
      <c r="AE65" s="480">
        <f t="shared" si="32"/>
        <v>0</v>
      </c>
      <c r="AF65" s="434"/>
      <c r="AG65" s="667"/>
    </row>
    <row r="66" spans="1:33" ht="21" x14ac:dyDescent="0.35">
      <c r="A66" s="432" t="s">
        <v>33</v>
      </c>
      <c r="B66" s="443">
        <f>B76+B81+B86+B91+B96+B101+B106+B111+B116+B121+B126</f>
        <v>4858.6000000000004</v>
      </c>
      <c r="C66" s="480">
        <f t="shared" si="31"/>
        <v>4858.6000000000004</v>
      </c>
      <c r="D66" s="480">
        <f t="shared" si="31"/>
        <v>4858.0700000000006</v>
      </c>
      <c r="E66" s="480">
        <f t="shared" si="31"/>
        <v>4858.0700000000006</v>
      </c>
      <c r="F66" s="443">
        <f>IFERROR(E66/B66*100,0)</f>
        <v>99.989091507841763</v>
      </c>
      <c r="G66" s="443">
        <f>IFERROR(E66/C66*100,0)</f>
        <v>99.989091507841763</v>
      </c>
      <c r="H66" s="480">
        <f t="shared" si="31"/>
        <v>0</v>
      </c>
      <c r="I66" s="480">
        <f t="shared" si="31"/>
        <v>0</v>
      </c>
      <c r="J66" s="480">
        <f t="shared" si="31"/>
        <v>0</v>
      </c>
      <c r="K66" s="480">
        <f t="shared" si="31"/>
        <v>0</v>
      </c>
      <c r="L66" s="480">
        <f t="shared" si="31"/>
        <v>0</v>
      </c>
      <c r="M66" s="480">
        <f t="shared" si="31"/>
        <v>0</v>
      </c>
      <c r="N66" s="480">
        <f t="shared" si="31"/>
        <v>0</v>
      </c>
      <c r="O66" s="480">
        <f t="shared" si="31"/>
        <v>0</v>
      </c>
      <c r="P66" s="480">
        <f t="shared" si="31"/>
        <v>0</v>
      </c>
      <c r="Q66" s="480">
        <f t="shared" si="31"/>
        <v>0</v>
      </c>
      <c r="R66" s="480">
        <f t="shared" si="32"/>
        <v>4765.5</v>
      </c>
      <c r="S66" s="480">
        <f t="shared" si="32"/>
        <v>2149.596</v>
      </c>
      <c r="T66" s="480">
        <f t="shared" si="32"/>
        <v>0</v>
      </c>
      <c r="U66" s="480">
        <f t="shared" si="32"/>
        <v>2200</v>
      </c>
      <c r="V66" s="480">
        <f t="shared" si="32"/>
        <v>93.1</v>
      </c>
      <c r="W66" s="480">
        <f t="shared" si="32"/>
        <v>508.47399999999999</v>
      </c>
      <c r="X66" s="480">
        <f t="shared" si="32"/>
        <v>0</v>
      </c>
      <c r="Y66" s="480">
        <f t="shared" si="32"/>
        <v>0</v>
      </c>
      <c r="Z66" s="480">
        <f t="shared" si="32"/>
        <v>0</v>
      </c>
      <c r="AA66" s="480">
        <f t="shared" si="32"/>
        <v>0</v>
      </c>
      <c r="AB66" s="480">
        <f t="shared" si="32"/>
        <v>0</v>
      </c>
      <c r="AC66" s="480">
        <f t="shared" si="32"/>
        <v>0</v>
      </c>
      <c r="AD66" s="480">
        <f t="shared" si="32"/>
        <v>0</v>
      </c>
      <c r="AE66" s="480">
        <f t="shared" si="32"/>
        <v>0</v>
      </c>
      <c r="AF66" s="434"/>
      <c r="AG66" s="667"/>
    </row>
    <row r="67" spans="1:33" ht="37.5" x14ac:dyDescent="0.35">
      <c r="A67" s="451" t="s">
        <v>174</v>
      </c>
      <c r="B67" s="443">
        <f>B77+B82+B87+B92+B97+B102+B107+B112+B117+B122+B127</f>
        <v>209.1</v>
      </c>
      <c r="C67" s="480">
        <f t="shared" ref="C67:AE67" si="33">C77+C82+C87+C92+C97+C102+C107+C112+C117+C122+C127</f>
        <v>209.1</v>
      </c>
      <c r="D67" s="480">
        <f t="shared" si="33"/>
        <v>208.57</v>
      </c>
      <c r="E67" s="480">
        <f t="shared" si="33"/>
        <v>208.57</v>
      </c>
      <c r="F67" s="443">
        <f>IFERROR(E67/B67*100,0)</f>
        <v>99.746532759445245</v>
      </c>
      <c r="G67" s="443">
        <f>IFERROR(E67/C67*100,0)</f>
        <v>99.746532759445245</v>
      </c>
      <c r="H67" s="480">
        <f t="shared" si="33"/>
        <v>0</v>
      </c>
      <c r="I67" s="480">
        <f t="shared" si="33"/>
        <v>0</v>
      </c>
      <c r="J67" s="480">
        <f t="shared" si="33"/>
        <v>0</v>
      </c>
      <c r="K67" s="480">
        <f t="shared" si="33"/>
        <v>0</v>
      </c>
      <c r="L67" s="480">
        <f t="shared" si="33"/>
        <v>0</v>
      </c>
      <c r="M67" s="480">
        <f t="shared" si="33"/>
        <v>0</v>
      </c>
      <c r="N67" s="480">
        <f t="shared" si="33"/>
        <v>0</v>
      </c>
      <c r="O67" s="480">
        <f t="shared" si="33"/>
        <v>0</v>
      </c>
      <c r="P67" s="480">
        <f t="shared" si="33"/>
        <v>0</v>
      </c>
      <c r="Q67" s="480">
        <f t="shared" si="33"/>
        <v>0</v>
      </c>
      <c r="R67" s="480">
        <f t="shared" si="33"/>
        <v>209.1</v>
      </c>
      <c r="S67" s="480">
        <f t="shared" si="33"/>
        <v>204.82</v>
      </c>
      <c r="T67" s="480">
        <f t="shared" si="33"/>
        <v>0</v>
      </c>
      <c r="U67" s="480">
        <f t="shared" si="33"/>
        <v>0</v>
      </c>
      <c r="V67" s="480">
        <f t="shared" si="33"/>
        <v>0</v>
      </c>
      <c r="W67" s="480">
        <f t="shared" si="33"/>
        <v>3.75</v>
      </c>
      <c r="X67" s="480">
        <f t="shared" si="33"/>
        <v>0</v>
      </c>
      <c r="Y67" s="480">
        <f t="shared" si="33"/>
        <v>0</v>
      </c>
      <c r="Z67" s="480">
        <f t="shared" si="33"/>
        <v>0</v>
      </c>
      <c r="AA67" s="480">
        <f t="shared" si="33"/>
        <v>0</v>
      </c>
      <c r="AB67" s="480">
        <f t="shared" si="33"/>
        <v>0</v>
      </c>
      <c r="AC67" s="480">
        <f t="shared" si="33"/>
        <v>0</v>
      </c>
      <c r="AD67" s="480">
        <f t="shared" si="33"/>
        <v>0</v>
      </c>
      <c r="AE67" s="480">
        <f t="shared" si="33"/>
        <v>0</v>
      </c>
      <c r="AF67" s="434"/>
      <c r="AG67" s="667"/>
    </row>
    <row r="68" spans="1:33" ht="21" x14ac:dyDescent="0.35">
      <c r="A68" s="1195" t="s">
        <v>349</v>
      </c>
      <c r="B68" s="1196"/>
      <c r="C68" s="1196"/>
      <c r="D68" s="1196"/>
      <c r="E68" s="1196"/>
      <c r="F68" s="1196"/>
      <c r="G68" s="1196"/>
      <c r="H68" s="1196"/>
      <c r="I68" s="1196"/>
      <c r="J68" s="1196"/>
      <c r="K68" s="1196"/>
      <c r="L68" s="1196"/>
      <c r="M68" s="1196"/>
      <c r="N68" s="1196"/>
      <c r="O68" s="1196"/>
      <c r="P68" s="1196"/>
      <c r="Q68" s="1196"/>
      <c r="R68" s="1196"/>
      <c r="S68" s="1196"/>
      <c r="T68" s="1196"/>
      <c r="U68" s="1196"/>
      <c r="V68" s="1196"/>
      <c r="W68" s="1196"/>
      <c r="X68" s="1196"/>
      <c r="Y68" s="1196"/>
      <c r="Z68" s="1196"/>
      <c r="AA68" s="1196"/>
      <c r="AB68" s="1196"/>
      <c r="AC68" s="1196"/>
      <c r="AD68" s="1196"/>
      <c r="AE68" s="1197"/>
      <c r="AF68" s="434"/>
      <c r="AG68" s="667"/>
    </row>
    <row r="69" spans="1:33" s="431" customFormat="1" ht="21" x14ac:dyDescent="0.35">
      <c r="A69" s="428" t="s">
        <v>31</v>
      </c>
      <c r="B69" s="429">
        <f>B70+B71</f>
        <v>8831.2000000000007</v>
      </c>
      <c r="C69" s="429">
        <f>C70+C71</f>
        <v>8831.2000000000007</v>
      </c>
      <c r="D69" s="429">
        <f>D70+D71</f>
        <v>8820.6080000000002</v>
      </c>
      <c r="E69" s="429">
        <f>E70+E71</f>
        <v>8820.6080000000002</v>
      </c>
      <c r="F69" s="429">
        <f>IFERROR(E69/B69*100,0)</f>
        <v>99.880061599782593</v>
      </c>
      <c r="G69" s="429">
        <f>IFERROR(E69/C69*100,0)</f>
        <v>99.880061599782593</v>
      </c>
      <c r="H69" s="477">
        <f>H70+H71</f>
        <v>0</v>
      </c>
      <c r="I69" s="477">
        <f t="shared" ref="I69:AE69" si="34">I70+I71</f>
        <v>0</v>
      </c>
      <c r="J69" s="477">
        <f t="shared" si="34"/>
        <v>0</v>
      </c>
      <c r="K69" s="477">
        <f t="shared" si="34"/>
        <v>0</v>
      </c>
      <c r="L69" s="477">
        <f t="shared" si="34"/>
        <v>0</v>
      </c>
      <c r="M69" s="477">
        <f t="shared" si="34"/>
        <v>0</v>
      </c>
      <c r="N69" s="477">
        <f t="shared" si="34"/>
        <v>0</v>
      </c>
      <c r="O69" s="477">
        <f t="shared" si="34"/>
        <v>0</v>
      </c>
      <c r="P69" s="477">
        <f t="shared" si="34"/>
        <v>0</v>
      </c>
      <c r="Q69" s="477">
        <f t="shared" si="34"/>
        <v>0</v>
      </c>
      <c r="R69" s="477">
        <f t="shared" si="34"/>
        <v>8738.1</v>
      </c>
      <c r="S69" s="477">
        <f t="shared" si="34"/>
        <v>6040.8760000000002</v>
      </c>
      <c r="T69" s="477">
        <f t="shared" si="34"/>
        <v>0</v>
      </c>
      <c r="U69" s="477">
        <f t="shared" si="34"/>
        <v>2200</v>
      </c>
      <c r="V69" s="477">
        <f t="shared" si="34"/>
        <v>93.1</v>
      </c>
      <c r="W69" s="477">
        <f t="shared" si="34"/>
        <v>579.73199999999997</v>
      </c>
      <c r="X69" s="477">
        <f t="shared" si="34"/>
        <v>0</v>
      </c>
      <c r="Y69" s="477">
        <f t="shared" si="34"/>
        <v>0</v>
      </c>
      <c r="Z69" s="477">
        <f t="shared" si="34"/>
        <v>0</v>
      </c>
      <c r="AA69" s="477">
        <f t="shared" si="34"/>
        <v>0</v>
      </c>
      <c r="AB69" s="477">
        <f t="shared" si="34"/>
        <v>0</v>
      </c>
      <c r="AC69" s="477">
        <f t="shared" si="34"/>
        <v>0</v>
      </c>
      <c r="AD69" s="477">
        <f t="shared" si="34"/>
        <v>0</v>
      </c>
      <c r="AE69" s="477">
        <f t="shared" si="34"/>
        <v>0</v>
      </c>
      <c r="AF69" s="435"/>
      <c r="AG69" s="667"/>
    </row>
    <row r="70" spans="1:33" ht="21" x14ac:dyDescent="0.35">
      <c r="A70" s="432" t="s">
        <v>32</v>
      </c>
      <c r="B70" s="433">
        <f>SUM(H70,J70,L70,N70,P70,R70,T70,V70,X70,Z70,AB70,AD70)</f>
        <v>3972.6</v>
      </c>
      <c r="C70" s="433">
        <f>H70+J70+L70+N70+P70+R70+T70+V70</f>
        <v>3972.6</v>
      </c>
      <c r="D70" s="433">
        <f>E70</f>
        <v>3962.5379999999996</v>
      </c>
      <c r="E70" s="433">
        <f>SUM(I70,K70,M70,O70,Q70,S70,U70,W70,Y70,AA70,AC70,AE70)</f>
        <v>3962.5379999999996</v>
      </c>
      <c r="F70" s="433">
        <f>IFERROR(E70/B70*100,0)</f>
        <v>99.746714997734472</v>
      </c>
      <c r="G70" s="433">
        <f>IFERROR(E70/C70*100,0)</f>
        <v>99.746714997734472</v>
      </c>
      <c r="H70" s="478">
        <f>H75+H80+H85+H90+H95+H100+H105+H110+H115+H120+H125</f>
        <v>0</v>
      </c>
      <c r="I70" s="478">
        <f t="shared" ref="I70:AE72" si="35">I75+I80+I85+I90+I95+I100+I105+I110+I115+I120+I125</f>
        <v>0</v>
      </c>
      <c r="J70" s="478">
        <f t="shared" si="35"/>
        <v>0</v>
      </c>
      <c r="K70" s="478">
        <f t="shared" si="35"/>
        <v>0</v>
      </c>
      <c r="L70" s="478">
        <f t="shared" si="35"/>
        <v>0</v>
      </c>
      <c r="M70" s="478">
        <f t="shared" si="35"/>
        <v>0</v>
      </c>
      <c r="N70" s="478">
        <f t="shared" si="35"/>
        <v>0</v>
      </c>
      <c r="O70" s="478">
        <f t="shared" si="35"/>
        <v>0</v>
      </c>
      <c r="P70" s="478">
        <f t="shared" si="35"/>
        <v>0</v>
      </c>
      <c r="Q70" s="478">
        <f t="shared" si="35"/>
        <v>0</v>
      </c>
      <c r="R70" s="478">
        <f t="shared" si="35"/>
        <v>3972.6</v>
      </c>
      <c r="S70" s="478">
        <f t="shared" si="35"/>
        <v>3891.2799999999997</v>
      </c>
      <c r="T70" s="478">
        <f t="shared" si="35"/>
        <v>0</v>
      </c>
      <c r="U70" s="478">
        <f t="shared" si="35"/>
        <v>0</v>
      </c>
      <c r="V70" s="478">
        <f t="shared" si="35"/>
        <v>0</v>
      </c>
      <c r="W70" s="478">
        <f t="shared" si="35"/>
        <v>71.257999999999996</v>
      </c>
      <c r="X70" s="478">
        <f t="shared" si="35"/>
        <v>0</v>
      </c>
      <c r="Y70" s="478">
        <f t="shared" si="35"/>
        <v>0</v>
      </c>
      <c r="Z70" s="478">
        <f t="shared" si="35"/>
        <v>0</v>
      </c>
      <c r="AA70" s="478">
        <f t="shared" si="35"/>
        <v>0</v>
      </c>
      <c r="AB70" s="478">
        <f t="shared" si="35"/>
        <v>0</v>
      </c>
      <c r="AC70" s="478">
        <f t="shared" si="35"/>
        <v>0</v>
      </c>
      <c r="AD70" s="478">
        <f t="shared" si="35"/>
        <v>0</v>
      </c>
      <c r="AE70" s="478">
        <f t="shared" si="35"/>
        <v>0</v>
      </c>
      <c r="AF70" s="434"/>
      <c r="AG70" s="667"/>
    </row>
    <row r="71" spans="1:33" ht="21" x14ac:dyDescent="0.35">
      <c r="A71" s="432" t="s">
        <v>33</v>
      </c>
      <c r="B71" s="433">
        <f>SUM(H71,J71,L71,N71,P71,R71,T71,V71,X71,Z71,AB71,AD71)</f>
        <v>4858.6000000000004</v>
      </c>
      <c r="C71" s="433">
        <f t="shared" ref="C71:C72" si="36">H71+J71+L71+N71+P71+R71+T71+V71</f>
        <v>4858.6000000000004</v>
      </c>
      <c r="D71" s="433">
        <f>E71</f>
        <v>4858.07</v>
      </c>
      <c r="E71" s="433">
        <f>SUM(I71,K71,M71,O71,Q71,S71,U71,W71,Y71,AA71,AC71,AE71)</f>
        <v>4858.07</v>
      </c>
      <c r="F71" s="433">
        <f>IFERROR(E71/B71*100,0)</f>
        <v>99.989091507841749</v>
      </c>
      <c r="G71" s="433">
        <f>IFERROR(E71/C71*100,0)</f>
        <v>99.989091507841749</v>
      </c>
      <c r="H71" s="478">
        <f t="shared" ref="H71:W72" si="37">H76+H81+H86+H91+H96+H101+H106+H111+H116+H121+H126</f>
        <v>0</v>
      </c>
      <c r="I71" s="478">
        <f t="shared" si="37"/>
        <v>0</v>
      </c>
      <c r="J71" s="478">
        <f t="shared" si="37"/>
        <v>0</v>
      </c>
      <c r="K71" s="478">
        <f t="shared" si="37"/>
        <v>0</v>
      </c>
      <c r="L71" s="478">
        <f t="shared" si="37"/>
        <v>0</v>
      </c>
      <c r="M71" s="478">
        <f t="shared" si="37"/>
        <v>0</v>
      </c>
      <c r="N71" s="478">
        <f t="shared" si="37"/>
        <v>0</v>
      </c>
      <c r="O71" s="478">
        <f t="shared" si="37"/>
        <v>0</v>
      </c>
      <c r="P71" s="478">
        <f t="shared" si="37"/>
        <v>0</v>
      </c>
      <c r="Q71" s="478">
        <f t="shared" si="37"/>
        <v>0</v>
      </c>
      <c r="R71" s="478">
        <f t="shared" si="37"/>
        <v>4765.5</v>
      </c>
      <c r="S71" s="478">
        <f t="shared" si="37"/>
        <v>2149.596</v>
      </c>
      <c r="T71" s="478">
        <f t="shared" si="37"/>
        <v>0</v>
      </c>
      <c r="U71" s="478">
        <f t="shared" si="37"/>
        <v>2200</v>
      </c>
      <c r="V71" s="478">
        <f t="shared" si="37"/>
        <v>93.1</v>
      </c>
      <c r="W71" s="478">
        <f t="shared" si="37"/>
        <v>508.47399999999999</v>
      </c>
      <c r="X71" s="478">
        <f t="shared" si="35"/>
        <v>0</v>
      </c>
      <c r="Y71" s="478">
        <f t="shared" si="35"/>
        <v>0</v>
      </c>
      <c r="Z71" s="478">
        <f t="shared" si="35"/>
        <v>0</v>
      </c>
      <c r="AA71" s="478">
        <f t="shared" si="35"/>
        <v>0</v>
      </c>
      <c r="AB71" s="478">
        <f t="shared" si="35"/>
        <v>0</v>
      </c>
      <c r="AC71" s="478">
        <f t="shared" si="35"/>
        <v>0</v>
      </c>
      <c r="AD71" s="478">
        <f t="shared" si="35"/>
        <v>0</v>
      </c>
      <c r="AE71" s="478">
        <f t="shared" si="35"/>
        <v>0</v>
      </c>
      <c r="AF71" s="434"/>
      <c r="AG71" s="667"/>
    </row>
    <row r="72" spans="1:33" ht="37.5" x14ac:dyDescent="0.35">
      <c r="A72" s="451" t="s">
        <v>174</v>
      </c>
      <c r="B72" s="433">
        <f>SUM(H72,J72,L72,N72,P72,R72,T72,V72,X72,Z72,AB72,AD72)</f>
        <v>209.1</v>
      </c>
      <c r="C72" s="433">
        <f t="shared" si="36"/>
        <v>209.1</v>
      </c>
      <c r="D72" s="433">
        <f>E72</f>
        <v>208.57</v>
      </c>
      <c r="E72" s="433">
        <f>SUM(I72,K72,M72,O72,Q72,S72,U72,W72,Y72,AA72,AC72,AE72)</f>
        <v>208.57</v>
      </c>
      <c r="F72" s="433">
        <f>IFERROR(E72/B72*100,0)</f>
        <v>99.746532759445245</v>
      </c>
      <c r="G72" s="433">
        <f>IFERROR(E72/C72*100,0)</f>
        <v>99.746532759445245</v>
      </c>
      <c r="H72" s="478">
        <f t="shared" si="37"/>
        <v>0</v>
      </c>
      <c r="I72" s="478">
        <f t="shared" si="37"/>
        <v>0</v>
      </c>
      <c r="J72" s="478">
        <f t="shared" si="37"/>
        <v>0</v>
      </c>
      <c r="K72" s="478">
        <f t="shared" si="37"/>
        <v>0</v>
      </c>
      <c r="L72" s="478">
        <f t="shared" si="37"/>
        <v>0</v>
      </c>
      <c r="M72" s="478">
        <f t="shared" si="37"/>
        <v>0</v>
      </c>
      <c r="N72" s="478">
        <f t="shared" si="37"/>
        <v>0</v>
      </c>
      <c r="O72" s="478">
        <f t="shared" si="37"/>
        <v>0</v>
      </c>
      <c r="P72" s="478">
        <f t="shared" si="37"/>
        <v>0</v>
      </c>
      <c r="Q72" s="478">
        <f t="shared" si="37"/>
        <v>0</v>
      </c>
      <c r="R72" s="478">
        <f t="shared" si="37"/>
        <v>209.1</v>
      </c>
      <c r="S72" s="478">
        <f t="shared" si="37"/>
        <v>204.82</v>
      </c>
      <c r="T72" s="478">
        <f t="shared" si="37"/>
        <v>0</v>
      </c>
      <c r="U72" s="478">
        <f t="shared" si="37"/>
        <v>0</v>
      </c>
      <c r="V72" s="478">
        <f t="shared" si="37"/>
        <v>0</v>
      </c>
      <c r="W72" s="478">
        <f t="shared" si="37"/>
        <v>3.75</v>
      </c>
      <c r="X72" s="478">
        <f t="shared" si="35"/>
        <v>0</v>
      </c>
      <c r="Y72" s="478">
        <f t="shared" si="35"/>
        <v>0</v>
      </c>
      <c r="Z72" s="478">
        <f t="shared" si="35"/>
        <v>0</v>
      </c>
      <c r="AA72" s="478">
        <f t="shared" si="35"/>
        <v>0</v>
      </c>
      <c r="AB72" s="478">
        <f t="shared" si="35"/>
        <v>0</v>
      </c>
      <c r="AC72" s="478">
        <f t="shared" si="35"/>
        <v>0</v>
      </c>
      <c r="AD72" s="478">
        <f t="shared" si="35"/>
        <v>0</v>
      </c>
      <c r="AE72" s="478">
        <f t="shared" si="35"/>
        <v>0</v>
      </c>
      <c r="AF72" s="434"/>
      <c r="AG72" s="667"/>
    </row>
    <row r="73" spans="1:33" ht="21" x14ac:dyDescent="0.35">
      <c r="A73" s="1195" t="s">
        <v>350</v>
      </c>
      <c r="B73" s="1196"/>
      <c r="C73" s="1196"/>
      <c r="D73" s="1196"/>
      <c r="E73" s="1196"/>
      <c r="F73" s="1196"/>
      <c r="G73" s="1196"/>
      <c r="H73" s="1196"/>
      <c r="I73" s="1196"/>
      <c r="J73" s="1196"/>
      <c r="K73" s="1196"/>
      <c r="L73" s="1196"/>
      <c r="M73" s="1196"/>
      <c r="N73" s="1196"/>
      <c r="O73" s="1196"/>
      <c r="P73" s="1196"/>
      <c r="Q73" s="1196"/>
      <c r="R73" s="1196"/>
      <c r="S73" s="1196"/>
      <c r="T73" s="1196"/>
      <c r="U73" s="1196"/>
      <c r="V73" s="1196"/>
      <c r="W73" s="1196"/>
      <c r="X73" s="1196"/>
      <c r="Y73" s="1196"/>
      <c r="Z73" s="1196"/>
      <c r="AA73" s="1196"/>
      <c r="AB73" s="1196"/>
      <c r="AC73" s="1196"/>
      <c r="AD73" s="1196"/>
      <c r="AE73" s="1197"/>
      <c r="AF73" s="434"/>
      <c r="AG73" s="667"/>
    </row>
    <row r="74" spans="1:33" s="431" customFormat="1" ht="65.25" customHeight="1" x14ac:dyDescent="0.35">
      <c r="A74" s="428" t="s">
        <v>31</v>
      </c>
      <c r="B74" s="429">
        <f>B75+B76</f>
        <v>1684.22</v>
      </c>
      <c r="C74" s="429">
        <f>C75+C76</f>
        <v>1684.22</v>
      </c>
      <c r="D74" s="429">
        <f>D75+D76</f>
        <v>1684.22</v>
      </c>
      <c r="E74" s="429">
        <f>E75+E76</f>
        <v>1684.22</v>
      </c>
      <c r="F74" s="429">
        <f>IFERROR(E74/B74*100,0)</f>
        <v>100</v>
      </c>
      <c r="G74" s="429">
        <f>IFERROR(E74/C74*100,0)</f>
        <v>100</v>
      </c>
      <c r="H74" s="477">
        <f>H75+H76</f>
        <v>0</v>
      </c>
      <c r="I74" s="477">
        <f t="shared" ref="I74:AE74" si="38">I75+I76</f>
        <v>0</v>
      </c>
      <c r="J74" s="477">
        <f t="shared" si="38"/>
        <v>0</v>
      </c>
      <c r="K74" s="477">
        <f t="shared" si="38"/>
        <v>0</v>
      </c>
      <c r="L74" s="477">
        <f t="shared" si="38"/>
        <v>0</v>
      </c>
      <c r="M74" s="477">
        <f t="shared" si="38"/>
        <v>0</v>
      </c>
      <c r="N74" s="477">
        <f t="shared" si="38"/>
        <v>0</v>
      </c>
      <c r="O74" s="477">
        <f t="shared" si="38"/>
        <v>0</v>
      </c>
      <c r="P74" s="477">
        <f t="shared" si="38"/>
        <v>0</v>
      </c>
      <c r="Q74" s="477">
        <f t="shared" si="38"/>
        <v>0</v>
      </c>
      <c r="R74" s="477">
        <f t="shared" si="38"/>
        <v>1684.22</v>
      </c>
      <c r="S74" s="477">
        <f t="shared" si="38"/>
        <v>1684.22</v>
      </c>
      <c r="T74" s="477">
        <f t="shared" si="38"/>
        <v>0</v>
      </c>
      <c r="U74" s="477">
        <f t="shared" si="38"/>
        <v>0</v>
      </c>
      <c r="V74" s="477">
        <f t="shared" si="38"/>
        <v>0</v>
      </c>
      <c r="W74" s="477">
        <f t="shared" si="38"/>
        <v>0</v>
      </c>
      <c r="X74" s="477">
        <f t="shared" si="38"/>
        <v>0</v>
      </c>
      <c r="Y74" s="477">
        <f t="shared" si="38"/>
        <v>0</v>
      </c>
      <c r="Z74" s="477">
        <f t="shared" si="38"/>
        <v>0</v>
      </c>
      <c r="AA74" s="477">
        <f t="shared" si="38"/>
        <v>0</v>
      </c>
      <c r="AB74" s="477">
        <f t="shared" si="38"/>
        <v>0</v>
      </c>
      <c r="AC74" s="477">
        <f t="shared" si="38"/>
        <v>0</v>
      </c>
      <c r="AD74" s="477">
        <f t="shared" si="38"/>
        <v>0</v>
      </c>
      <c r="AE74" s="477">
        <f t="shared" si="38"/>
        <v>0</v>
      </c>
      <c r="AF74" s="434" t="s">
        <v>567</v>
      </c>
      <c r="AG74" s="667"/>
    </row>
    <row r="75" spans="1:33" ht="21" x14ac:dyDescent="0.35">
      <c r="A75" s="432" t="s">
        <v>32</v>
      </c>
      <c r="B75" s="572">
        <f>SUM(H75,J75,L75,N75,P75,R75,T75,V75,X75,Z75,AB75,AD75)</f>
        <v>1600</v>
      </c>
      <c r="C75" s="433">
        <f>H75+J75+L75+N75+P75+R75+T75</f>
        <v>1600</v>
      </c>
      <c r="D75" s="433">
        <f>E75</f>
        <v>1600</v>
      </c>
      <c r="E75" s="433">
        <f>SUM(I75,K75,M75,O75,Q75,S75,U75,W75,Y75,AA75,AC75,AE75)</f>
        <v>1600</v>
      </c>
      <c r="F75" s="433">
        <f>IFERROR(E75/B75*100,0)</f>
        <v>100</v>
      </c>
      <c r="G75" s="433">
        <f>IFERROR(E75/C75*100,0)</f>
        <v>100</v>
      </c>
      <c r="H75" s="478">
        <v>0</v>
      </c>
      <c r="I75" s="478">
        <v>0</v>
      </c>
      <c r="J75" s="478">
        <v>0</v>
      </c>
      <c r="K75" s="478">
        <v>0</v>
      </c>
      <c r="L75" s="478">
        <v>0</v>
      </c>
      <c r="M75" s="478">
        <v>0</v>
      </c>
      <c r="N75" s="478">
        <v>0</v>
      </c>
      <c r="O75" s="478">
        <v>0</v>
      </c>
      <c r="P75" s="478">
        <v>0</v>
      </c>
      <c r="Q75" s="478">
        <v>0</v>
      </c>
      <c r="R75" s="478">
        <v>1600</v>
      </c>
      <c r="S75" s="478">
        <v>1600</v>
      </c>
      <c r="T75" s="478">
        <v>0</v>
      </c>
      <c r="U75" s="478">
        <v>0</v>
      </c>
      <c r="V75" s="478">
        <v>0</v>
      </c>
      <c r="W75" s="478">
        <v>0</v>
      </c>
      <c r="X75" s="478">
        <v>0</v>
      </c>
      <c r="Y75" s="478">
        <v>0</v>
      </c>
      <c r="Z75" s="478">
        <v>0</v>
      </c>
      <c r="AA75" s="478">
        <v>0</v>
      </c>
      <c r="AB75" s="478">
        <v>0</v>
      </c>
      <c r="AC75" s="478">
        <v>0</v>
      </c>
      <c r="AD75" s="478">
        <v>0</v>
      </c>
      <c r="AE75" s="478">
        <v>0</v>
      </c>
      <c r="AF75" s="434"/>
      <c r="AG75" s="667"/>
    </row>
    <row r="76" spans="1:33" ht="21" x14ac:dyDescent="0.35">
      <c r="A76" s="432" t="s">
        <v>33</v>
      </c>
      <c r="B76" s="433">
        <f>SUM(H76,J76,L76,N76,P76,R76,T76,V76,X76,Z76,AB76,AD76)</f>
        <v>84.22</v>
      </c>
      <c r="C76" s="433">
        <f t="shared" ref="C76:C77" si="39">H76+J76+L76+N76+P76+R76+T76</f>
        <v>84.22</v>
      </c>
      <c r="D76" s="433">
        <f>E76</f>
        <v>84.22</v>
      </c>
      <c r="E76" s="433">
        <f>SUM(I76,K76,M76,O76,Q76,S76,U76,W76,Y76,AA76,AC76,AE76)</f>
        <v>84.22</v>
      </c>
      <c r="F76" s="433">
        <f>IFERROR(E76/B76*100,0)</f>
        <v>100</v>
      </c>
      <c r="G76" s="433">
        <f>IFERROR(E76/C76*100,0)</f>
        <v>100</v>
      </c>
      <c r="H76" s="478">
        <v>0</v>
      </c>
      <c r="I76" s="478">
        <v>0</v>
      </c>
      <c r="J76" s="478">
        <v>0</v>
      </c>
      <c r="K76" s="478">
        <v>0</v>
      </c>
      <c r="L76" s="478">
        <v>0</v>
      </c>
      <c r="M76" s="478">
        <v>0</v>
      </c>
      <c r="N76" s="478">
        <v>0</v>
      </c>
      <c r="O76" s="478">
        <v>0</v>
      </c>
      <c r="P76" s="478">
        <v>0</v>
      </c>
      <c r="Q76" s="478">
        <v>0</v>
      </c>
      <c r="R76" s="478">
        <v>84.22</v>
      </c>
      <c r="S76" s="478">
        <v>84.22</v>
      </c>
      <c r="T76" s="478">
        <v>0</v>
      </c>
      <c r="U76" s="478">
        <v>0</v>
      </c>
      <c r="V76" s="478">
        <v>0</v>
      </c>
      <c r="W76" s="478">
        <v>0</v>
      </c>
      <c r="X76" s="478">
        <v>0</v>
      </c>
      <c r="Y76" s="478">
        <v>0</v>
      </c>
      <c r="Z76" s="478">
        <v>0</v>
      </c>
      <c r="AA76" s="478">
        <v>0</v>
      </c>
      <c r="AB76" s="478">
        <v>0</v>
      </c>
      <c r="AC76" s="478">
        <v>0</v>
      </c>
      <c r="AD76" s="478">
        <v>0</v>
      </c>
      <c r="AE76" s="478">
        <v>0</v>
      </c>
      <c r="AF76" s="434"/>
      <c r="AG76" s="667"/>
    </row>
    <row r="77" spans="1:33" ht="37.5" x14ac:dyDescent="0.35">
      <c r="A77" s="451" t="s">
        <v>174</v>
      </c>
      <c r="B77" s="433">
        <f>SUM(H77,J77,L77,N77,P77,R77,T77,V77,X77,Z77,AB77,AD77)</f>
        <v>84.22</v>
      </c>
      <c r="C77" s="433">
        <f t="shared" si="39"/>
        <v>84.22</v>
      </c>
      <c r="D77" s="433">
        <f>E77</f>
        <v>84.22</v>
      </c>
      <c r="E77" s="433">
        <f>SUM(I77,K77,M77,O77,Q77,S77,U77,W77,Y77,AA77,AC77,AE77)</f>
        <v>84.22</v>
      </c>
      <c r="F77" s="433">
        <f>IFERROR(E77/B77*100,0)</f>
        <v>100</v>
      </c>
      <c r="G77" s="433">
        <f>IFERROR(E77/C77*100,0)</f>
        <v>100</v>
      </c>
      <c r="H77" s="478">
        <v>0</v>
      </c>
      <c r="I77" s="478">
        <v>0</v>
      </c>
      <c r="J77" s="478">
        <v>0</v>
      </c>
      <c r="K77" s="478">
        <v>0</v>
      </c>
      <c r="L77" s="478">
        <v>0</v>
      </c>
      <c r="M77" s="478">
        <v>0</v>
      </c>
      <c r="N77" s="478">
        <v>0</v>
      </c>
      <c r="O77" s="478">
        <v>0</v>
      </c>
      <c r="P77" s="478">
        <v>0</v>
      </c>
      <c r="Q77" s="478">
        <v>0</v>
      </c>
      <c r="R77" s="478">
        <v>84.22</v>
      </c>
      <c r="S77" s="478">
        <v>84.22</v>
      </c>
      <c r="T77" s="478">
        <v>0</v>
      </c>
      <c r="U77" s="478">
        <v>0</v>
      </c>
      <c r="V77" s="478">
        <v>0</v>
      </c>
      <c r="W77" s="478">
        <v>0</v>
      </c>
      <c r="X77" s="478">
        <v>0</v>
      </c>
      <c r="Y77" s="478">
        <v>0</v>
      </c>
      <c r="Z77" s="478">
        <v>0</v>
      </c>
      <c r="AA77" s="478">
        <v>0</v>
      </c>
      <c r="AB77" s="478">
        <v>0</v>
      </c>
      <c r="AC77" s="478">
        <v>0</v>
      </c>
      <c r="AD77" s="478">
        <v>0</v>
      </c>
      <c r="AE77" s="478">
        <v>0</v>
      </c>
      <c r="AF77" s="434"/>
      <c r="AG77" s="667"/>
    </row>
    <row r="78" spans="1:33" ht="21" x14ac:dyDescent="0.35">
      <c r="A78" s="1195" t="s">
        <v>351</v>
      </c>
      <c r="B78" s="1196"/>
      <c r="C78" s="1196"/>
      <c r="D78" s="1196"/>
      <c r="E78" s="1196"/>
      <c r="F78" s="1196"/>
      <c r="G78" s="1196"/>
      <c r="H78" s="1196"/>
      <c r="I78" s="1196"/>
      <c r="J78" s="1196"/>
      <c r="K78" s="1196"/>
      <c r="L78" s="1196"/>
      <c r="M78" s="1196"/>
      <c r="N78" s="1196"/>
      <c r="O78" s="1196"/>
      <c r="P78" s="1196"/>
      <c r="Q78" s="1196"/>
      <c r="R78" s="1196"/>
      <c r="S78" s="1196"/>
      <c r="T78" s="1196"/>
      <c r="U78" s="1196"/>
      <c r="V78" s="1196"/>
      <c r="W78" s="1196"/>
      <c r="X78" s="1196"/>
      <c r="Y78" s="1196"/>
      <c r="Z78" s="1196"/>
      <c r="AA78" s="1196"/>
      <c r="AB78" s="1196"/>
      <c r="AC78" s="1196"/>
      <c r="AD78" s="1196"/>
      <c r="AE78" s="1197"/>
      <c r="AF78" s="434"/>
      <c r="AG78" s="667"/>
    </row>
    <row r="79" spans="1:33" s="431" customFormat="1" ht="60.75" customHeight="1" x14ac:dyDescent="0.35">
      <c r="A79" s="428" t="s">
        <v>31</v>
      </c>
      <c r="B79" s="429">
        <f>B80+B81</f>
        <v>1897.48</v>
      </c>
      <c r="C79" s="429">
        <f>C80+C81</f>
        <v>1897.48</v>
      </c>
      <c r="D79" s="429">
        <f>D80+D81</f>
        <v>1897.48</v>
      </c>
      <c r="E79" s="429">
        <f>E80+E81</f>
        <v>1897.48</v>
      </c>
      <c r="F79" s="429">
        <f>IFERROR(E79/B79*100,0)</f>
        <v>100</v>
      </c>
      <c r="G79" s="429">
        <f>IFERROR(E79/C79*100,0)</f>
        <v>100</v>
      </c>
      <c r="H79" s="477">
        <f>H80+H81</f>
        <v>0</v>
      </c>
      <c r="I79" s="477">
        <f t="shared" ref="I79:AE79" si="40">I80+I81</f>
        <v>0</v>
      </c>
      <c r="J79" s="477">
        <f t="shared" si="40"/>
        <v>0</v>
      </c>
      <c r="K79" s="477">
        <f t="shared" si="40"/>
        <v>0</v>
      </c>
      <c r="L79" s="477">
        <f t="shared" si="40"/>
        <v>0</v>
      </c>
      <c r="M79" s="477">
        <f t="shared" si="40"/>
        <v>0</v>
      </c>
      <c r="N79" s="477">
        <f t="shared" si="40"/>
        <v>0</v>
      </c>
      <c r="O79" s="477">
        <f t="shared" si="40"/>
        <v>0</v>
      </c>
      <c r="P79" s="477">
        <f t="shared" si="40"/>
        <v>0</v>
      </c>
      <c r="Q79" s="477">
        <f t="shared" si="40"/>
        <v>0</v>
      </c>
      <c r="R79" s="477">
        <f t="shared" si="40"/>
        <v>1897.48</v>
      </c>
      <c r="S79" s="477">
        <f t="shared" si="40"/>
        <v>1897.48</v>
      </c>
      <c r="T79" s="477">
        <f t="shared" si="40"/>
        <v>0</v>
      </c>
      <c r="U79" s="477">
        <f t="shared" si="40"/>
        <v>0</v>
      </c>
      <c r="V79" s="477">
        <f t="shared" si="40"/>
        <v>0</v>
      </c>
      <c r="W79" s="477">
        <f t="shared" si="40"/>
        <v>0</v>
      </c>
      <c r="X79" s="477">
        <f t="shared" si="40"/>
        <v>0</v>
      </c>
      <c r="Y79" s="477">
        <f t="shared" si="40"/>
        <v>0</v>
      </c>
      <c r="Z79" s="477">
        <f t="shared" si="40"/>
        <v>0</v>
      </c>
      <c r="AA79" s="477">
        <f t="shared" si="40"/>
        <v>0</v>
      </c>
      <c r="AB79" s="477">
        <f t="shared" si="40"/>
        <v>0</v>
      </c>
      <c r="AC79" s="477">
        <f t="shared" si="40"/>
        <v>0</v>
      </c>
      <c r="AD79" s="477">
        <f t="shared" si="40"/>
        <v>0</v>
      </c>
      <c r="AE79" s="477">
        <f t="shared" si="40"/>
        <v>0</v>
      </c>
      <c r="AF79" s="434" t="s">
        <v>568</v>
      </c>
      <c r="AG79" s="667"/>
    </row>
    <row r="80" spans="1:33" ht="21" x14ac:dyDescent="0.35">
      <c r="A80" s="432" t="s">
        <v>32</v>
      </c>
      <c r="B80" s="572">
        <f>SUM(H80,J80,L80,N80,P80,R80,T80,V80,X80,Z80,AB80,AD80)</f>
        <v>1802.6</v>
      </c>
      <c r="C80" s="433">
        <f>H80+J80+L80+N80+P80+R80</f>
        <v>1802.6</v>
      </c>
      <c r="D80" s="433">
        <f>E80</f>
        <v>1802.6</v>
      </c>
      <c r="E80" s="433">
        <f>SUM(I80,K80,M80,O80,Q80,S80,U80,W80,Y80,AA80,AC80,AE80)</f>
        <v>1802.6</v>
      </c>
      <c r="F80" s="433">
        <f>IFERROR(E80/B80*100,0)</f>
        <v>100</v>
      </c>
      <c r="G80" s="433">
        <f>IFERROR(E80/C80*100,0)</f>
        <v>100</v>
      </c>
      <c r="H80" s="478">
        <v>0</v>
      </c>
      <c r="I80" s="478">
        <v>0</v>
      </c>
      <c r="J80" s="478">
        <v>0</v>
      </c>
      <c r="K80" s="478">
        <v>0</v>
      </c>
      <c r="L80" s="478">
        <v>0</v>
      </c>
      <c r="M80" s="478">
        <v>0</v>
      </c>
      <c r="N80" s="478">
        <v>0</v>
      </c>
      <c r="O80" s="478">
        <v>0</v>
      </c>
      <c r="P80" s="478">
        <v>0</v>
      </c>
      <c r="Q80" s="478">
        <v>0</v>
      </c>
      <c r="R80" s="478">
        <v>1802.6</v>
      </c>
      <c r="S80" s="478">
        <v>1802.6</v>
      </c>
      <c r="T80" s="478">
        <v>0</v>
      </c>
      <c r="U80" s="478">
        <v>0</v>
      </c>
      <c r="V80" s="478">
        <v>0</v>
      </c>
      <c r="W80" s="478">
        <v>0</v>
      </c>
      <c r="X80" s="478">
        <v>0</v>
      </c>
      <c r="Y80" s="478">
        <v>0</v>
      </c>
      <c r="Z80" s="478">
        <v>0</v>
      </c>
      <c r="AA80" s="478">
        <v>0</v>
      </c>
      <c r="AB80" s="478">
        <v>0</v>
      </c>
      <c r="AC80" s="478">
        <v>0</v>
      </c>
      <c r="AD80" s="478">
        <v>0</v>
      </c>
      <c r="AE80" s="478">
        <v>0</v>
      </c>
      <c r="AF80" s="434"/>
      <c r="AG80" s="667"/>
    </row>
    <row r="81" spans="1:33" ht="21" x14ac:dyDescent="0.35">
      <c r="A81" s="432" t="s">
        <v>33</v>
      </c>
      <c r="B81" s="433">
        <f>SUM(H81,J81,L81,N81,P81,R81,T81,V81,X81,Z81,AB81,AD81)</f>
        <v>94.88</v>
      </c>
      <c r="C81" s="433">
        <f t="shared" ref="C81:C82" si="41">H81+J81+L81+N81+P81+R81</f>
        <v>94.88</v>
      </c>
      <c r="D81" s="433">
        <f>E81</f>
        <v>94.88</v>
      </c>
      <c r="E81" s="433">
        <f>SUM(I81,K81,M81,O81,Q81,S81,U81,W81,Y81,AA81,AC81,AE81)</f>
        <v>94.88</v>
      </c>
      <c r="F81" s="433">
        <f>IFERROR(E81/B81*100,0)</f>
        <v>100</v>
      </c>
      <c r="G81" s="433">
        <f>IFERROR(E81/C81*100,0)</f>
        <v>100</v>
      </c>
      <c r="H81" s="478">
        <v>0</v>
      </c>
      <c r="I81" s="478">
        <v>0</v>
      </c>
      <c r="J81" s="478">
        <v>0</v>
      </c>
      <c r="K81" s="478">
        <v>0</v>
      </c>
      <c r="L81" s="478">
        <v>0</v>
      </c>
      <c r="M81" s="478">
        <v>0</v>
      </c>
      <c r="N81" s="478">
        <v>0</v>
      </c>
      <c r="O81" s="478">
        <v>0</v>
      </c>
      <c r="P81" s="478">
        <v>0</v>
      </c>
      <c r="Q81" s="478">
        <v>0</v>
      </c>
      <c r="R81" s="478">
        <v>94.88</v>
      </c>
      <c r="S81" s="478">
        <v>94.88</v>
      </c>
      <c r="T81" s="478">
        <v>0</v>
      </c>
      <c r="U81" s="478">
        <v>0</v>
      </c>
      <c r="V81" s="478">
        <v>0</v>
      </c>
      <c r="W81" s="478">
        <v>0</v>
      </c>
      <c r="X81" s="478">
        <v>0</v>
      </c>
      <c r="Y81" s="478">
        <v>0</v>
      </c>
      <c r="Z81" s="478">
        <v>0</v>
      </c>
      <c r="AA81" s="478">
        <v>0</v>
      </c>
      <c r="AB81" s="478">
        <v>0</v>
      </c>
      <c r="AC81" s="478">
        <v>0</v>
      </c>
      <c r="AD81" s="478">
        <v>0</v>
      </c>
      <c r="AE81" s="478">
        <v>0</v>
      </c>
      <c r="AF81" s="434"/>
      <c r="AG81" s="667"/>
    </row>
    <row r="82" spans="1:33" ht="37.5" x14ac:dyDescent="0.35">
      <c r="A82" s="451" t="s">
        <v>174</v>
      </c>
      <c r="B82" s="433">
        <f>SUM(H82,J82,L82,N82,P82,R82,T82,V82,X82,Z82,AB82,AD82)</f>
        <v>94.88</v>
      </c>
      <c r="C82" s="433">
        <f t="shared" si="41"/>
        <v>94.88</v>
      </c>
      <c r="D82" s="433">
        <f>E82</f>
        <v>94.88</v>
      </c>
      <c r="E82" s="433">
        <f>SUM(I82,K82,M82,O82,Q82,S82,U82,W82,Y82,AA82,AC82,AE82)</f>
        <v>94.88</v>
      </c>
      <c r="F82" s="433">
        <f>IFERROR(E82/B82*100,0)</f>
        <v>100</v>
      </c>
      <c r="G82" s="433">
        <f>IFERROR(E82/C82*100,0)</f>
        <v>100</v>
      </c>
      <c r="H82" s="478">
        <v>0</v>
      </c>
      <c r="I82" s="478">
        <v>0</v>
      </c>
      <c r="J82" s="478">
        <v>0</v>
      </c>
      <c r="K82" s="478">
        <v>0</v>
      </c>
      <c r="L82" s="478">
        <v>0</v>
      </c>
      <c r="M82" s="478">
        <v>0</v>
      </c>
      <c r="N82" s="478">
        <v>0</v>
      </c>
      <c r="O82" s="478">
        <v>0</v>
      </c>
      <c r="P82" s="478">
        <v>0</v>
      </c>
      <c r="Q82" s="478">
        <v>0</v>
      </c>
      <c r="R82" s="478">
        <v>94.88</v>
      </c>
      <c r="S82" s="478">
        <v>94.88</v>
      </c>
      <c r="T82" s="478">
        <v>0</v>
      </c>
      <c r="U82" s="478">
        <v>0</v>
      </c>
      <c r="V82" s="478">
        <v>0</v>
      </c>
      <c r="W82" s="478">
        <v>0</v>
      </c>
      <c r="X82" s="478">
        <v>0</v>
      </c>
      <c r="Y82" s="478">
        <v>0</v>
      </c>
      <c r="Z82" s="478">
        <v>0</v>
      </c>
      <c r="AA82" s="478">
        <v>0</v>
      </c>
      <c r="AB82" s="478">
        <v>0</v>
      </c>
      <c r="AC82" s="478">
        <v>0</v>
      </c>
      <c r="AD82" s="478">
        <v>0</v>
      </c>
      <c r="AE82" s="478">
        <v>0</v>
      </c>
      <c r="AF82" s="434"/>
      <c r="AG82" s="667"/>
    </row>
    <row r="83" spans="1:33" ht="21" x14ac:dyDescent="0.35">
      <c r="A83" s="1195" t="s">
        <v>352</v>
      </c>
      <c r="B83" s="1196"/>
      <c r="C83" s="1196"/>
      <c r="D83" s="1196"/>
      <c r="E83" s="1196"/>
      <c r="F83" s="1196"/>
      <c r="G83" s="1196"/>
      <c r="H83" s="1196"/>
      <c r="I83" s="1196"/>
      <c r="J83" s="1196"/>
      <c r="K83" s="1196"/>
      <c r="L83" s="1196"/>
      <c r="M83" s="1196"/>
      <c r="N83" s="1196"/>
      <c r="O83" s="1196"/>
      <c r="P83" s="1196"/>
      <c r="Q83" s="1196"/>
      <c r="R83" s="1196"/>
      <c r="S83" s="1196"/>
      <c r="T83" s="1196"/>
      <c r="U83" s="1196"/>
      <c r="V83" s="1196"/>
      <c r="W83" s="1196"/>
      <c r="X83" s="1196"/>
      <c r="Y83" s="1196"/>
      <c r="Z83" s="1196"/>
      <c r="AA83" s="1196"/>
      <c r="AB83" s="1196"/>
      <c r="AC83" s="1196"/>
      <c r="AD83" s="1196"/>
      <c r="AE83" s="1197"/>
      <c r="AF83" s="434"/>
      <c r="AG83" s="667"/>
    </row>
    <row r="84" spans="1:33" s="431" customFormat="1" ht="37.5" x14ac:dyDescent="0.35">
      <c r="A84" s="428" t="s">
        <v>31</v>
      </c>
      <c r="B84" s="429">
        <f>B85+B86</f>
        <v>500</v>
      </c>
      <c r="C84" s="429">
        <f>C85+C86</f>
        <v>500</v>
      </c>
      <c r="D84" s="429">
        <f>D85+D86</f>
        <v>500</v>
      </c>
      <c r="E84" s="429">
        <f>E85+E86</f>
        <v>500</v>
      </c>
      <c r="F84" s="429">
        <f>IFERROR(E84/B84*100,0)</f>
        <v>100</v>
      </c>
      <c r="G84" s="429">
        <f>IFERROR(E84/C84*100,0)</f>
        <v>100</v>
      </c>
      <c r="H84" s="477">
        <f>H85+H86</f>
        <v>0</v>
      </c>
      <c r="I84" s="477">
        <f t="shared" ref="I84:AE84" si="42">I85+I86</f>
        <v>0</v>
      </c>
      <c r="J84" s="477">
        <f t="shared" si="42"/>
        <v>0</v>
      </c>
      <c r="K84" s="477">
        <f t="shared" si="42"/>
        <v>0</v>
      </c>
      <c r="L84" s="477">
        <f t="shared" si="42"/>
        <v>0</v>
      </c>
      <c r="M84" s="477">
        <f t="shared" si="42"/>
        <v>0</v>
      </c>
      <c r="N84" s="477">
        <f t="shared" si="42"/>
        <v>0</v>
      </c>
      <c r="O84" s="477">
        <f t="shared" si="42"/>
        <v>0</v>
      </c>
      <c r="P84" s="477">
        <f t="shared" si="42"/>
        <v>0</v>
      </c>
      <c r="Q84" s="477">
        <f t="shared" si="42"/>
        <v>0</v>
      </c>
      <c r="R84" s="477">
        <f t="shared" si="42"/>
        <v>500</v>
      </c>
      <c r="S84" s="477">
        <f t="shared" si="42"/>
        <v>500</v>
      </c>
      <c r="T84" s="477">
        <f t="shared" si="42"/>
        <v>0</v>
      </c>
      <c r="U84" s="477">
        <f t="shared" si="42"/>
        <v>0</v>
      </c>
      <c r="V84" s="477">
        <f t="shared" si="42"/>
        <v>0</v>
      </c>
      <c r="W84" s="477">
        <f t="shared" si="42"/>
        <v>0</v>
      </c>
      <c r="X84" s="477">
        <f t="shared" si="42"/>
        <v>0</v>
      </c>
      <c r="Y84" s="477">
        <f t="shared" si="42"/>
        <v>0</v>
      </c>
      <c r="Z84" s="477">
        <f t="shared" si="42"/>
        <v>0</v>
      </c>
      <c r="AA84" s="477">
        <f t="shared" si="42"/>
        <v>0</v>
      </c>
      <c r="AB84" s="477">
        <f t="shared" si="42"/>
        <v>0</v>
      </c>
      <c r="AC84" s="477">
        <f t="shared" si="42"/>
        <v>0</v>
      </c>
      <c r="AD84" s="477">
        <f t="shared" si="42"/>
        <v>0</v>
      </c>
      <c r="AE84" s="477">
        <f t="shared" si="42"/>
        <v>0</v>
      </c>
      <c r="AF84" s="434" t="s">
        <v>568</v>
      </c>
      <c r="AG84" s="667"/>
    </row>
    <row r="85" spans="1:33" ht="21" x14ac:dyDescent="0.35">
      <c r="A85" s="432" t="s">
        <v>32</v>
      </c>
      <c r="B85" s="572">
        <f>SUM(H85,J85,L85,N85,P85,R85,T85,V85,X85,Z85,AB85,AD85)</f>
        <v>475</v>
      </c>
      <c r="C85" s="433">
        <f>H85+J85+L85+N85+P85+R85</f>
        <v>475</v>
      </c>
      <c r="D85" s="433">
        <f>E85</f>
        <v>475</v>
      </c>
      <c r="E85" s="433">
        <f>SUM(I85,K85,M85,O85,Q85,S85,U85,W85,Y85,AA85,AC85,AE85)</f>
        <v>475</v>
      </c>
      <c r="F85" s="433">
        <f>IFERROR(E85/B85*100,0)</f>
        <v>100</v>
      </c>
      <c r="G85" s="433">
        <f>IFERROR(E85/C85*100,0)</f>
        <v>100</v>
      </c>
      <c r="H85" s="478">
        <v>0</v>
      </c>
      <c r="I85" s="478">
        <v>0</v>
      </c>
      <c r="J85" s="478">
        <v>0</v>
      </c>
      <c r="K85" s="478">
        <v>0</v>
      </c>
      <c r="L85" s="478">
        <v>0</v>
      </c>
      <c r="M85" s="478">
        <v>0</v>
      </c>
      <c r="N85" s="478">
        <v>0</v>
      </c>
      <c r="O85" s="478">
        <v>0</v>
      </c>
      <c r="P85" s="478">
        <v>0</v>
      </c>
      <c r="Q85" s="478">
        <v>0</v>
      </c>
      <c r="R85" s="478">
        <v>475</v>
      </c>
      <c r="S85" s="478">
        <v>475</v>
      </c>
      <c r="T85" s="478">
        <v>0</v>
      </c>
      <c r="U85" s="478">
        <v>0</v>
      </c>
      <c r="V85" s="478">
        <v>0</v>
      </c>
      <c r="W85" s="478">
        <v>0</v>
      </c>
      <c r="X85" s="478">
        <v>0</v>
      </c>
      <c r="Y85" s="478">
        <v>0</v>
      </c>
      <c r="Z85" s="478">
        <v>0</v>
      </c>
      <c r="AA85" s="478">
        <v>0</v>
      </c>
      <c r="AB85" s="478">
        <v>0</v>
      </c>
      <c r="AC85" s="478">
        <v>0</v>
      </c>
      <c r="AD85" s="478">
        <v>0</v>
      </c>
      <c r="AE85" s="478">
        <v>0</v>
      </c>
      <c r="AF85" s="434"/>
      <c r="AG85" s="667"/>
    </row>
    <row r="86" spans="1:33" ht="21" x14ac:dyDescent="0.35">
      <c r="A86" s="432" t="s">
        <v>33</v>
      </c>
      <c r="B86" s="433">
        <f>SUM(H86,J86,L86,N86,P86,R86,T86,V86,X86,Z86,AB86,AD86)</f>
        <v>25</v>
      </c>
      <c r="C86" s="433">
        <f t="shared" ref="C86:C87" si="43">H86+J86+L86+N86+P86+R86</f>
        <v>25</v>
      </c>
      <c r="D86" s="433">
        <f>E86</f>
        <v>25</v>
      </c>
      <c r="E86" s="433">
        <f>SUM(I86,K86,M86,O86,Q86,S86,U86,W86,Y86,AA86,AC86,AE86)</f>
        <v>25</v>
      </c>
      <c r="F86" s="433">
        <f>IFERROR(E86/B86*100,0)</f>
        <v>100</v>
      </c>
      <c r="G86" s="433">
        <f>IFERROR(E86/C86*100,0)</f>
        <v>100</v>
      </c>
      <c r="H86" s="478">
        <v>0</v>
      </c>
      <c r="I86" s="478">
        <v>0</v>
      </c>
      <c r="J86" s="478">
        <v>0</v>
      </c>
      <c r="K86" s="478">
        <v>0</v>
      </c>
      <c r="L86" s="478">
        <v>0</v>
      </c>
      <c r="M86" s="478">
        <v>0</v>
      </c>
      <c r="N86" s="478">
        <v>0</v>
      </c>
      <c r="O86" s="478">
        <v>0</v>
      </c>
      <c r="P86" s="478">
        <v>0</v>
      </c>
      <c r="Q86" s="478">
        <v>0</v>
      </c>
      <c r="R86" s="478">
        <v>25</v>
      </c>
      <c r="S86" s="478">
        <v>25</v>
      </c>
      <c r="T86" s="478">
        <v>0</v>
      </c>
      <c r="U86" s="478">
        <v>0</v>
      </c>
      <c r="V86" s="478">
        <v>0</v>
      </c>
      <c r="W86" s="478">
        <v>0</v>
      </c>
      <c r="X86" s="478">
        <v>0</v>
      </c>
      <c r="Y86" s="478">
        <v>0</v>
      </c>
      <c r="Z86" s="478">
        <v>0</v>
      </c>
      <c r="AA86" s="478">
        <v>0</v>
      </c>
      <c r="AB86" s="478">
        <v>0</v>
      </c>
      <c r="AC86" s="478">
        <v>0</v>
      </c>
      <c r="AD86" s="478">
        <v>0</v>
      </c>
      <c r="AE86" s="478">
        <v>0</v>
      </c>
      <c r="AF86" s="434"/>
      <c r="AG86" s="667"/>
    </row>
    <row r="87" spans="1:33" ht="37.5" x14ac:dyDescent="0.35">
      <c r="A87" s="451" t="s">
        <v>174</v>
      </c>
      <c r="B87" s="433">
        <f>SUM(H87,J87,L87,N87,P87,R87,T87,V87,X87,Z87,AB87,AD87)</f>
        <v>25</v>
      </c>
      <c r="C87" s="433">
        <f t="shared" si="43"/>
        <v>25</v>
      </c>
      <c r="D87" s="433">
        <f>E87</f>
        <v>25</v>
      </c>
      <c r="E87" s="433">
        <f>SUM(I87,K87,M87,O87,Q87,S87,U87,W87,Y87,AA87,AC87,AE87)</f>
        <v>25</v>
      </c>
      <c r="F87" s="433">
        <f>IFERROR(E87/B87*100,0)</f>
        <v>100</v>
      </c>
      <c r="G87" s="433">
        <f>IFERROR(E87/C87*100,0)</f>
        <v>100</v>
      </c>
      <c r="H87" s="478">
        <v>0</v>
      </c>
      <c r="I87" s="478">
        <v>0</v>
      </c>
      <c r="J87" s="478">
        <v>0</v>
      </c>
      <c r="K87" s="478">
        <v>0</v>
      </c>
      <c r="L87" s="478">
        <v>0</v>
      </c>
      <c r="M87" s="478">
        <v>0</v>
      </c>
      <c r="N87" s="478">
        <v>0</v>
      </c>
      <c r="O87" s="478">
        <v>0</v>
      </c>
      <c r="P87" s="478">
        <v>0</v>
      </c>
      <c r="Q87" s="478">
        <v>0</v>
      </c>
      <c r="R87" s="478">
        <v>25</v>
      </c>
      <c r="S87" s="478">
        <v>25</v>
      </c>
      <c r="T87" s="478">
        <v>0</v>
      </c>
      <c r="U87" s="478">
        <v>0</v>
      </c>
      <c r="V87" s="478">
        <v>0</v>
      </c>
      <c r="W87" s="478">
        <v>0</v>
      </c>
      <c r="X87" s="478">
        <v>0</v>
      </c>
      <c r="Y87" s="478">
        <v>0</v>
      </c>
      <c r="Z87" s="478">
        <v>0</v>
      </c>
      <c r="AA87" s="478">
        <v>0</v>
      </c>
      <c r="AB87" s="478">
        <v>0</v>
      </c>
      <c r="AC87" s="478">
        <v>0</v>
      </c>
      <c r="AD87" s="478">
        <v>0</v>
      </c>
      <c r="AE87" s="478">
        <v>0</v>
      </c>
      <c r="AF87" s="434"/>
      <c r="AG87" s="667"/>
    </row>
    <row r="88" spans="1:33" ht="21" x14ac:dyDescent="0.35">
      <c r="A88" s="1195" t="s">
        <v>353</v>
      </c>
      <c r="B88" s="1196"/>
      <c r="C88" s="1196"/>
      <c r="D88" s="1196"/>
      <c r="E88" s="1196"/>
      <c r="F88" s="1196"/>
      <c r="G88" s="1196"/>
      <c r="H88" s="1196"/>
      <c r="I88" s="1196"/>
      <c r="J88" s="1196"/>
      <c r="K88" s="1196"/>
      <c r="L88" s="1196"/>
      <c r="M88" s="1196"/>
      <c r="N88" s="1196"/>
      <c r="O88" s="1196"/>
      <c r="P88" s="1196"/>
      <c r="Q88" s="1196"/>
      <c r="R88" s="1196"/>
      <c r="S88" s="1196"/>
      <c r="T88" s="1196"/>
      <c r="U88" s="1196"/>
      <c r="V88" s="1196"/>
      <c r="W88" s="1196"/>
      <c r="X88" s="1196"/>
      <c r="Y88" s="1196"/>
      <c r="Z88" s="1196"/>
      <c r="AA88" s="1196"/>
      <c r="AB88" s="1196"/>
      <c r="AC88" s="1196"/>
      <c r="AD88" s="1196"/>
      <c r="AE88" s="1197"/>
      <c r="AF88" s="434"/>
      <c r="AG88" s="667"/>
    </row>
    <row r="89" spans="1:33" s="431" customFormat="1" ht="37.5" x14ac:dyDescent="0.35">
      <c r="A89" s="428" t="s">
        <v>31</v>
      </c>
      <c r="B89" s="569">
        <f>B90+B91</f>
        <v>500</v>
      </c>
      <c r="C89" s="429">
        <f>C90+C91</f>
        <v>500</v>
      </c>
      <c r="D89" s="429">
        <f>D90+D91</f>
        <v>500</v>
      </c>
      <c r="E89" s="429">
        <f>E90+E91</f>
        <v>500</v>
      </c>
      <c r="F89" s="429">
        <f>IFERROR(E89/B89*100,0)</f>
        <v>100</v>
      </c>
      <c r="G89" s="429">
        <f>IFERROR(E89/C89*100,0)</f>
        <v>100</v>
      </c>
      <c r="H89" s="477">
        <f>H90+H91</f>
        <v>0</v>
      </c>
      <c r="I89" s="477">
        <f t="shared" ref="I89:AE89" si="44">I90+I91</f>
        <v>0</v>
      </c>
      <c r="J89" s="477">
        <f t="shared" si="44"/>
        <v>0</v>
      </c>
      <c r="K89" s="477">
        <f t="shared" si="44"/>
        <v>0</v>
      </c>
      <c r="L89" s="477">
        <f t="shared" si="44"/>
        <v>0</v>
      </c>
      <c r="M89" s="477">
        <f t="shared" si="44"/>
        <v>0</v>
      </c>
      <c r="N89" s="477">
        <f t="shared" si="44"/>
        <v>0</v>
      </c>
      <c r="O89" s="477">
        <f t="shared" si="44"/>
        <v>0</v>
      </c>
      <c r="P89" s="477">
        <f t="shared" si="44"/>
        <v>0</v>
      </c>
      <c r="Q89" s="477">
        <f t="shared" si="44"/>
        <v>0</v>
      </c>
      <c r="R89" s="477">
        <f t="shared" si="44"/>
        <v>500</v>
      </c>
      <c r="S89" s="477">
        <f t="shared" si="44"/>
        <v>500</v>
      </c>
      <c r="T89" s="477">
        <f t="shared" si="44"/>
        <v>0</v>
      </c>
      <c r="U89" s="477">
        <f t="shared" si="44"/>
        <v>0</v>
      </c>
      <c r="V89" s="477">
        <f t="shared" si="44"/>
        <v>0</v>
      </c>
      <c r="W89" s="477">
        <f t="shared" si="44"/>
        <v>0</v>
      </c>
      <c r="X89" s="477">
        <f t="shared" si="44"/>
        <v>0</v>
      </c>
      <c r="Y89" s="477">
        <f t="shared" si="44"/>
        <v>0</v>
      </c>
      <c r="Z89" s="477">
        <f t="shared" si="44"/>
        <v>0</v>
      </c>
      <c r="AA89" s="477">
        <f t="shared" si="44"/>
        <v>0</v>
      </c>
      <c r="AB89" s="477">
        <f t="shared" si="44"/>
        <v>0</v>
      </c>
      <c r="AC89" s="477">
        <f t="shared" si="44"/>
        <v>0</v>
      </c>
      <c r="AD89" s="477">
        <f t="shared" si="44"/>
        <v>0</v>
      </c>
      <c r="AE89" s="477">
        <f t="shared" si="44"/>
        <v>0</v>
      </c>
      <c r="AF89" s="434" t="s">
        <v>569</v>
      </c>
      <c r="AG89" s="667"/>
    </row>
    <row r="90" spans="1:33" ht="21" x14ac:dyDescent="0.35">
      <c r="A90" s="432" t="s">
        <v>32</v>
      </c>
      <c r="B90" s="433">
        <f>SUM(H90,J90,L90,N90,P90,R90,T90,V90,X90,Z90,AB90,AD90)</f>
        <v>0</v>
      </c>
      <c r="C90" s="433">
        <f>H90+J90+L90+N90+P90+R90</f>
        <v>0</v>
      </c>
      <c r="D90" s="433">
        <f>E90</f>
        <v>0</v>
      </c>
      <c r="E90" s="433">
        <f>SUM(I90,K90,M90,O90,Q90,S90,U90,W90,Y90,AA90,AC90,AE90)</f>
        <v>0</v>
      </c>
      <c r="F90" s="433">
        <f>IFERROR(E90/B90*100,0)</f>
        <v>0</v>
      </c>
      <c r="G90" s="433">
        <f>IFERROR(E90/C90*100,0)</f>
        <v>0</v>
      </c>
      <c r="H90" s="478">
        <v>0</v>
      </c>
      <c r="I90" s="478">
        <v>0</v>
      </c>
      <c r="J90" s="478">
        <v>0</v>
      </c>
      <c r="K90" s="478">
        <v>0</v>
      </c>
      <c r="L90" s="478">
        <v>0</v>
      </c>
      <c r="M90" s="478">
        <v>0</v>
      </c>
      <c r="N90" s="478">
        <v>0</v>
      </c>
      <c r="O90" s="478">
        <v>0</v>
      </c>
      <c r="P90" s="478">
        <v>0</v>
      </c>
      <c r="Q90" s="478">
        <v>0</v>
      </c>
      <c r="R90" s="478">
        <v>0</v>
      </c>
      <c r="S90" s="478">
        <v>0</v>
      </c>
      <c r="T90" s="478">
        <v>0</v>
      </c>
      <c r="U90" s="478">
        <v>0</v>
      </c>
      <c r="V90" s="478">
        <v>0</v>
      </c>
      <c r="W90" s="478">
        <v>0</v>
      </c>
      <c r="X90" s="478">
        <v>0</v>
      </c>
      <c r="Y90" s="478">
        <v>0</v>
      </c>
      <c r="Z90" s="478">
        <v>0</v>
      </c>
      <c r="AA90" s="478">
        <v>0</v>
      </c>
      <c r="AB90" s="478">
        <v>0</v>
      </c>
      <c r="AC90" s="478">
        <v>0</v>
      </c>
      <c r="AD90" s="478">
        <v>0</v>
      </c>
      <c r="AE90" s="478">
        <v>0</v>
      </c>
      <c r="AF90" s="434"/>
      <c r="AG90" s="667"/>
    </row>
    <row r="91" spans="1:33" ht="21" x14ac:dyDescent="0.35">
      <c r="A91" s="432" t="s">
        <v>33</v>
      </c>
      <c r="B91" s="433">
        <f>SUM(H91,J91,L91,N91,P91,R91,T91,V91,X91,Z91,AB91,AD91)</f>
        <v>500</v>
      </c>
      <c r="C91" s="433">
        <f t="shared" ref="C91:C92" si="45">H91+J91+L91+N91+P91+R91</f>
        <v>500</v>
      </c>
      <c r="D91" s="433">
        <f>E91</f>
        <v>500</v>
      </c>
      <c r="E91" s="433">
        <f>SUM(I91,K91,M91,O91,Q91,S91,U91,W91,Y91,AA91,AC91,AE91)</f>
        <v>500</v>
      </c>
      <c r="F91" s="433">
        <f>IFERROR(E91/B91*100,0)</f>
        <v>100</v>
      </c>
      <c r="G91" s="433">
        <f>IFERROR(E91/C91*100,0)</f>
        <v>100</v>
      </c>
      <c r="H91" s="478">
        <v>0</v>
      </c>
      <c r="I91" s="478">
        <v>0</v>
      </c>
      <c r="J91" s="478">
        <v>0</v>
      </c>
      <c r="K91" s="478">
        <v>0</v>
      </c>
      <c r="L91" s="478">
        <v>0</v>
      </c>
      <c r="M91" s="478">
        <v>0</v>
      </c>
      <c r="N91" s="478">
        <v>0</v>
      </c>
      <c r="O91" s="478">
        <v>0</v>
      </c>
      <c r="P91" s="478">
        <v>0</v>
      </c>
      <c r="Q91" s="478">
        <v>0</v>
      </c>
      <c r="R91" s="478">
        <v>500</v>
      </c>
      <c r="S91" s="478">
        <v>500</v>
      </c>
      <c r="T91" s="478">
        <v>0</v>
      </c>
      <c r="U91" s="478">
        <v>0</v>
      </c>
      <c r="V91" s="478">
        <v>0</v>
      </c>
      <c r="W91" s="478">
        <v>0</v>
      </c>
      <c r="X91" s="478">
        <v>0</v>
      </c>
      <c r="Y91" s="478">
        <v>0</v>
      </c>
      <c r="Z91" s="478">
        <v>0</v>
      </c>
      <c r="AA91" s="478">
        <v>0</v>
      </c>
      <c r="AB91" s="478">
        <v>0</v>
      </c>
      <c r="AC91" s="478">
        <v>0</v>
      </c>
      <c r="AD91" s="478">
        <v>0</v>
      </c>
      <c r="AE91" s="478">
        <v>0</v>
      </c>
      <c r="AF91" s="434"/>
      <c r="AG91" s="667"/>
    </row>
    <row r="92" spans="1:33" ht="37.5" x14ac:dyDescent="0.35">
      <c r="A92" s="451" t="s">
        <v>174</v>
      </c>
      <c r="B92" s="433">
        <f>SUM(H92,J92,L92,N92,P92,R92,T92,V92,X92,Z92,AB92,AD92)</f>
        <v>0</v>
      </c>
      <c r="C92" s="433">
        <f t="shared" si="45"/>
        <v>0</v>
      </c>
      <c r="D92" s="433">
        <f>E92</f>
        <v>0</v>
      </c>
      <c r="E92" s="433">
        <f>SUM(I92,K92,M92,O92,Q92,S92,U92,W92,Y92,AA92,AC92,AE92)</f>
        <v>0</v>
      </c>
      <c r="F92" s="433">
        <f>IFERROR(E92/B92*100,0)</f>
        <v>0</v>
      </c>
      <c r="G92" s="433">
        <f>IFERROR(E92/C92*100,0)</f>
        <v>0</v>
      </c>
      <c r="H92" s="478">
        <v>0</v>
      </c>
      <c r="I92" s="478">
        <v>0</v>
      </c>
      <c r="J92" s="478">
        <v>0</v>
      </c>
      <c r="K92" s="478">
        <v>0</v>
      </c>
      <c r="L92" s="478">
        <v>0</v>
      </c>
      <c r="M92" s="478">
        <v>0</v>
      </c>
      <c r="N92" s="478">
        <v>0</v>
      </c>
      <c r="O92" s="478">
        <v>0</v>
      </c>
      <c r="P92" s="478">
        <v>0</v>
      </c>
      <c r="Q92" s="478">
        <v>0</v>
      </c>
      <c r="R92" s="478">
        <v>0</v>
      </c>
      <c r="S92" s="478">
        <v>0</v>
      </c>
      <c r="T92" s="478">
        <v>0</v>
      </c>
      <c r="U92" s="478">
        <v>0</v>
      </c>
      <c r="V92" s="478">
        <v>0</v>
      </c>
      <c r="W92" s="478">
        <v>0</v>
      </c>
      <c r="X92" s="478">
        <v>0</v>
      </c>
      <c r="Y92" s="478">
        <v>0</v>
      </c>
      <c r="Z92" s="478">
        <v>0</v>
      </c>
      <c r="AA92" s="478">
        <v>0</v>
      </c>
      <c r="AB92" s="478">
        <v>0</v>
      </c>
      <c r="AC92" s="478">
        <v>0</v>
      </c>
      <c r="AD92" s="478">
        <v>0</v>
      </c>
      <c r="AE92" s="478">
        <v>0</v>
      </c>
      <c r="AF92" s="434"/>
      <c r="AG92" s="667"/>
    </row>
    <row r="93" spans="1:33" ht="21" x14ac:dyDescent="0.35">
      <c r="A93" s="454" t="s">
        <v>354</v>
      </c>
      <c r="B93" s="455"/>
      <c r="C93" s="455"/>
      <c r="D93" s="455"/>
      <c r="E93" s="455"/>
      <c r="F93" s="455"/>
      <c r="G93" s="455"/>
      <c r="H93" s="455"/>
      <c r="I93" s="455"/>
      <c r="J93" s="455"/>
      <c r="K93" s="455"/>
      <c r="L93" s="455"/>
      <c r="M93" s="455"/>
      <c r="N93" s="455"/>
      <c r="O93" s="455"/>
      <c r="P93" s="455"/>
      <c r="Q93" s="455"/>
      <c r="R93" s="455"/>
      <c r="S93" s="455"/>
      <c r="T93" s="455"/>
      <c r="U93" s="455"/>
      <c r="V93" s="455"/>
      <c r="W93" s="455"/>
      <c r="X93" s="455"/>
      <c r="Y93" s="455"/>
      <c r="Z93" s="455"/>
      <c r="AA93" s="455"/>
      <c r="AB93" s="455"/>
      <c r="AC93" s="455"/>
      <c r="AD93" s="455"/>
      <c r="AE93" s="456"/>
      <c r="AF93" s="452"/>
      <c r="AG93" s="667"/>
    </row>
    <row r="94" spans="1:33" s="431" customFormat="1" ht="37.5" x14ac:dyDescent="0.35">
      <c r="A94" s="428" t="s">
        <v>31</v>
      </c>
      <c r="B94" s="429">
        <f>B95+B96</f>
        <v>1156.4000000000001</v>
      </c>
      <c r="C94" s="429">
        <f>C95+C96</f>
        <v>1156.4000000000001</v>
      </c>
      <c r="D94" s="429">
        <f>D95+D96</f>
        <v>1156.4000000000001</v>
      </c>
      <c r="E94" s="429">
        <f>E95+E96</f>
        <v>1156.4000000000001</v>
      </c>
      <c r="F94" s="429">
        <f>IFERROR(E94/B94*100,0)</f>
        <v>100</v>
      </c>
      <c r="G94" s="429">
        <f>IFERROR(E94/C94*100,0)</f>
        <v>100</v>
      </c>
      <c r="H94" s="477">
        <f>H95+H96</f>
        <v>0</v>
      </c>
      <c r="I94" s="477">
        <f t="shared" ref="I94:AE94" si="46">I95+I96</f>
        <v>0</v>
      </c>
      <c r="J94" s="477">
        <f t="shared" si="46"/>
        <v>0</v>
      </c>
      <c r="K94" s="477">
        <f t="shared" si="46"/>
        <v>0</v>
      </c>
      <c r="L94" s="477">
        <f t="shared" si="46"/>
        <v>0</v>
      </c>
      <c r="M94" s="477">
        <f t="shared" si="46"/>
        <v>0</v>
      </c>
      <c r="N94" s="477">
        <f t="shared" si="46"/>
        <v>0</v>
      </c>
      <c r="O94" s="477">
        <f t="shared" si="46"/>
        <v>0</v>
      </c>
      <c r="P94" s="477">
        <f t="shared" si="46"/>
        <v>0</v>
      </c>
      <c r="Q94" s="477">
        <f t="shared" si="46"/>
        <v>0</v>
      </c>
      <c r="R94" s="477">
        <f t="shared" si="46"/>
        <v>1156.4000000000001</v>
      </c>
      <c r="S94" s="477">
        <f t="shared" si="46"/>
        <v>1156.4000000000001</v>
      </c>
      <c r="T94" s="477">
        <f t="shared" si="46"/>
        <v>0</v>
      </c>
      <c r="U94" s="477">
        <f t="shared" si="46"/>
        <v>0</v>
      </c>
      <c r="V94" s="477">
        <f t="shared" si="46"/>
        <v>0</v>
      </c>
      <c r="W94" s="477">
        <f t="shared" si="46"/>
        <v>0</v>
      </c>
      <c r="X94" s="477">
        <f t="shared" si="46"/>
        <v>0</v>
      </c>
      <c r="Y94" s="477">
        <f t="shared" si="46"/>
        <v>0</v>
      </c>
      <c r="Z94" s="477">
        <f t="shared" si="46"/>
        <v>0</v>
      </c>
      <c r="AA94" s="477">
        <f t="shared" si="46"/>
        <v>0</v>
      </c>
      <c r="AB94" s="477">
        <f t="shared" si="46"/>
        <v>0</v>
      </c>
      <c r="AC94" s="477">
        <f t="shared" si="46"/>
        <v>0</v>
      </c>
      <c r="AD94" s="477">
        <f t="shared" si="46"/>
        <v>0</v>
      </c>
      <c r="AE94" s="477">
        <f t="shared" si="46"/>
        <v>0</v>
      </c>
      <c r="AF94" s="434" t="s">
        <v>570</v>
      </c>
      <c r="AG94" s="667"/>
    </row>
    <row r="95" spans="1:33" ht="21" x14ac:dyDescent="0.35">
      <c r="A95" s="432" t="s">
        <v>32</v>
      </c>
      <c r="B95" s="433">
        <f>SUM(H95,J95,L95,N95,P95,R95,T95,V95,X95,Z95,AB95,AD95)</f>
        <v>0</v>
      </c>
      <c r="C95" s="433">
        <f>H95+J95+L95+N95+P95+R95</f>
        <v>0</v>
      </c>
      <c r="D95" s="433">
        <f>E95</f>
        <v>0</v>
      </c>
      <c r="E95" s="433">
        <f>SUM(I95,K95,M95,O95,Q95,S95,U95,W95,Y95,AA95,AC95,AE95)</f>
        <v>0</v>
      </c>
      <c r="F95" s="433">
        <f>IFERROR(E95/B95*100,0)</f>
        <v>0</v>
      </c>
      <c r="G95" s="433">
        <f>IFERROR(E95/C95*100,0)</f>
        <v>0</v>
      </c>
      <c r="H95" s="478">
        <v>0</v>
      </c>
      <c r="I95" s="478">
        <v>0</v>
      </c>
      <c r="J95" s="478">
        <v>0</v>
      </c>
      <c r="K95" s="478">
        <v>0</v>
      </c>
      <c r="L95" s="478">
        <v>0</v>
      </c>
      <c r="M95" s="478">
        <v>0</v>
      </c>
      <c r="N95" s="478">
        <v>0</v>
      </c>
      <c r="O95" s="478">
        <v>0</v>
      </c>
      <c r="P95" s="478">
        <v>0</v>
      </c>
      <c r="Q95" s="478">
        <v>0</v>
      </c>
      <c r="R95" s="478">
        <v>0</v>
      </c>
      <c r="S95" s="478">
        <v>0</v>
      </c>
      <c r="T95" s="478">
        <v>0</v>
      </c>
      <c r="U95" s="478">
        <v>0</v>
      </c>
      <c r="V95" s="478">
        <v>0</v>
      </c>
      <c r="W95" s="478">
        <v>0</v>
      </c>
      <c r="X95" s="478">
        <v>0</v>
      </c>
      <c r="Y95" s="478">
        <v>0</v>
      </c>
      <c r="Z95" s="478">
        <v>0</v>
      </c>
      <c r="AA95" s="478">
        <v>0</v>
      </c>
      <c r="AB95" s="478">
        <v>0</v>
      </c>
      <c r="AC95" s="478">
        <v>0</v>
      </c>
      <c r="AD95" s="478">
        <v>0</v>
      </c>
      <c r="AE95" s="478">
        <v>0</v>
      </c>
      <c r="AF95" s="434"/>
      <c r="AG95" s="667"/>
    </row>
    <row r="96" spans="1:33" ht="21" x14ac:dyDescent="0.35">
      <c r="A96" s="432" t="s">
        <v>33</v>
      </c>
      <c r="B96" s="433">
        <f>SUM(H96,J96,L96,N96,P96,R96,T96,V96,X96,Z96,AB96,AD96)</f>
        <v>1156.4000000000001</v>
      </c>
      <c r="C96" s="433">
        <f t="shared" ref="C96:C97" si="47">H96+J96+L96+N96+P96+R96</f>
        <v>1156.4000000000001</v>
      </c>
      <c r="D96" s="433">
        <f>E96</f>
        <v>1156.4000000000001</v>
      </c>
      <c r="E96" s="433">
        <f>SUM(I96,K96,M96,O96,Q96,S96,U96,W96,Y96,AA96,AC96,AE96)</f>
        <v>1156.4000000000001</v>
      </c>
      <c r="F96" s="433">
        <f>IFERROR(E96/B96*100,0)</f>
        <v>100</v>
      </c>
      <c r="G96" s="433">
        <f>IFERROR(E96/C96*100,0)</f>
        <v>100</v>
      </c>
      <c r="H96" s="478">
        <v>0</v>
      </c>
      <c r="I96" s="478">
        <v>0</v>
      </c>
      <c r="J96" s="478">
        <v>0</v>
      </c>
      <c r="K96" s="478">
        <v>0</v>
      </c>
      <c r="L96" s="478">
        <v>0</v>
      </c>
      <c r="M96" s="478">
        <v>0</v>
      </c>
      <c r="N96" s="478">
        <v>0</v>
      </c>
      <c r="O96" s="478">
        <v>0</v>
      </c>
      <c r="P96" s="478">
        <v>0</v>
      </c>
      <c r="Q96" s="478">
        <v>0</v>
      </c>
      <c r="R96" s="478">
        <v>1156.4000000000001</v>
      </c>
      <c r="S96" s="478">
        <v>1156.4000000000001</v>
      </c>
      <c r="T96" s="478">
        <v>0</v>
      </c>
      <c r="U96" s="478">
        <v>0</v>
      </c>
      <c r="V96" s="478">
        <v>0</v>
      </c>
      <c r="W96" s="478">
        <v>0</v>
      </c>
      <c r="X96" s="478">
        <v>0</v>
      </c>
      <c r="Y96" s="478">
        <v>0</v>
      </c>
      <c r="Z96" s="478">
        <v>0</v>
      </c>
      <c r="AA96" s="478">
        <v>0</v>
      </c>
      <c r="AB96" s="478">
        <v>0</v>
      </c>
      <c r="AC96" s="478">
        <v>0</v>
      </c>
      <c r="AD96" s="478">
        <v>0</v>
      </c>
      <c r="AE96" s="478">
        <v>0</v>
      </c>
      <c r="AF96" s="434"/>
      <c r="AG96" s="667"/>
    </row>
    <row r="97" spans="1:33" ht="37.5" x14ac:dyDescent="0.35">
      <c r="A97" s="451" t="s">
        <v>174</v>
      </c>
      <c r="B97" s="433">
        <f>SUM(H97,J97,L97,N97,P97,R97,T97,V97,X97,Z97,AB97,AD97)</f>
        <v>0</v>
      </c>
      <c r="C97" s="433">
        <f t="shared" si="47"/>
        <v>0</v>
      </c>
      <c r="D97" s="433">
        <f>E97</f>
        <v>0</v>
      </c>
      <c r="E97" s="433">
        <f>SUM(I97,K97,M97,O97,Q97,S97,U97,W97,Y97,AA97,AC97,AE97)</f>
        <v>0</v>
      </c>
      <c r="F97" s="433">
        <f>IFERROR(E97/B97*100,0)</f>
        <v>0</v>
      </c>
      <c r="G97" s="433">
        <f>IFERROR(E97/C97*100,0)</f>
        <v>0</v>
      </c>
      <c r="H97" s="478">
        <v>0</v>
      </c>
      <c r="I97" s="478">
        <v>0</v>
      </c>
      <c r="J97" s="478">
        <v>0</v>
      </c>
      <c r="K97" s="478">
        <v>0</v>
      </c>
      <c r="L97" s="478">
        <v>0</v>
      </c>
      <c r="M97" s="478">
        <v>0</v>
      </c>
      <c r="N97" s="478">
        <v>0</v>
      </c>
      <c r="O97" s="478">
        <v>0</v>
      </c>
      <c r="P97" s="478">
        <v>0</v>
      </c>
      <c r="Q97" s="478">
        <v>0</v>
      </c>
      <c r="R97" s="478">
        <v>0</v>
      </c>
      <c r="S97" s="478">
        <v>0</v>
      </c>
      <c r="T97" s="478">
        <v>0</v>
      </c>
      <c r="U97" s="478">
        <v>0</v>
      </c>
      <c r="V97" s="478">
        <v>0</v>
      </c>
      <c r="W97" s="478">
        <v>0</v>
      </c>
      <c r="X97" s="478">
        <v>0</v>
      </c>
      <c r="Y97" s="478">
        <v>0</v>
      </c>
      <c r="Z97" s="478">
        <v>0</v>
      </c>
      <c r="AA97" s="478">
        <v>0</v>
      </c>
      <c r="AB97" s="478">
        <v>0</v>
      </c>
      <c r="AC97" s="478">
        <v>0</v>
      </c>
      <c r="AD97" s="478">
        <v>0</v>
      </c>
      <c r="AE97" s="478">
        <v>0</v>
      </c>
      <c r="AF97" s="434"/>
      <c r="AG97" s="667"/>
    </row>
    <row r="98" spans="1:33" ht="21" x14ac:dyDescent="0.35">
      <c r="A98" s="454" t="s">
        <v>355</v>
      </c>
      <c r="B98" s="457"/>
      <c r="C98" s="457"/>
      <c r="D98" s="457"/>
      <c r="E98" s="457"/>
      <c r="F98" s="457"/>
      <c r="G98" s="457"/>
      <c r="H98" s="457"/>
      <c r="I98" s="457"/>
      <c r="J98" s="457"/>
      <c r="K98" s="457"/>
      <c r="L98" s="457"/>
      <c r="M98" s="457"/>
      <c r="N98" s="457"/>
      <c r="O98" s="457"/>
      <c r="P98" s="457"/>
      <c r="Q98" s="457"/>
      <c r="R98" s="457"/>
      <c r="S98" s="457"/>
      <c r="T98" s="457"/>
      <c r="U98" s="457"/>
      <c r="V98" s="457"/>
      <c r="W98" s="457"/>
      <c r="X98" s="457"/>
      <c r="Y98" s="457"/>
      <c r="Z98" s="457"/>
      <c r="AA98" s="457"/>
      <c r="AB98" s="457"/>
      <c r="AC98" s="457"/>
      <c r="AD98" s="457"/>
      <c r="AE98" s="458"/>
      <c r="AF98" s="452"/>
      <c r="AG98" s="667"/>
    </row>
    <row r="99" spans="1:33" s="431" customFormat="1" ht="21" x14ac:dyDescent="0.35">
      <c r="A99" s="428" t="s">
        <v>31</v>
      </c>
      <c r="B99" s="429">
        <f>B100+B101</f>
        <v>0</v>
      </c>
      <c r="C99" s="429">
        <f>C100+C101</f>
        <v>0</v>
      </c>
      <c r="D99" s="429">
        <f>D100+D101</f>
        <v>0</v>
      </c>
      <c r="E99" s="429">
        <f>E100+E101</f>
        <v>0</v>
      </c>
      <c r="F99" s="429">
        <f>IFERROR(E99/B99*100,0)</f>
        <v>0</v>
      </c>
      <c r="G99" s="429">
        <f>IFERROR(E99/C99*100,0)</f>
        <v>0</v>
      </c>
      <c r="H99" s="477">
        <f>H100+H101</f>
        <v>0</v>
      </c>
      <c r="I99" s="477">
        <f t="shared" ref="I99:AE99" si="48">I100+I101</f>
        <v>0</v>
      </c>
      <c r="J99" s="477">
        <f t="shared" si="48"/>
        <v>0</v>
      </c>
      <c r="K99" s="477">
        <f t="shared" si="48"/>
        <v>0</v>
      </c>
      <c r="L99" s="477">
        <f t="shared" si="48"/>
        <v>0</v>
      </c>
      <c r="M99" s="477">
        <f t="shared" si="48"/>
        <v>0</v>
      </c>
      <c r="N99" s="477">
        <f t="shared" si="48"/>
        <v>0</v>
      </c>
      <c r="O99" s="477">
        <f t="shared" si="48"/>
        <v>0</v>
      </c>
      <c r="P99" s="477">
        <f t="shared" si="48"/>
        <v>0</v>
      </c>
      <c r="Q99" s="477">
        <f t="shared" si="48"/>
        <v>0</v>
      </c>
      <c r="R99" s="477">
        <f t="shared" si="48"/>
        <v>0</v>
      </c>
      <c r="S99" s="477">
        <f t="shared" si="48"/>
        <v>0</v>
      </c>
      <c r="T99" s="477">
        <f t="shared" si="48"/>
        <v>0</v>
      </c>
      <c r="U99" s="477">
        <f t="shared" si="48"/>
        <v>0</v>
      </c>
      <c r="V99" s="477">
        <f t="shared" si="48"/>
        <v>0</v>
      </c>
      <c r="W99" s="477">
        <f t="shared" si="48"/>
        <v>0</v>
      </c>
      <c r="X99" s="477">
        <f t="shared" si="48"/>
        <v>0</v>
      </c>
      <c r="Y99" s="477">
        <f t="shared" si="48"/>
        <v>0</v>
      </c>
      <c r="Z99" s="477">
        <f t="shared" si="48"/>
        <v>0</v>
      </c>
      <c r="AA99" s="477">
        <f t="shared" si="48"/>
        <v>0</v>
      </c>
      <c r="AB99" s="477">
        <f t="shared" si="48"/>
        <v>0</v>
      </c>
      <c r="AC99" s="477">
        <f t="shared" si="48"/>
        <v>0</v>
      </c>
      <c r="AD99" s="477">
        <f t="shared" si="48"/>
        <v>0</v>
      </c>
      <c r="AE99" s="477">
        <f t="shared" si="48"/>
        <v>0</v>
      </c>
      <c r="AF99" s="435"/>
      <c r="AG99" s="667"/>
    </row>
    <row r="100" spans="1:33" ht="21" x14ac:dyDescent="0.35">
      <c r="A100" s="432" t="s">
        <v>32</v>
      </c>
      <c r="B100" s="433">
        <f>SUM(H100,J100,L100,N100,P100,R100,T100,V100,X100,Z100,AB100,AD100)</f>
        <v>0</v>
      </c>
      <c r="C100" s="433">
        <f>H100+J100+L100+N100+P100+R100</f>
        <v>0</v>
      </c>
      <c r="D100" s="433">
        <f>E100</f>
        <v>0</v>
      </c>
      <c r="E100" s="433">
        <f>SUM(I100,K100,M100,O100,Q100,S100,U100,W100,Y100,AA100,AC100,AE100)</f>
        <v>0</v>
      </c>
      <c r="F100" s="433">
        <f>IFERROR(E100/B100*100,0)</f>
        <v>0</v>
      </c>
      <c r="G100" s="433">
        <f>IFERROR(E100/C100*100,0)</f>
        <v>0</v>
      </c>
      <c r="H100" s="478">
        <v>0</v>
      </c>
      <c r="I100" s="478">
        <v>0</v>
      </c>
      <c r="J100" s="478">
        <v>0</v>
      </c>
      <c r="K100" s="478">
        <v>0</v>
      </c>
      <c r="L100" s="478">
        <v>0</v>
      </c>
      <c r="M100" s="478">
        <v>0</v>
      </c>
      <c r="N100" s="478">
        <v>0</v>
      </c>
      <c r="O100" s="478">
        <v>0</v>
      </c>
      <c r="P100" s="478">
        <v>0</v>
      </c>
      <c r="Q100" s="478">
        <v>0</v>
      </c>
      <c r="R100" s="478">
        <v>0</v>
      </c>
      <c r="S100" s="478">
        <v>0</v>
      </c>
      <c r="T100" s="478">
        <v>0</v>
      </c>
      <c r="U100" s="478">
        <v>0</v>
      </c>
      <c r="V100" s="478">
        <v>0</v>
      </c>
      <c r="W100" s="478">
        <v>0</v>
      </c>
      <c r="X100" s="478">
        <v>0</v>
      </c>
      <c r="Y100" s="478">
        <v>0</v>
      </c>
      <c r="Z100" s="478">
        <v>0</v>
      </c>
      <c r="AA100" s="478">
        <v>0</v>
      </c>
      <c r="AB100" s="478">
        <v>0</v>
      </c>
      <c r="AC100" s="478">
        <v>0</v>
      </c>
      <c r="AD100" s="478">
        <v>0</v>
      </c>
      <c r="AE100" s="478">
        <v>0</v>
      </c>
      <c r="AF100" s="434"/>
      <c r="AG100" s="667"/>
    </row>
    <row r="101" spans="1:33" ht="21" x14ac:dyDescent="0.35">
      <c r="A101" s="432" t="s">
        <v>33</v>
      </c>
      <c r="B101" s="433">
        <f>SUM(H101,J101,L101,N101,P101,R101,T101,V101,X101,Z101,AB101,AD101)</f>
        <v>0</v>
      </c>
      <c r="C101" s="433">
        <f t="shared" ref="C101:C102" si="49">H101+J101+L101+N101+P101+R101</f>
        <v>0</v>
      </c>
      <c r="D101" s="433">
        <f>E101</f>
        <v>0</v>
      </c>
      <c r="E101" s="433">
        <f>SUM(I101,K101,M101,O101,Q101,S101,U101,W101,Y101,AA101,AC101,AE101)</f>
        <v>0</v>
      </c>
      <c r="F101" s="433">
        <f>IFERROR(E101/B101*100,0)</f>
        <v>0</v>
      </c>
      <c r="G101" s="433">
        <f>IFERROR(E101/C101*100,0)</f>
        <v>0</v>
      </c>
      <c r="H101" s="478">
        <v>0</v>
      </c>
      <c r="I101" s="478">
        <v>0</v>
      </c>
      <c r="J101" s="478">
        <v>0</v>
      </c>
      <c r="K101" s="478">
        <v>0</v>
      </c>
      <c r="L101" s="478">
        <v>0</v>
      </c>
      <c r="M101" s="478">
        <v>0</v>
      </c>
      <c r="N101" s="478">
        <v>0</v>
      </c>
      <c r="O101" s="478">
        <v>0</v>
      </c>
      <c r="P101" s="478">
        <v>0</v>
      </c>
      <c r="Q101" s="478">
        <v>0</v>
      </c>
      <c r="R101" s="478">
        <v>0</v>
      </c>
      <c r="S101" s="478">
        <v>0</v>
      </c>
      <c r="T101" s="478">
        <v>0</v>
      </c>
      <c r="U101" s="478">
        <v>0</v>
      </c>
      <c r="V101" s="478">
        <v>0</v>
      </c>
      <c r="W101" s="478">
        <v>0</v>
      </c>
      <c r="X101" s="478">
        <v>0</v>
      </c>
      <c r="Y101" s="478">
        <v>0</v>
      </c>
      <c r="Z101" s="478">
        <v>0</v>
      </c>
      <c r="AA101" s="478">
        <v>0</v>
      </c>
      <c r="AB101" s="478">
        <v>0</v>
      </c>
      <c r="AC101" s="478">
        <v>0</v>
      </c>
      <c r="AD101" s="478">
        <v>0</v>
      </c>
      <c r="AE101" s="478">
        <v>0</v>
      </c>
      <c r="AF101" s="434"/>
      <c r="AG101" s="667"/>
    </row>
    <row r="102" spans="1:33" ht="37.5" x14ac:dyDescent="0.35">
      <c r="A102" s="451" t="s">
        <v>174</v>
      </c>
      <c r="B102" s="433">
        <f>SUM(H102,J102,L102,N102,P102,R102,T102,V102,X102,Z102,AB102,AD102)</f>
        <v>0</v>
      </c>
      <c r="C102" s="433">
        <f t="shared" si="49"/>
        <v>0</v>
      </c>
      <c r="D102" s="433">
        <f>E102</f>
        <v>0</v>
      </c>
      <c r="E102" s="433">
        <f>SUM(I102,K102,M102,O102,Q102,S102,U102,W102,Y102,AA102,AC102,AE102)</f>
        <v>0</v>
      </c>
      <c r="F102" s="433">
        <f>IFERROR(E102/B102*100,0)</f>
        <v>0</v>
      </c>
      <c r="G102" s="433">
        <f>IFERROR(E102/C102*100,0)</f>
        <v>0</v>
      </c>
      <c r="H102" s="478">
        <v>0</v>
      </c>
      <c r="I102" s="478">
        <v>0</v>
      </c>
      <c r="J102" s="478">
        <v>0</v>
      </c>
      <c r="K102" s="478">
        <v>0</v>
      </c>
      <c r="L102" s="478">
        <v>0</v>
      </c>
      <c r="M102" s="478">
        <v>0</v>
      </c>
      <c r="N102" s="478">
        <v>0</v>
      </c>
      <c r="O102" s="478">
        <v>0</v>
      </c>
      <c r="P102" s="478">
        <v>0</v>
      </c>
      <c r="Q102" s="478">
        <v>0</v>
      </c>
      <c r="R102" s="478">
        <v>0</v>
      </c>
      <c r="S102" s="478">
        <v>0</v>
      </c>
      <c r="T102" s="478">
        <v>0</v>
      </c>
      <c r="U102" s="478">
        <v>0</v>
      </c>
      <c r="V102" s="478">
        <v>0</v>
      </c>
      <c r="W102" s="478">
        <v>0</v>
      </c>
      <c r="X102" s="478">
        <v>0</v>
      </c>
      <c r="Y102" s="478">
        <v>0</v>
      </c>
      <c r="Z102" s="478">
        <v>0</v>
      </c>
      <c r="AA102" s="478">
        <v>0</v>
      </c>
      <c r="AB102" s="478">
        <v>0</v>
      </c>
      <c r="AC102" s="478">
        <v>0</v>
      </c>
      <c r="AD102" s="478">
        <v>0</v>
      </c>
      <c r="AE102" s="478">
        <v>0</v>
      </c>
      <c r="AF102" s="434"/>
      <c r="AG102" s="667"/>
    </row>
    <row r="103" spans="1:33" ht="21" x14ac:dyDescent="0.35">
      <c r="A103" s="454" t="s">
        <v>356</v>
      </c>
      <c r="B103" s="457"/>
      <c r="C103" s="457"/>
      <c r="D103" s="457"/>
      <c r="E103" s="457"/>
      <c r="F103" s="457"/>
      <c r="G103" s="457"/>
      <c r="H103" s="457"/>
      <c r="I103" s="457"/>
      <c r="J103" s="457"/>
      <c r="K103" s="457"/>
      <c r="L103" s="457"/>
      <c r="M103" s="457"/>
      <c r="N103" s="457"/>
      <c r="O103" s="457"/>
      <c r="P103" s="457"/>
      <c r="Q103" s="457"/>
      <c r="R103" s="457"/>
      <c r="S103" s="457"/>
      <c r="T103" s="457"/>
      <c r="U103" s="457"/>
      <c r="V103" s="457"/>
      <c r="W103" s="457"/>
      <c r="X103" s="457"/>
      <c r="Y103" s="457"/>
      <c r="Z103" s="457"/>
      <c r="AA103" s="457"/>
      <c r="AB103" s="457"/>
      <c r="AC103" s="457"/>
      <c r="AD103" s="457"/>
      <c r="AE103" s="458"/>
      <c r="AF103" s="452"/>
      <c r="AG103" s="667"/>
    </row>
    <row r="104" spans="1:33" s="431" customFormat="1" ht="56.25" x14ac:dyDescent="0.35">
      <c r="A104" s="428" t="s">
        <v>31</v>
      </c>
      <c r="B104" s="569">
        <f>B105+B106</f>
        <v>793.1</v>
      </c>
      <c r="C104" s="429">
        <f>C105+C106</f>
        <v>793.1</v>
      </c>
      <c r="D104" s="429">
        <f>D105+D106</f>
        <v>793.09999999999991</v>
      </c>
      <c r="E104" s="429">
        <f>E105+E106</f>
        <v>793.09999999999991</v>
      </c>
      <c r="F104" s="429">
        <f>IFERROR(E104/B104*100,0)</f>
        <v>99.999999999999986</v>
      </c>
      <c r="G104" s="429">
        <f>IFERROR(E104/C104*100,0)</f>
        <v>99.999999999999986</v>
      </c>
      <c r="H104" s="477">
        <f>H105+H106</f>
        <v>0</v>
      </c>
      <c r="I104" s="477">
        <f t="shared" ref="I104:AE104" si="50">I105+I106</f>
        <v>0</v>
      </c>
      <c r="J104" s="477">
        <f t="shared" si="50"/>
        <v>0</v>
      </c>
      <c r="K104" s="477">
        <f t="shared" si="50"/>
        <v>0</v>
      </c>
      <c r="L104" s="477">
        <f t="shared" si="50"/>
        <v>0</v>
      </c>
      <c r="M104" s="477">
        <f t="shared" si="50"/>
        <v>0</v>
      </c>
      <c r="N104" s="477">
        <f t="shared" si="50"/>
        <v>0</v>
      </c>
      <c r="O104" s="477">
        <f t="shared" si="50"/>
        <v>0</v>
      </c>
      <c r="P104" s="477">
        <f t="shared" si="50"/>
        <v>0</v>
      </c>
      <c r="Q104" s="477">
        <f t="shared" si="50"/>
        <v>0</v>
      </c>
      <c r="R104" s="477">
        <f t="shared" si="50"/>
        <v>700</v>
      </c>
      <c r="S104" s="477">
        <f t="shared" si="50"/>
        <v>288.37599999999998</v>
      </c>
      <c r="T104" s="477">
        <f t="shared" si="50"/>
        <v>0</v>
      </c>
      <c r="U104" s="477">
        <f t="shared" si="50"/>
        <v>0</v>
      </c>
      <c r="V104" s="477">
        <f t="shared" si="50"/>
        <v>93.1</v>
      </c>
      <c r="W104" s="477">
        <f t="shared" si="50"/>
        <v>504.72399999999999</v>
      </c>
      <c r="X104" s="477">
        <f t="shared" si="50"/>
        <v>0</v>
      </c>
      <c r="Y104" s="477">
        <f t="shared" si="50"/>
        <v>0</v>
      </c>
      <c r="Z104" s="477">
        <f t="shared" si="50"/>
        <v>0</v>
      </c>
      <c r="AA104" s="477">
        <f t="shared" si="50"/>
        <v>0</v>
      </c>
      <c r="AB104" s="477">
        <f t="shared" si="50"/>
        <v>0</v>
      </c>
      <c r="AC104" s="477">
        <f t="shared" si="50"/>
        <v>0</v>
      </c>
      <c r="AD104" s="477">
        <f t="shared" si="50"/>
        <v>0</v>
      </c>
      <c r="AE104" s="477">
        <f t="shared" si="50"/>
        <v>0</v>
      </c>
      <c r="AF104" s="434" t="s">
        <v>651</v>
      </c>
      <c r="AG104" s="667"/>
    </row>
    <row r="105" spans="1:33" ht="21" x14ac:dyDescent="0.35">
      <c r="A105" s="432" t="s">
        <v>32</v>
      </c>
      <c r="B105" s="433">
        <f>SUM(H105,J105,L105,N105,P105,R105,T105,V105,X105,Z105,AB105,AD105)</f>
        <v>0</v>
      </c>
      <c r="C105" s="433">
        <f>H105+J105+L105+N105+P105+R105+T105+V105</f>
        <v>0</v>
      </c>
      <c r="D105" s="433">
        <f>E105</f>
        <v>0</v>
      </c>
      <c r="E105" s="433">
        <f>SUM(I105,K105,M105,O105,Q105,S105,U105,W105,Y105,AA105,AC105,AE105)</f>
        <v>0</v>
      </c>
      <c r="F105" s="433">
        <f>IFERROR(E105/B105*100,0)</f>
        <v>0</v>
      </c>
      <c r="G105" s="433">
        <f>IFERROR(E105/C105*100,0)</f>
        <v>0</v>
      </c>
      <c r="H105" s="478">
        <v>0</v>
      </c>
      <c r="I105" s="478">
        <v>0</v>
      </c>
      <c r="J105" s="478">
        <v>0</v>
      </c>
      <c r="K105" s="478">
        <v>0</v>
      </c>
      <c r="L105" s="478">
        <v>0</v>
      </c>
      <c r="M105" s="478">
        <v>0</v>
      </c>
      <c r="N105" s="478">
        <v>0</v>
      </c>
      <c r="O105" s="478">
        <v>0</v>
      </c>
      <c r="P105" s="478">
        <v>0</v>
      </c>
      <c r="Q105" s="478">
        <v>0</v>
      </c>
      <c r="R105" s="478">
        <v>0</v>
      </c>
      <c r="S105" s="478">
        <v>0</v>
      </c>
      <c r="T105" s="478">
        <v>0</v>
      </c>
      <c r="U105" s="478">
        <v>0</v>
      </c>
      <c r="V105" s="478">
        <v>0</v>
      </c>
      <c r="W105" s="478">
        <v>0</v>
      </c>
      <c r="X105" s="478">
        <v>0</v>
      </c>
      <c r="Y105" s="478">
        <v>0</v>
      </c>
      <c r="Z105" s="478">
        <v>0</v>
      </c>
      <c r="AA105" s="478">
        <v>0</v>
      </c>
      <c r="AB105" s="478">
        <v>0</v>
      </c>
      <c r="AC105" s="478">
        <v>0</v>
      </c>
      <c r="AD105" s="478">
        <v>0</v>
      </c>
      <c r="AE105" s="478">
        <v>0</v>
      </c>
      <c r="AF105" s="434"/>
      <c r="AG105" s="667"/>
    </row>
    <row r="106" spans="1:33" ht="21" x14ac:dyDescent="0.35">
      <c r="A106" s="432" t="s">
        <v>33</v>
      </c>
      <c r="B106" s="433">
        <f>SUM(H106,J106,L106,N106,P106,R106,T106,V106,X106,Z106,AB106,AD106)</f>
        <v>793.1</v>
      </c>
      <c r="C106" s="433">
        <f>H106+J106+L106+N106+P106+R106+T106+V106</f>
        <v>793.1</v>
      </c>
      <c r="D106" s="433">
        <f>E106</f>
        <v>793.09999999999991</v>
      </c>
      <c r="E106" s="433">
        <f>SUM(I106,K106,M106,O106,Q106,S106,U106,W106,Y106,AA106,AC106,AE106)</f>
        <v>793.09999999999991</v>
      </c>
      <c r="F106" s="433">
        <f>IFERROR(E106/B106*100,0)</f>
        <v>99.999999999999986</v>
      </c>
      <c r="G106" s="433">
        <f>IFERROR(E106/C106*100,0)</f>
        <v>99.999999999999986</v>
      </c>
      <c r="H106" s="478">
        <v>0</v>
      </c>
      <c r="I106" s="478">
        <v>0</v>
      </c>
      <c r="J106" s="478">
        <v>0</v>
      </c>
      <c r="K106" s="478">
        <v>0</v>
      </c>
      <c r="L106" s="478">
        <v>0</v>
      </c>
      <c r="M106" s="478">
        <v>0</v>
      </c>
      <c r="N106" s="478">
        <v>0</v>
      </c>
      <c r="O106" s="478">
        <v>0</v>
      </c>
      <c r="P106" s="478">
        <v>0</v>
      </c>
      <c r="Q106" s="478">
        <v>0</v>
      </c>
      <c r="R106" s="478">
        <v>700</v>
      </c>
      <c r="S106" s="478">
        <v>288.37599999999998</v>
      </c>
      <c r="T106" s="478">
        <v>0</v>
      </c>
      <c r="U106" s="478">
        <v>0</v>
      </c>
      <c r="V106" s="478">
        <v>93.1</v>
      </c>
      <c r="W106" s="478">
        <v>504.72399999999999</v>
      </c>
      <c r="X106" s="478">
        <v>0</v>
      </c>
      <c r="Y106" s="478">
        <v>0</v>
      </c>
      <c r="Z106" s="478">
        <v>0</v>
      </c>
      <c r="AA106" s="478">
        <v>0</v>
      </c>
      <c r="AB106" s="478">
        <v>0</v>
      </c>
      <c r="AC106" s="478">
        <v>0</v>
      </c>
      <c r="AD106" s="478">
        <v>0</v>
      </c>
      <c r="AE106" s="478">
        <v>0</v>
      </c>
      <c r="AF106" s="434"/>
      <c r="AG106" s="667"/>
    </row>
    <row r="107" spans="1:33" ht="37.5" x14ac:dyDescent="0.35">
      <c r="A107" s="451" t="s">
        <v>174</v>
      </c>
      <c r="B107" s="433">
        <f>SUM(H107,J107,L107,N107,P107,R107,T107,V107,X107,Z107,AB107,AD107)</f>
        <v>0</v>
      </c>
      <c r="C107" s="433">
        <f>H107+J107+L107+N107+P107+R107+T107+V107</f>
        <v>0</v>
      </c>
      <c r="D107" s="433">
        <f>E107</f>
        <v>0</v>
      </c>
      <c r="E107" s="433">
        <f>SUM(I107,K107,M107,O107,Q107,S107,U107,W107,Y107,AA107,AC107,AE107)</f>
        <v>0</v>
      </c>
      <c r="F107" s="433">
        <f>IFERROR(E107/B107*100,0)</f>
        <v>0</v>
      </c>
      <c r="G107" s="433">
        <f>IFERROR(E107/C107*100,0)</f>
        <v>0</v>
      </c>
      <c r="H107" s="478">
        <v>0</v>
      </c>
      <c r="I107" s="478">
        <v>0</v>
      </c>
      <c r="J107" s="478">
        <v>0</v>
      </c>
      <c r="K107" s="478">
        <v>0</v>
      </c>
      <c r="L107" s="478">
        <v>0</v>
      </c>
      <c r="M107" s="478">
        <v>0</v>
      </c>
      <c r="N107" s="478">
        <v>0</v>
      </c>
      <c r="O107" s="478">
        <v>0</v>
      </c>
      <c r="P107" s="478">
        <v>0</v>
      </c>
      <c r="Q107" s="478">
        <v>0</v>
      </c>
      <c r="R107" s="478">
        <v>0</v>
      </c>
      <c r="S107" s="478">
        <v>0</v>
      </c>
      <c r="T107" s="478">
        <v>0</v>
      </c>
      <c r="U107" s="478">
        <v>0</v>
      </c>
      <c r="V107" s="478">
        <v>0</v>
      </c>
      <c r="W107" s="478">
        <v>0</v>
      </c>
      <c r="X107" s="478">
        <v>0</v>
      </c>
      <c r="Y107" s="478">
        <v>0</v>
      </c>
      <c r="Z107" s="478">
        <v>0</v>
      </c>
      <c r="AA107" s="478">
        <v>0</v>
      </c>
      <c r="AB107" s="478">
        <v>0</v>
      </c>
      <c r="AC107" s="478">
        <v>0</v>
      </c>
      <c r="AD107" s="478">
        <v>0</v>
      </c>
      <c r="AE107" s="478">
        <v>0</v>
      </c>
      <c r="AF107" s="434"/>
      <c r="AG107" s="667"/>
    </row>
    <row r="108" spans="1:33" ht="21" x14ac:dyDescent="0.35">
      <c r="A108" s="454" t="s">
        <v>357</v>
      </c>
      <c r="B108" s="457"/>
      <c r="C108" s="457"/>
      <c r="D108" s="457"/>
      <c r="E108" s="457"/>
      <c r="F108" s="457"/>
      <c r="G108" s="457"/>
      <c r="H108" s="457"/>
      <c r="I108" s="457"/>
      <c r="J108" s="457"/>
      <c r="K108" s="457"/>
      <c r="L108" s="457"/>
      <c r="M108" s="457"/>
      <c r="N108" s="457"/>
      <c r="O108" s="457"/>
      <c r="P108" s="457"/>
      <c r="Q108" s="457"/>
      <c r="R108" s="457"/>
      <c r="S108" s="457"/>
      <c r="T108" s="457"/>
      <c r="U108" s="457"/>
      <c r="V108" s="457"/>
      <c r="W108" s="457"/>
      <c r="X108" s="457"/>
      <c r="Y108" s="457"/>
      <c r="Z108" s="457"/>
      <c r="AA108" s="457"/>
      <c r="AB108" s="457"/>
      <c r="AC108" s="457"/>
      <c r="AD108" s="457"/>
      <c r="AE108" s="458"/>
      <c r="AF108" s="452"/>
      <c r="AG108" s="667"/>
    </row>
    <row r="109" spans="1:33" s="431" customFormat="1" ht="127.5" customHeight="1" x14ac:dyDescent="0.35">
      <c r="A109" s="428" t="s">
        <v>31</v>
      </c>
      <c r="B109" s="429">
        <f>B110+B111</f>
        <v>1000</v>
      </c>
      <c r="C109" s="429">
        <f>C110+C111</f>
        <v>1000</v>
      </c>
      <c r="D109" s="429">
        <f>D110+D111</f>
        <v>1000</v>
      </c>
      <c r="E109" s="429">
        <f>E110+E111</f>
        <v>1000</v>
      </c>
      <c r="F109" s="429">
        <f>IFERROR(E109/B109*100,0)</f>
        <v>100</v>
      </c>
      <c r="G109" s="429">
        <f>IFERROR(E109/C109*100,0)</f>
        <v>100</v>
      </c>
      <c r="H109" s="477">
        <f>H110+H111</f>
        <v>0</v>
      </c>
      <c r="I109" s="477">
        <f t="shared" ref="I109:AE109" si="51">I110+I111</f>
        <v>0</v>
      </c>
      <c r="J109" s="477">
        <f t="shared" si="51"/>
        <v>0</v>
      </c>
      <c r="K109" s="477">
        <f t="shared" si="51"/>
        <v>0</v>
      </c>
      <c r="L109" s="477">
        <f t="shared" si="51"/>
        <v>0</v>
      </c>
      <c r="M109" s="477">
        <f t="shared" si="51"/>
        <v>0</v>
      </c>
      <c r="N109" s="477">
        <f t="shared" si="51"/>
        <v>0</v>
      </c>
      <c r="O109" s="477">
        <f t="shared" si="51"/>
        <v>0</v>
      </c>
      <c r="P109" s="477">
        <f t="shared" si="51"/>
        <v>0</v>
      </c>
      <c r="Q109" s="477">
        <f t="shared" si="51"/>
        <v>0</v>
      </c>
      <c r="R109" s="477">
        <f t="shared" si="51"/>
        <v>1000</v>
      </c>
      <c r="S109" s="477">
        <f t="shared" si="51"/>
        <v>0</v>
      </c>
      <c r="T109" s="477">
        <f t="shared" si="51"/>
        <v>0</v>
      </c>
      <c r="U109" s="477">
        <f t="shared" si="51"/>
        <v>1000</v>
      </c>
      <c r="V109" s="477">
        <f t="shared" si="51"/>
        <v>0</v>
      </c>
      <c r="W109" s="477">
        <f t="shared" si="51"/>
        <v>0</v>
      </c>
      <c r="X109" s="477">
        <f t="shared" si="51"/>
        <v>0</v>
      </c>
      <c r="Y109" s="477">
        <f t="shared" si="51"/>
        <v>0</v>
      </c>
      <c r="Z109" s="477">
        <f t="shared" si="51"/>
        <v>0</v>
      </c>
      <c r="AA109" s="477">
        <f t="shared" si="51"/>
        <v>0</v>
      </c>
      <c r="AB109" s="477">
        <f t="shared" si="51"/>
        <v>0</v>
      </c>
      <c r="AC109" s="477">
        <f t="shared" si="51"/>
        <v>0</v>
      </c>
      <c r="AD109" s="477">
        <f t="shared" si="51"/>
        <v>0</v>
      </c>
      <c r="AE109" s="477">
        <f t="shared" si="51"/>
        <v>0</v>
      </c>
      <c r="AF109" s="434" t="s">
        <v>653</v>
      </c>
      <c r="AG109" s="667"/>
    </row>
    <row r="110" spans="1:33" ht="21" x14ac:dyDescent="0.35">
      <c r="A110" s="432" t="s">
        <v>32</v>
      </c>
      <c r="B110" s="433">
        <f>SUM(H110,J110,L110,N110,P110,R110,T110,V110,X110,Z110,AB110,AD110)</f>
        <v>0</v>
      </c>
      <c r="C110" s="433">
        <f>H110+J110+L110+N110+P110+R110</f>
        <v>0</v>
      </c>
      <c r="D110" s="433">
        <f>E110</f>
        <v>0</v>
      </c>
      <c r="E110" s="433">
        <f>SUM(I110,K110,M110,O110,Q110,S110,U110,W110,Y110,AA110,AC110,AE110)</f>
        <v>0</v>
      </c>
      <c r="F110" s="433">
        <f>IFERROR(E110/B110*100,0)</f>
        <v>0</v>
      </c>
      <c r="G110" s="433">
        <f>IFERROR(E110/C110*100,0)</f>
        <v>0</v>
      </c>
      <c r="H110" s="478">
        <v>0</v>
      </c>
      <c r="I110" s="478">
        <v>0</v>
      </c>
      <c r="J110" s="478">
        <v>0</v>
      </c>
      <c r="K110" s="478">
        <v>0</v>
      </c>
      <c r="L110" s="478">
        <v>0</v>
      </c>
      <c r="M110" s="478">
        <v>0</v>
      </c>
      <c r="N110" s="478">
        <v>0</v>
      </c>
      <c r="O110" s="478">
        <v>0</v>
      </c>
      <c r="P110" s="478">
        <v>0</v>
      </c>
      <c r="Q110" s="478">
        <v>0</v>
      </c>
      <c r="R110" s="478">
        <v>0</v>
      </c>
      <c r="S110" s="478">
        <v>0</v>
      </c>
      <c r="T110" s="478">
        <v>0</v>
      </c>
      <c r="U110" s="478">
        <v>0</v>
      </c>
      <c r="V110" s="478">
        <v>0</v>
      </c>
      <c r="W110" s="478">
        <v>0</v>
      </c>
      <c r="X110" s="478">
        <v>0</v>
      </c>
      <c r="Y110" s="478">
        <v>0</v>
      </c>
      <c r="Z110" s="478">
        <v>0</v>
      </c>
      <c r="AA110" s="478">
        <v>0</v>
      </c>
      <c r="AB110" s="478">
        <v>0</v>
      </c>
      <c r="AC110" s="478">
        <v>0</v>
      </c>
      <c r="AD110" s="478">
        <v>0</v>
      </c>
      <c r="AE110" s="478">
        <v>0</v>
      </c>
      <c r="AF110" s="434"/>
      <c r="AG110" s="667"/>
    </row>
    <row r="111" spans="1:33" ht="21" x14ac:dyDescent="0.35">
      <c r="A111" s="432" t="s">
        <v>33</v>
      </c>
      <c r="B111" s="433">
        <f>SUM(H111,J111,L111,N111,P111,R111,T111,V111,X111,Z111,AB111,AD111)</f>
        <v>1000</v>
      </c>
      <c r="C111" s="433">
        <f>H111+J111+L111+N111+P111+R111</f>
        <v>1000</v>
      </c>
      <c r="D111" s="433">
        <f>E111</f>
        <v>1000</v>
      </c>
      <c r="E111" s="433">
        <f>SUM(I111,K111,M111,O111,Q111,S111,U111,W111,Y111,AA111,AC111,AE111)</f>
        <v>1000</v>
      </c>
      <c r="F111" s="433">
        <f>IFERROR(E111/B111*100,0)</f>
        <v>100</v>
      </c>
      <c r="G111" s="433">
        <f>IFERROR(E111/C111*100,0)</f>
        <v>100</v>
      </c>
      <c r="H111" s="478">
        <v>0</v>
      </c>
      <c r="I111" s="478">
        <v>0</v>
      </c>
      <c r="J111" s="478">
        <v>0</v>
      </c>
      <c r="K111" s="478">
        <v>0</v>
      </c>
      <c r="L111" s="478">
        <v>0</v>
      </c>
      <c r="M111" s="478">
        <v>0</v>
      </c>
      <c r="N111" s="478">
        <v>0</v>
      </c>
      <c r="O111" s="478">
        <v>0</v>
      </c>
      <c r="P111" s="478">
        <v>0</v>
      </c>
      <c r="Q111" s="478">
        <v>0</v>
      </c>
      <c r="R111" s="478">
        <v>1000</v>
      </c>
      <c r="S111" s="478">
        <v>0</v>
      </c>
      <c r="T111" s="478">
        <v>0</v>
      </c>
      <c r="U111" s="478">
        <v>1000</v>
      </c>
      <c r="V111" s="478">
        <v>0</v>
      </c>
      <c r="W111" s="478">
        <v>0</v>
      </c>
      <c r="X111" s="478">
        <v>0</v>
      </c>
      <c r="Y111" s="478">
        <v>0</v>
      </c>
      <c r="Z111" s="478">
        <v>0</v>
      </c>
      <c r="AA111" s="478">
        <v>0</v>
      </c>
      <c r="AB111" s="478">
        <v>0</v>
      </c>
      <c r="AC111" s="478">
        <v>0</v>
      </c>
      <c r="AD111" s="478">
        <v>0</v>
      </c>
      <c r="AE111" s="478">
        <v>0</v>
      </c>
      <c r="AF111" s="434"/>
      <c r="AG111" s="667"/>
    </row>
    <row r="112" spans="1:33" ht="37.5" x14ac:dyDescent="0.35">
      <c r="A112" s="451" t="s">
        <v>174</v>
      </c>
      <c r="B112" s="433">
        <f>SUM(H112,J112,L112,N112,P112,R112,T112,V112,X112,Z112,AB112,AD112)</f>
        <v>0</v>
      </c>
      <c r="C112" s="433">
        <f t="shared" ref="C112" si="52">H112+J112+L112+N112+P112+R112</f>
        <v>0</v>
      </c>
      <c r="D112" s="433">
        <f>E112</f>
        <v>0</v>
      </c>
      <c r="E112" s="433">
        <f>SUM(I112,K112,M112,O112,Q112,S112,U112,W112,Y112,AA112,AC112,AE112)</f>
        <v>0</v>
      </c>
      <c r="F112" s="433">
        <f>IFERROR(E112/B112*100,0)</f>
        <v>0</v>
      </c>
      <c r="G112" s="433">
        <f>IFERROR(E112/C112*100,0)</f>
        <v>0</v>
      </c>
      <c r="H112" s="478">
        <v>0</v>
      </c>
      <c r="I112" s="478">
        <v>0</v>
      </c>
      <c r="J112" s="478">
        <v>0</v>
      </c>
      <c r="K112" s="478">
        <v>0</v>
      </c>
      <c r="L112" s="478">
        <v>0</v>
      </c>
      <c r="M112" s="478">
        <v>0</v>
      </c>
      <c r="N112" s="478">
        <v>0</v>
      </c>
      <c r="O112" s="478">
        <v>0</v>
      </c>
      <c r="P112" s="478">
        <v>0</v>
      </c>
      <c r="Q112" s="478">
        <v>0</v>
      </c>
      <c r="R112" s="478">
        <v>0</v>
      </c>
      <c r="S112" s="478">
        <v>0</v>
      </c>
      <c r="T112" s="478">
        <v>0</v>
      </c>
      <c r="U112" s="478">
        <v>0</v>
      </c>
      <c r="V112" s="478">
        <v>0</v>
      </c>
      <c r="W112" s="478">
        <v>0</v>
      </c>
      <c r="X112" s="478">
        <v>0</v>
      </c>
      <c r="Y112" s="478">
        <v>0</v>
      </c>
      <c r="Z112" s="478">
        <v>0</v>
      </c>
      <c r="AA112" s="478">
        <v>0</v>
      </c>
      <c r="AB112" s="478">
        <v>0</v>
      </c>
      <c r="AC112" s="478">
        <v>0</v>
      </c>
      <c r="AD112" s="478">
        <v>0</v>
      </c>
      <c r="AE112" s="478">
        <v>0</v>
      </c>
      <c r="AF112" s="434"/>
      <c r="AG112" s="667"/>
    </row>
    <row r="113" spans="1:33" ht="21" x14ac:dyDescent="0.35">
      <c r="A113" s="454" t="s">
        <v>358</v>
      </c>
      <c r="B113" s="457"/>
      <c r="C113" s="457"/>
      <c r="D113" s="457"/>
      <c r="E113" s="457"/>
      <c r="F113" s="457"/>
      <c r="G113" s="457"/>
      <c r="H113" s="457"/>
      <c r="I113" s="457"/>
      <c r="J113" s="457"/>
      <c r="K113" s="457"/>
      <c r="L113" s="457"/>
      <c r="M113" s="457"/>
      <c r="N113" s="457"/>
      <c r="O113" s="457"/>
      <c r="P113" s="457"/>
      <c r="Q113" s="457"/>
      <c r="R113" s="457"/>
      <c r="S113" s="457"/>
      <c r="T113" s="457"/>
      <c r="U113" s="457"/>
      <c r="V113" s="457"/>
      <c r="W113" s="457"/>
      <c r="X113" s="457"/>
      <c r="Y113" s="457"/>
      <c r="Z113" s="457"/>
      <c r="AA113" s="457"/>
      <c r="AB113" s="457"/>
      <c r="AC113" s="457"/>
      <c r="AD113" s="457"/>
      <c r="AE113" s="458"/>
      <c r="AF113" s="452"/>
      <c r="AG113" s="667"/>
    </row>
    <row r="114" spans="1:33" s="431" customFormat="1" ht="166.5" customHeight="1" x14ac:dyDescent="0.35">
      <c r="A114" s="428" t="s">
        <v>31</v>
      </c>
      <c r="B114" s="429">
        <f>B115+B116</f>
        <v>600</v>
      </c>
      <c r="C114" s="429">
        <f>C115+C116</f>
        <v>600</v>
      </c>
      <c r="D114" s="429">
        <f>D115+D116</f>
        <v>600</v>
      </c>
      <c r="E114" s="429">
        <f>E115+E116</f>
        <v>600</v>
      </c>
      <c r="F114" s="429">
        <f>IFERROR(E114/B114*100,0)</f>
        <v>100</v>
      </c>
      <c r="G114" s="429">
        <f>IFERROR(E114/C114*100,0)</f>
        <v>100</v>
      </c>
      <c r="H114" s="477">
        <f>H115+H116</f>
        <v>0</v>
      </c>
      <c r="I114" s="477">
        <f t="shared" ref="I114:AE114" si="53">I115+I116</f>
        <v>0</v>
      </c>
      <c r="J114" s="477">
        <f t="shared" si="53"/>
        <v>0</v>
      </c>
      <c r="K114" s="477">
        <f t="shared" si="53"/>
        <v>0</v>
      </c>
      <c r="L114" s="477">
        <f t="shared" si="53"/>
        <v>0</v>
      </c>
      <c r="M114" s="477">
        <f t="shared" si="53"/>
        <v>0</v>
      </c>
      <c r="N114" s="477">
        <f t="shared" si="53"/>
        <v>0</v>
      </c>
      <c r="O114" s="477">
        <f t="shared" si="53"/>
        <v>0</v>
      </c>
      <c r="P114" s="477">
        <f t="shared" si="53"/>
        <v>0</v>
      </c>
      <c r="Q114" s="477">
        <f t="shared" si="53"/>
        <v>0</v>
      </c>
      <c r="R114" s="477">
        <f t="shared" si="53"/>
        <v>600</v>
      </c>
      <c r="S114" s="477">
        <f t="shared" si="53"/>
        <v>0</v>
      </c>
      <c r="T114" s="477">
        <f t="shared" si="53"/>
        <v>0</v>
      </c>
      <c r="U114" s="477">
        <f t="shared" si="53"/>
        <v>600</v>
      </c>
      <c r="V114" s="477">
        <f t="shared" si="53"/>
        <v>0</v>
      </c>
      <c r="W114" s="477">
        <f t="shared" si="53"/>
        <v>0</v>
      </c>
      <c r="X114" s="477">
        <f t="shared" si="53"/>
        <v>0</v>
      </c>
      <c r="Y114" s="477">
        <f t="shared" si="53"/>
        <v>0</v>
      </c>
      <c r="Z114" s="477">
        <f t="shared" si="53"/>
        <v>0</v>
      </c>
      <c r="AA114" s="477">
        <f t="shared" si="53"/>
        <v>0</v>
      </c>
      <c r="AB114" s="477">
        <f t="shared" si="53"/>
        <v>0</v>
      </c>
      <c r="AC114" s="477">
        <f t="shared" si="53"/>
        <v>0</v>
      </c>
      <c r="AD114" s="477">
        <f t="shared" si="53"/>
        <v>0</v>
      </c>
      <c r="AE114" s="477">
        <f t="shared" si="53"/>
        <v>0</v>
      </c>
      <c r="AF114" s="434" t="s">
        <v>654</v>
      </c>
      <c r="AG114" s="667"/>
    </row>
    <row r="115" spans="1:33" ht="21" x14ac:dyDescent="0.35">
      <c r="A115" s="432" t="s">
        <v>32</v>
      </c>
      <c r="B115" s="433">
        <f>SUM(H115,J115,L115,N115,P115,R115,T115,V115,X115,Z115,AB115,AD115)</f>
        <v>0</v>
      </c>
      <c r="C115" s="433">
        <f>H115+J115+L115+N115+P115+R115</f>
        <v>0</v>
      </c>
      <c r="D115" s="433">
        <f>E115</f>
        <v>0</v>
      </c>
      <c r="E115" s="433">
        <f>SUM(I115,K115,M115,O115,Q115,S115,U115,W115,Y115,AA115,AC115,AE115)</f>
        <v>0</v>
      </c>
      <c r="F115" s="433">
        <f>IFERROR(E115/B115*100,0)</f>
        <v>0</v>
      </c>
      <c r="G115" s="433">
        <f>IFERROR(E115/C115*100,0)</f>
        <v>0</v>
      </c>
      <c r="H115" s="478">
        <v>0</v>
      </c>
      <c r="I115" s="478">
        <v>0</v>
      </c>
      <c r="J115" s="478">
        <v>0</v>
      </c>
      <c r="K115" s="478">
        <v>0</v>
      </c>
      <c r="L115" s="478">
        <v>0</v>
      </c>
      <c r="M115" s="478">
        <v>0</v>
      </c>
      <c r="N115" s="478">
        <v>0</v>
      </c>
      <c r="O115" s="478">
        <v>0</v>
      </c>
      <c r="P115" s="478">
        <v>0</v>
      </c>
      <c r="Q115" s="478">
        <v>0</v>
      </c>
      <c r="R115" s="478">
        <v>0</v>
      </c>
      <c r="S115" s="478">
        <v>0</v>
      </c>
      <c r="T115" s="478">
        <v>0</v>
      </c>
      <c r="U115" s="478">
        <v>0</v>
      </c>
      <c r="V115" s="478">
        <v>0</v>
      </c>
      <c r="W115" s="478">
        <v>0</v>
      </c>
      <c r="X115" s="478">
        <v>0</v>
      </c>
      <c r="Y115" s="478">
        <v>0</v>
      </c>
      <c r="Z115" s="478">
        <v>0</v>
      </c>
      <c r="AA115" s="478">
        <v>0</v>
      </c>
      <c r="AB115" s="478">
        <v>0</v>
      </c>
      <c r="AC115" s="478">
        <v>0</v>
      </c>
      <c r="AD115" s="478">
        <v>0</v>
      </c>
      <c r="AE115" s="478">
        <v>0</v>
      </c>
      <c r="AF115" s="434"/>
      <c r="AG115" s="667"/>
    </row>
    <row r="116" spans="1:33" ht="21" x14ac:dyDescent="0.35">
      <c r="A116" s="432" t="s">
        <v>33</v>
      </c>
      <c r="B116" s="433">
        <f>SUM(H116,J116,L116,N116,P116,R116,T116,V116,X116,Z116,AB116,AD116)</f>
        <v>600</v>
      </c>
      <c r="C116" s="433">
        <f t="shared" ref="C116:C117" si="54">H116+J116+L116+N116+P116+R116</f>
        <v>600</v>
      </c>
      <c r="D116" s="433">
        <f>E116</f>
        <v>600</v>
      </c>
      <c r="E116" s="433">
        <f>SUM(I116,K116,M116,O116,Q116,S116,U116,W116,Y116,AA116,AC116,AE116)</f>
        <v>600</v>
      </c>
      <c r="F116" s="433">
        <f>IFERROR(E116/B116*100,0)</f>
        <v>100</v>
      </c>
      <c r="G116" s="433">
        <f>IFERROR(E116/C116*100,0)</f>
        <v>100</v>
      </c>
      <c r="H116" s="478">
        <v>0</v>
      </c>
      <c r="I116" s="478">
        <v>0</v>
      </c>
      <c r="J116" s="478">
        <v>0</v>
      </c>
      <c r="K116" s="478">
        <v>0</v>
      </c>
      <c r="L116" s="478">
        <v>0</v>
      </c>
      <c r="M116" s="478">
        <v>0</v>
      </c>
      <c r="N116" s="478">
        <v>0</v>
      </c>
      <c r="O116" s="478">
        <v>0</v>
      </c>
      <c r="P116" s="478">
        <v>0</v>
      </c>
      <c r="Q116" s="478">
        <v>0</v>
      </c>
      <c r="R116" s="478">
        <v>600</v>
      </c>
      <c r="S116" s="478">
        <v>0</v>
      </c>
      <c r="T116" s="478">
        <v>0</v>
      </c>
      <c r="U116" s="478">
        <v>600</v>
      </c>
      <c r="V116" s="478">
        <v>0</v>
      </c>
      <c r="W116" s="478">
        <v>0</v>
      </c>
      <c r="X116" s="478">
        <v>0</v>
      </c>
      <c r="Y116" s="478">
        <v>0</v>
      </c>
      <c r="Z116" s="478">
        <v>0</v>
      </c>
      <c r="AA116" s="478">
        <v>0</v>
      </c>
      <c r="AB116" s="478">
        <v>0</v>
      </c>
      <c r="AC116" s="478">
        <v>0</v>
      </c>
      <c r="AD116" s="478">
        <v>0</v>
      </c>
      <c r="AE116" s="478">
        <v>0</v>
      </c>
      <c r="AF116" s="434"/>
      <c r="AG116" s="667"/>
    </row>
    <row r="117" spans="1:33" ht="37.5" x14ac:dyDescent="0.35">
      <c r="A117" s="451" t="s">
        <v>174</v>
      </c>
      <c r="B117" s="433">
        <f>SUM(H117,J117,L117,N117,P117,R117,T117,V117,X117,Z117,AB117,AD117)</f>
        <v>0</v>
      </c>
      <c r="C117" s="433">
        <f t="shared" si="54"/>
        <v>0</v>
      </c>
      <c r="D117" s="433">
        <f>E117</f>
        <v>0</v>
      </c>
      <c r="E117" s="433">
        <f>SUM(I117,K117,M117,O117,Q117,S117,U117,W117,Y117,AA117,AC117,AE117)</f>
        <v>0</v>
      </c>
      <c r="F117" s="433">
        <f>IFERROR(E117/B117*100,0)</f>
        <v>0</v>
      </c>
      <c r="G117" s="433">
        <f>IFERROR(E117/C117*100,0)</f>
        <v>0</v>
      </c>
      <c r="H117" s="478">
        <v>0</v>
      </c>
      <c r="I117" s="478">
        <v>0</v>
      </c>
      <c r="J117" s="478">
        <v>0</v>
      </c>
      <c r="K117" s="478">
        <v>0</v>
      </c>
      <c r="L117" s="478">
        <v>0</v>
      </c>
      <c r="M117" s="478">
        <v>0</v>
      </c>
      <c r="N117" s="478">
        <v>0</v>
      </c>
      <c r="O117" s="478">
        <v>0</v>
      </c>
      <c r="P117" s="478">
        <v>0</v>
      </c>
      <c r="Q117" s="478">
        <v>0</v>
      </c>
      <c r="R117" s="478">
        <v>0</v>
      </c>
      <c r="S117" s="478">
        <v>0</v>
      </c>
      <c r="T117" s="478">
        <v>0</v>
      </c>
      <c r="U117" s="478">
        <v>0</v>
      </c>
      <c r="V117" s="478">
        <v>0</v>
      </c>
      <c r="W117" s="478">
        <v>0</v>
      </c>
      <c r="X117" s="478">
        <v>0</v>
      </c>
      <c r="Y117" s="478">
        <v>0</v>
      </c>
      <c r="Z117" s="478">
        <v>0</v>
      </c>
      <c r="AA117" s="478">
        <v>0</v>
      </c>
      <c r="AB117" s="478">
        <v>0</v>
      </c>
      <c r="AC117" s="478">
        <v>0</v>
      </c>
      <c r="AD117" s="478">
        <v>0</v>
      </c>
      <c r="AE117" s="478">
        <v>0</v>
      </c>
      <c r="AF117" s="434"/>
      <c r="AG117" s="667"/>
    </row>
    <row r="118" spans="1:33" ht="21" x14ac:dyDescent="0.35">
      <c r="A118" s="454" t="s">
        <v>359</v>
      </c>
      <c r="B118" s="457"/>
      <c r="C118" s="457"/>
      <c r="D118" s="457"/>
      <c r="E118" s="457"/>
      <c r="F118" s="457"/>
      <c r="G118" s="457"/>
      <c r="H118" s="457"/>
      <c r="I118" s="457"/>
      <c r="J118" s="457"/>
      <c r="K118" s="457"/>
      <c r="L118" s="457"/>
      <c r="M118" s="457"/>
      <c r="N118" s="457"/>
      <c r="O118" s="457"/>
      <c r="P118" s="457"/>
      <c r="Q118" s="457"/>
      <c r="R118" s="457"/>
      <c r="S118" s="457"/>
      <c r="T118" s="457"/>
      <c r="U118" s="457"/>
      <c r="V118" s="457"/>
      <c r="W118" s="457"/>
      <c r="X118" s="457"/>
      <c r="Y118" s="457"/>
      <c r="Z118" s="457"/>
      <c r="AA118" s="457"/>
      <c r="AB118" s="457"/>
      <c r="AC118" s="457"/>
      <c r="AD118" s="457"/>
      <c r="AE118" s="458"/>
      <c r="AF118" s="452"/>
      <c r="AG118" s="667"/>
    </row>
    <row r="119" spans="1:33" s="431" customFormat="1" ht="129" customHeight="1" x14ac:dyDescent="0.35">
      <c r="A119" s="428" t="s">
        <v>31</v>
      </c>
      <c r="B119" s="429">
        <f>B120+B121</f>
        <v>600</v>
      </c>
      <c r="C119" s="429">
        <f>C120+C121</f>
        <v>600</v>
      </c>
      <c r="D119" s="429">
        <f>D120+D121</f>
        <v>600</v>
      </c>
      <c r="E119" s="429">
        <f>E120+E121</f>
        <v>600</v>
      </c>
      <c r="F119" s="429">
        <f>IFERROR(E119/B119*100,0)</f>
        <v>100</v>
      </c>
      <c r="G119" s="429">
        <f>IFERROR(E119/C119*100,0)</f>
        <v>100</v>
      </c>
      <c r="H119" s="477">
        <f>H120+H121</f>
        <v>0</v>
      </c>
      <c r="I119" s="477">
        <f t="shared" ref="I119:AE119" si="55">I120+I121</f>
        <v>0</v>
      </c>
      <c r="J119" s="477">
        <f t="shared" si="55"/>
        <v>0</v>
      </c>
      <c r="K119" s="477">
        <f t="shared" si="55"/>
        <v>0</v>
      </c>
      <c r="L119" s="477">
        <f t="shared" si="55"/>
        <v>0</v>
      </c>
      <c r="M119" s="477">
        <f t="shared" si="55"/>
        <v>0</v>
      </c>
      <c r="N119" s="477">
        <f t="shared" si="55"/>
        <v>0</v>
      </c>
      <c r="O119" s="477">
        <f t="shared" si="55"/>
        <v>0</v>
      </c>
      <c r="P119" s="477">
        <f t="shared" si="55"/>
        <v>0</v>
      </c>
      <c r="Q119" s="477">
        <f t="shared" si="55"/>
        <v>0</v>
      </c>
      <c r="R119" s="477">
        <f t="shared" si="55"/>
        <v>600</v>
      </c>
      <c r="S119" s="477">
        <f t="shared" si="55"/>
        <v>0</v>
      </c>
      <c r="T119" s="477">
        <f t="shared" si="55"/>
        <v>0</v>
      </c>
      <c r="U119" s="477">
        <f t="shared" si="55"/>
        <v>600</v>
      </c>
      <c r="V119" s="477">
        <f t="shared" si="55"/>
        <v>0</v>
      </c>
      <c r="W119" s="477">
        <f t="shared" si="55"/>
        <v>0</v>
      </c>
      <c r="X119" s="477">
        <f t="shared" si="55"/>
        <v>0</v>
      </c>
      <c r="Y119" s="477">
        <f t="shared" si="55"/>
        <v>0</v>
      </c>
      <c r="Z119" s="477">
        <f t="shared" si="55"/>
        <v>0</v>
      </c>
      <c r="AA119" s="477">
        <f t="shared" si="55"/>
        <v>0</v>
      </c>
      <c r="AB119" s="477">
        <f t="shared" si="55"/>
        <v>0</v>
      </c>
      <c r="AC119" s="477">
        <f t="shared" si="55"/>
        <v>0</v>
      </c>
      <c r="AD119" s="477">
        <f t="shared" si="55"/>
        <v>0</v>
      </c>
      <c r="AE119" s="477">
        <f t="shared" si="55"/>
        <v>0</v>
      </c>
      <c r="AF119" s="434" t="s">
        <v>655</v>
      </c>
      <c r="AG119" s="667"/>
    </row>
    <row r="120" spans="1:33" ht="21" x14ac:dyDescent="0.35">
      <c r="A120" s="432" t="s">
        <v>32</v>
      </c>
      <c r="B120" s="433">
        <f>SUM(H120,J120,L120,N120,P120,R120,T120,V120,X120,Z120,AB120,AD120)</f>
        <v>0</v>
      </c>
      <c r="C120" s="433">
        <f>H120+J120+L120+N120+P120+R120</f>
        <v>0</v>
      </c>
      <c r="D120" s="433">
        <f>E120</f>
        <v>0</v>
      </c>
      <c r="E120" s="433">
        <f>SUM(I120,K120,M120,O120,Q120,S120,U120,W120,Y120,AA120,AC120,AE120)</f>
        <v>0</v>
      </c>
      <c r="F120" s="433">
        <f>IFERROR(E120/B120*100,0)</f>
        <v>0</v>
      </c>
      <c r="G120" s="433">
        <f>IFERROR(E120/C120*100,0)</f>
        <v>0</v>
      </c>
      <c r="H120" s="478">
        <v>0</v>
      </c>
      <c r="I120" s="478">
        <v>0</v>
      </c>
      <c r="J120" s="478">
        <v>0</v>
      </c>
      <c r="K120" s="478">
        <v>0</v>
      </c>
      <c r="L120" s="478">
        <v>0</v>
      </c>
      <c r="M120" s="478">
        <v>0</v>
      </c>
      <c r="N120" s="478">
        <v>0</v>
      </c>
      <c r="O120" s="478">
        <v>0</v>
      </c>
      <c r="P120" s="478">
        <v>0</v>
      </c>
      <c r="Q120" s="478">
        <v>0</v>
      </c>
      <c r="R120" s="478">
        <v>0</v>
      </c>
      <c r="S120" s="478">
        <v>0</v>
      </c>
      <c r="T120" s="478">
        <v>0</v>
      </c>
      <c r="U120" s="478">
        <v>0</v>
      </c>
      <c r="V120" s="478">
        <v>0</v>
      </c>
      <c r="W120" s="478">
        <v>0</v>
      </c>
      <c r="X120" s="478">
        <v>0</v>
      </c>
      <c r="Y120" s="478">
        <v>0</v>
      </c>
      <c r="Z120" s="478">
        <v>0</v>
      </c>
      <c r="AA120" s="478">
        <v>0</v>
      </c>
      <c r="AB120" s="478">
        <v>0</v>
      </c>
      <c r="AC120" s="478">
        <v>0</v>
      </c>
      <c r="AD120" s="478">
        <v>0</v>
      </c>
      <c r="AE120" s="478">
        <v>0</v>
      </c>
      <c r="AF120" s="434"/>
      <c r="AG120" s="667"/>
    </row>
    <row r="121" spans="1:33" ht="21" x14ac:dyDescent="0.35">
      <c r="A121" s="432" t="s">
        <v>33</v>
      </c>
      <c r="B121" s="433">
        <f>SUM(H121,J121,L121,N121,P121,R121,T121,V121,X121,Z121,AB121,AD121)</f>
        <v>600</v>
      </c>
      <c r="C121" s="433">
        <f t="shared" ref="C121:C122" si="56">H121+J121+L121+N121+P121+R121</f>
        <v>600</v>
      </c>
      <c r="D121" s="433">
        <f>E121</f>
        <v>600</v>
      </c>
      <c r="E121" s="433">
        <f>SUM(I121,K121,M121,O121,Q121,S121,U121,W121,Y121,AA121,AC121,AE121)</f>
        <v>600</v>
      </c>
      <c r="F121" s="433">
        <f>IFERROR(E121/B121*100,0)</f>
        <v>100</v>
      </c>
      <c r="G121" s="433">
        <f>IFERROR(E121/C121*100,0)</f>
        <v>100</v>
      </c>
      <c r="H121" s="478">
        <v>0</v>
      </c>
      <c r="I121" s="478">
        <v>0</v>
      </c>
      <c r="J121" s="478">
        <v>0</v>
      </c>
      <c r="K121" s="478">
        <v>0</v>
      </c>
      <c r="L121" s="478">
        <v>0</v>
      </c>
      <c r="M121" s="478">
        <v>0</v>
      </c>
      <c r="N121" s="478">
        <v>0</v>
      </c>
      <c r="O121" s="478">
        <v>0</v>
      </c>
      <c r="P121" s="478">
        <v>0</v>
      </c>
      <c r="Q121" s="478">
        <v>0</v>
      </c>
      <c r="R121" s="478">
        <v>600</v>
      </c>
      <c r="S121" s="478">
        <v>0</v>
      </c>
      <c r="T121" s="478">
        <v>0</v>
      </c>
      <c r="U121" s="478">
        <v>600</v>
      </c>
      <c r="V121" s="478">
        <v>0</v>
      </c>
      <c r="W121" s="478">
        <v>0</v>
      </c>
      <c r="X121" s="478">
        <v>0</v>
      </c>
      <c r="Y121" s="478">
        <v>0</v>
      </c>
      <c r="Z121" s="478">
        <v>0</v>
      </c>
      <c r="AA121" s="478">
        <v>0</v>
      </c>
      <c r="AB121" s="478">
        <v>0</v>
      </c>
      <c r="AC121" s="478">
        <v>0</v>
      </c>
      <c r="AD121" s="478">
        <v>0</v>
      </c>
      <c r="AE121" s="478">
        <v>0</v>
      </c>
      <c r="AF121" s="434"/>
      <c r="AG121" s="667"/>
    </row>
    <row r="122" spans="1:33" ht="37.5" x14ac:dyDescent="0.35">
      <c r="A122" s="451" t="s">
        <v>174</v>
      </c>
      <c r="B122" s="433">
        <f>SUM(H122,J122,L122,N122,P122,R122,T122,V122,X122,Z122,AB122,AD122)</f>
        <v>0</v>
      </c>
      <c r="C122" s="433">
        <f t="shared" si="56"/>
        <v>0</v>
      </c>
      <c r="D122" s="433">
        <f>E122</f>
        <v>0</v>
      </c>
      <c r="E122" s="433">
        <f>SUM(I122,K122,M122,O122,Q122,S122,U122,W122,Y122,AA122,AC122,AE122)</f>
        <v>0</v>
      </c>
      <c r="F122" s="433">
        <f>IFERROR(E122/B122*100,0)</f>
        <v>0</v>
      </c>
      <c r="G122" s="433">
        <f>IFERROR(E122/C122*100,0)</f>
        <v>0</v>
      </c>
      <c r="H122" s="478">
        <v>0</v>
      </c>
      <c r="I122" s="478">
        <v>0</v>
      </c>
      <c r="J122" s="478">
        <v>0</v>
      </c>
      <c r="K122" s="478">
        <v>0</v>
      </c>
      <c r="L122" s="478">
        <v>0</v>
      </c>
      <c r="M122" s="478">
        <v>0</v>
      </c>
      <c r="N122" s="478">
        <v>0</v>
      </c>
      <c r="O122" s="478">
        <v>0</v>
      </c>
      <c r="P122" s="478">
        <v>0</v>
      </c>
      <c r="Q122" s="478">
        <v>0</v>
      </c>
      <c r="R122" s="478">
        <v>0</v>
      </c>
      <c r="S122" s="478">
        <v>0</v>
      </c>
      <c r="T122" s="478">
        <v>0</v>
      </c>
      <c r="U122" s="478">
        <v>0</v>
      </c>
      <c r="V122" s="478">
        <v>0</v>
      </c>
      <c r="W122" s="478">
        <v>0</v>
      </c>
      <c r="X122" s="478">
        <v>0</v>
      </c>
      <c r="Y122" s="478">
        <v>0</v>
      </c>
      <c r="Z122" s="478">
        <v>0</v>
      </c>
      <c r="AA122" s="478">
        <v>0</v>
      </c>
      <c r="AB122" s="478">
        <v>0</v>
      </c>
      <c r="AC122" s="478">
        <v>0</v>
      </c>
      <c r="AD122" s="478">
        <v>0</v>
      </c>
      <c r="AE122" s="478">
        <v>0</v>
      </c>
      <c r="AF122" s="434"/>
      <c r="AG122" s="667"/>
    </row>
    <row r="123" spans="1:33" ht="21" x14ac:dyDescent="0.35">
      <c r="A123" s="454" t="s">
        <v>360</v>
      </c>
      <c r="B123" s="457"/>
      <c r="C123" s="457"/>
      <c r="D123" s="457"/>
      <c r="E123" s="457"/>
      <c r="F123" s="457"/>
      <c r="G123" s="457"/>
      <c r="H123" s="457"/>
      <c r="I123" s="457"/>
      <c r="J123" s="457"/>
      <c r="K123" s="457"/>
      <c r="L123" s="457"/>
      <c r="M123" s="457"/>
      <c r="N123" s="457"/>
      <c r="O123" s="457"/>
      <c r="P123" s="457"/>
      <c r="Q123" s="457"/>
      <c r="R123" s="457"/>
      <c r="S123" s="457"/>
      <c r="T123" s="457"/>
      <c r="U123" s="457"/>
      <c r="V123" s="457"/>
      <c r="W123" s="457"/>
      <c r="X123" s="457"/>
      <c r="Y123" s="457"/>
      <c r="Z123" s="457"/>
      <c r="AA123" s="457"/>
      <c r="AB123" s="457"/>
      <c r="AC123" s="457"/>
      <c r="AD123" s="457"/>
      <c r="AE123" s="458"/>
      <c r="AF123" s="434"/>
      <c r="AG123" s="667"/>
    </row>
    <row r="124" spans="1:33" s="431" customFormat="1" ht="72" customHeight="1" x14ac:dyDescent="0.35">
      <c r="A124" s="428" t="s">
        <v>31</v>
      </c>
      <c r="B124" s="429">
        <f>B125+B126</f>
        <v>100</v>
      </c>
      <c r="C124" s="429">
        <f>C125+C126</f>
        <v>100</v>
      </c>
      <c r="D124" s="429">
        <f>D125+D126</f>
        <v>89.407999999999987</v>
      </c>
      <c r="E124" s="429">
        <f>E125+E126</f>
        <v>89.407999999999987</v>
      </c>
      <c r="F124" s="429">
        <f>IFERROR(E124/B124*100,0)</f>
        <v>89.407999999999987</v>
      </c>
      <c r="G124" s="429">
        <f>IFERROR(E124/C124*100,0)</f>
        <v>89.407999999999987</v>
      </c>
      <c r="H124" s="477">
        <f>H125+H126</f>
        <v>0</v>
      </c>
      <c r="I124" s="477">
        <f t="shared" ref="I124:AE124" si="57">I125+I126</f>
        <v>0</v>
      </c>
      <c r="J124" s="477">
        <f t="shared" si="57"/>
        <v>0</v>
      </c>
      <c r="K124" s="477">
        <f t="shared" si="57"/>
        <v>0</v>
      </c>
      <c r="L124" s="477">
        <f t="shared" si="57"/>
        <v>0</v>
      </c>
      <c r="M124" s="477">
        <f t="shared" si="57"/>
        <v>0</v>
      </c>
      <c r="N124" s="477">
        <f t="shared" si="57"/>
        <v>0</v>
      </c>
      <c r="O124" s="477">
        <f t="shared" si="57"/>
        <v>0</v>
      </c>
      <c r="P124" s="477">
        <f t="shared" si="57"/>
        <v>0</v>
      </c>
      <c r="Q124" s="477">
        <f t="shared" si="57"/>
        <v>0</v>
      </c>
      <c r="R124" s="477">
        <f t="shared" si="57"/>
        <v>100</v>
      </c>
      <c r="S124" s="477">
        <f t="shared" si="57"/>
        <v>14.4</v>
      </c>
      <c r="T124" s="477">
        <f t="shared" si="57"/>
        <v>0</v>
      </c>
      <c r="U124" s="477">
        <f t="shared" si="57"/>
        <v>0</v>
      </c>
      <c r="V124" s="477">
        <f t="shared" si="57"/>
        <v>0</v>
      </c>
      <c r="W124" s="477">
        <f t="shared" si="57"/>
        <v>75.007999999999996</v>
      </c>
      <c r="X124" s="477">
        <f t="shared" si="57"/>
        <v>0</v>
      </c>
      <c r="Y124" s="477">
        <f t="shared" si="57"/>
        <v>0</v>
      </c>
      <c r="Z124" s="477">
        <f t="shared" si="57"/>
        <v>0</v>
      </c>
      <c r="AA124" s="477">
        <f t="shared" si="57"/>
        <v>0</v>
      </c>
      <c r="AB124" s="477">
        <f t="shared" si="57"/>
        <v>0</v>
      </c>
      <c r="AC124" s="477">
        <f t="shared" si="57"/>
        <v>0</v>
      </c>
      <c r="AD124" s="477">
        <f t="shared" si="57"/>
        <v>0</v>
      </c>
      <c r="AE124" s="477">
        <f t="shared" si="57"/>
        <v>0</v>
      </c>
      <c r="AF124" s="434" t="s">
        <v>632</v>
      </c>
      <c r="AG124" s="667">
        <f>C124-E124</f>
        <v>10.592000000000013</v>
      </c>
    </row>
    <row r="125" spans="1:33" ht="21" x14ac:dyDescent="0.35">
      <c r="A125" s="432" t="s">
        <v>32</v>
      </c>
      <c r="B125" s="433">
        <f>SUM(H125,J125,L125,N125,P125,R125,T125,V125,X125,Z125,AB125,AD125)</f>
        <v>95</v>
      </c>
      <c r="C125" s="433">
        <f>H125+J125+L125+N125+P125+R125</f>
        <v>95</v>
      </c>
      <c r="D125" s="433">
        <f>E125</f>
        <v>84.937999999999988</v>
      </c>
      <c r="E125" s="433">
        <f>SUM(I125,K125,M125,O125,Q125,S125,U125,W125,Y125,AA125,AC125,AE125)</f>
        <v>84.937999999999988</v>
      </c>
      <c r="F125" s="433">
        <f>IFERROR(E125/B125*100,0)</f>
        <v>89.408421052631567</v>
      </c>
      <c r="G125" s="433">
        <f>IFERROR(E125/C125*100,0)</f>
        <v>89.408421052631567</v>
      </c>
      <c r="H125" s="478">
        <v>0</v>
      </c>
      <c r="I125" s="478">
        <v>0</v>
      </c>
      <c r="J125" s="478">
        <v>0</v>
      </c>
      <c r="K125" s="478">
        <v>0</v>
      </c>
      <c r="L125" s="478">
        <v>0</v>
      </c>
      <c r="M125" s="478">
        <v>0</v>
      </c>
      <c r="N125" s="478">
        <v>0</v>
      </c>
      <c r="O125" s="478">
        <v>0</v>
      </c>
      <c r="P125" s="478">
        <v>0</v>
      </c>
      <c r="Q125" s="478">
        <v>0</v>
      </c>
      <c r="R125" s="478">
        <v>95</v>
      </c>
      <c r="S125" s="478">
        <v>13.68</v>
      </c>
      <c r="T125" s="478">
        <v>0</v>
      </c>
      <c r="U125" s="478">
        <v>0</v>
      </c>
      <c r="V125" s="478">
        <v>0</v>
      </c>
      <c r="W125" s="478">
        <v>71.257999999999996</v>
      </c>
      <c r="X125" s="478">
        <v>0</v>
      </c>
      <c r="Y125" s="478">
        <v>0</v>
      </c>
      <c r="Z125" s="478">
        <v>0</v>
      </c>
      <c r="AA125" s="478">
        <v>0</v>
      </c>
      <c r="AB125" s="478">
        <v>0</v>
      </c>
      <c r="AC125" s="478">
        <v>0</v>
      </c>
      <c r="AD125" s="478">
        <v>0</v>
      </c>
      <c r="AE125" s="478">
        <v>0</v>
      </c>
      <c r="AF125" s="434"/>
      <c r="AG125" s="667">
        <f t="shared" ref="AG125:AG127" si="58">C125-E125</f>
        <v>10.062000000000012</v>
      </c>
    </row>
    <row r="126" spans="1:33" ht="21" x14ac:dyDescent="0.35">
      <c r="A126" s="432" t="s">
        <v>33</v>
      </c>
      <c r="B126" s="433">
        <f>SUM(H126,J126,L126,N126,P126,R126,T126,V126,X126,Z126,AB126,AD126)</f>
        <v>5</v>
      </c>
      <c r="C126" s="433">
        <f t="shared" ref="C126:C127" si="59">H126+J126+L126+N126+P126+R126</f>
        <v>5</v>
      </c>
      <c r="D126" s="433">
        <f>E126</f>
        <v>4.47</v>
      </c>
      <c r="E126" s="433">
        <f>SUM(I126,K126,M126,O126,Q126,S126,U126,W126,Y126,AA126,AC126,AE126)</f>
        <v>4.47</v>
      </c>
      <c r="F126" s="433">
        <f>IFERROR(E126/B126*100,0)</f>
        <v>89.399999999999991</v>
      </c>
      <c r="G126" s="433">
        <f>IFERROR(E126/C126*100,0)</f>
        <v>89.399999999999991</v>
      </c>
      <c r="H126" s="478">
        <v>0</v>
      </c>
      <c r="I126" s="478">
        <v>0</v>
      </c>
      <c r="J126" s="478">
        <v>0</v>
      </c>
      <c r="K126" s="478">
        <v>0</v>
      </c>
      <c r="L126" s="478">
        <v>0</v>
      </c>
      <c r="M126" s="478">
        <v>0</v>
      </c>
      <c r="N126" s="478">
        <v>0</v>
      </c>
      <c r="O126" s="478">
        <v>0</v>
      </c>
      <c r="P126" s="478">
        <v>0</v>
      </c>
      <c r="Q126" s="478">
        <v>0</v>
      </c>
      <c r="R126" s="478">
        <v>5</v>
      </c>
      <c r="S126" s="478">
        <v>0.72</v>
      </c>
      <c r="T126" s="478">
        <v>0</v>
      </c>
      <c r="U126" s="478">
        <v>0</v>
      </c>
      <c r="V126" s="478">
        <v>0</v>
      </c>
      <c r="W126" s="478">
        <v>3.75</v>
      </c>
      <c r="X126" s="478">
        <v>0</v>
      </c>
      <c r="Y126" s="478">
        <v>0</v>
      </c>
      <c r="Z126" s="478">
        <v>0</v>
      </c>
      <c r="AA126" s="478">
        <v>0</v>
      </c>
      <c r="AB126" s="478">
        <v>0</v>
      </c>
      <c r="AC126" s="478">
        <v>0</v>
      </c>
      <c r="AD126" s="478">
        <v>0</v>
      </c>
      <c r="AE126" s="478">
        <v>0</v>
      </c>
      <c r="AF126" s="434"/>
      <c r="AG126" s="667">
        <f t="shared" si="58"/>
        <v>0.53000000000000025</v>
      </c>
    </row>
    <row r="127" spans="1:33" ht="37.5" x14ac:dyDescent="0.35">
      <c r="A127" s="451" t="s">
        <v>174</v>
      </c>
      <c r="B127" s="433">
        <f>SUM(H127,J127,L127,N127,P127,R127,T127,V127,X127,Z127,AB127,AD127)</f>
        <v>5</v>
      </c>
      <c r="C127" s="433">
        <f t="shared" si="59"/>
        <v>5</v>
      </c>
      <c r="D127" s="433">
        <f>E127</f>
        <v>4.47</v>
      </c>
      <c r="E127" s="433">
        <f>SUM(I127,K127,M127,O127,Q127,S127,U127,W127,Y127,AA127,AC127,AE127)</f>
        <v>4.47</v>
      </c>
      <c r="F127" s="433">
        <f>IFERROR(E127/B127*100,0)</f>
        <v>89.399999999999991</v>
      </c>
      <c r="G127" s="433">
        <f>IFERROR(E127/C127*100,0)</f>
        <v>89.399999999999991</v>
      </c>
      <c r="H127" s="478">
        <v>0</v>
      </c>
      <c r="I127" s="478">
        <v>0</v>
      </c>
      <c r="J127" s="478">
        <v>0</v>
      </c>
      <c r="K127" s="478">
        <v>0</v>
      </c>
      <c r="L127" s="478">
        <v>0</v>
      </c>
      <c r="M127" s="478">
        <v>0</v>
      </c>
      <c r="N127" s="478">
        <v>0</v>
      </c>
      <c r="O127" s="478">
        <v>0</v>
      </c>
      <c r="P127" s="478">
        <v>0</v>
      </c>
      <c r="Q127" s="478">
        <v>0</v>
      </c>
      <c r="R127" s="478">
        <v>5</v>
      </c>
      <c r="S127" s="478">
        <v>0.72</v>
      </c>
      <c r="T127" s="478">
        <v>0</v>
      </c>
      <c r="U127" s="478">
        <v>0</v>
      </c>
      <c r="V127" s="478">
        <v>0</v>
      </c>
      <c r="W127" s="478">
        <v>3.75</v>
      </c>
      <c r="X127" s="478">
        <v>0</v>
      </c>
      <c r="Y127" s="478">
        <v>0</v>
      </c>
      <c r="Z127" s="478">
        <v>0</v>
      </c>
      <c r="AA127" s="478">
        <v>0</v>
      </c>
      <c r="AB127" s="478">
        <v>0</v>
      </c>
      <c r="AC127" s="478">
        <v>0</v>
      </c>
      <c r="AD127" s="478">
        <v>0</v>
      </c>
      <c r="AE127" s="478">
        <v>0</v>
      </c>
      <c r="AF127" s="434"/>
      <c r="AG127" s="667">
        <f t="shared" si="58"/>
        <v>0.53000000000000025</v>
      </c>
    </row>
    <row r="128" spans="1:33" ht="21" x14ac:dyDescent="0.35">
      <c r="A128" s="445" t="s">
        <v>54</v>
      </c>
      <c r="B128" s="226"/>
      <c r="C128" s="459"/>
      <c r="D128" s="459"/>
      <c r="E128" s="226"/>
      <c r="F128" s="227"/>
      <c r="G128" s="227"/>
      <c r="H128" s="460"/>
      <c r="I128" s="460"/>
      <c r="J128" s="460"/>
      <c r="K128" s="460"/>
      <c r="L128" s="460"/>
      <c r="M128" s="460"/>
      <c r="N128" s="460"/>
      <c r="O128" s="460"/>
      <c r="P128" s="460"/>
      <c r="Q128" s="460"/>
      <c r="R128" s="460"/>
      <c r="S128" s="460"/>
      <c r="T128" s="460"/>
      <c r="U128" s="460"/>
      <c r="V128" s="460"/>
      <c r="W128" s="460"/>
      <c r="X128" s="460"/>
      <c r="Y128" s="460"/>
      <c r="Z128" s="460"/>
      <c r="AA128" s="460"/>
      <c r="AB128" s="460"/>
      <c r="AC128" s="460"/>
      <c r="AD128" s="460"/>
      <c r="AE128" s="461"/>
      <c r="AF128" s="462"/>
      <c r="AG128" s="667"/>
    </row>
    <row r="129" spans="1:33" ht="21" x14ac:dyDescent="0.35">
      <c r="A129" s="1196" t="s">
        <v>361</v>
      </c>
      <c r="B129" s="1196"/>
      <c r="C129" s="1196"/>
      <c r="D129" s="1196"/>
      <c r="E129" s="1196"/>
      <c r="F129" s="1196"/>
      <c r="G129" s="1196"/>
      <c r="H129" s="1196"/>
      <c r="I129" s="1196"/>
      <c r="J129" s="1196"/>
      <c r="K129" s="1196"/>
      <c r="L129" s="1196"/>
      <c r="M129" s="1196"/>
      <c r="N129" s="1196"/>
      <c r="O129" s="1196"/>
      <c r="P129" s="1196"/>
      <c r="Q129" s="1196"/>
      <c r="R129" s="1196"/>
      <c r="S129" s="1196"/>
      <c r="T129" s="1196"/>
      <c r="U129" s="1196"/>
      <c r="V129" s="1196"/>
      <c r="W129" s="1196"/>
      <c r="X129" s="1196"/>
      <c r="Y129" s="1196"/>
      <c r="Z129" s="1196"/>
      <c r="AA129" s="1196"/>
      <c r="AB129" s="1196"/>
      <c r="AC129" s="1196"/>
      <c r="AD129" s="1196"/>
      <c r="AE129" s="1197"/>
      <c r="AF129" s="434"/>
      <c r="AG129" s="667"/>
    </row>
    <row r="130" spans="1:33" s="431" customFormat="1" ht="21" x14ac:dyDescent="0.35">
      <c r="A130" s="463" t="s">
        <v>31</v>
      </c>
      <c r="B130" s="464">
        <f>B131</f>
        <v>0</v>
      </c>
      <c r="C130" s="464">
        <f>C131</f>
        <v>0</v>
      </c>
      <c r="D130" s="464">
        <f>D131</f>
        <v>0</v>
      </c>
      <c r="E130" s="464">
        <f>E131</f>
        <v>0</v>
      </c>
      <c r="F130" s="464">
        <f>IFERROR(E130/B130*100,0)</f>
        <v>0</v>
      </c>
      <c r="G130" s="464">
        <f>IFERROR(E130/C130*100,0)</f>
        <v>0</v>
      </c>
      <c r="H130" s="481">
        <f>H131</f>
        <v>0</v>
      </c>
      <c r="I130" s="481">
        <f t="shared" ref="I130:AE130" si="60">I131</f>
        <v>0</v>
      </c>
      <c r="J130" s="481">
        <f t="shared" si="60"/>
        <v>0</v>
      </c>
      <c r="K130" s="481">
        <f t="shared" si="60"/>
        <v>0</v>
      </c>
      <c r="L130" s="481">
        <f t="shared" si="60"/>
        <v>0</v>
      </c>
      <c r="M130" s="481">
        <f t="shared" si="60"/>
        <v>0</v>
      </c>
      <c r="N130" s="481">
        <f t="shared" si="60"/>
        <v>0</v>
      </c>
      <c r="O130" s="481">
        <f t="shared" si="60"/>
        <v>0</v>
      </c>
      <c r="P130" s="481">
        <f t="shared" si="60"/>
        <v>0</v>
      </c>
      <c r="Q130" s="481">
        <f t="shared" si="60"/>
        <v>0</v>
      </c>
      <c r="R130" s="481">
        <f t="shared" si="60"/>
        <v>0</v>
      </c>
      <c r="S130" s="481">
        <f t="shared" si="60"/>
        <v>0</v>
      </c>
      <c r="T130" s="481">
        <f t="shared" si="60"/>
        <v>0</v>
      </c>
      <c r="U130" s="481">
        <f t="shared" si="60"/>
        <v>0</v>
      </c>
      <c r="V130" s="481">
        <f t="shared" si="60"/>
        <v>0</v>
      </c>
      <c r="W130" s="481">
        <f t="shared" si="60"/>
        <v>0</v>
      </c>
      <c r="X130" s="481">
        <f t="shared" si="60"/>
        <v>0</v>
      </c>
      <c r="Y130" s="481">
        <f t="shared" si="60"/>
        <v>0</v>
      </c>
      <c r="Z130" s="481">
        <f t="shared" si="60"/>
        <v>0</v>
      </c>
      <c r="AA130" s="481">
        <f t="shared" si="60"/>
        <v>0</v>
      </c>
      <c r="AB130" s="481">
        <f t="shared" si="60"/>
        <v>0</v>
      </c>
      <c r="AC130" s="481">
        <f t="shared" si="60"/>
        <v>0</v>
      </c>
      <c r="AD130" s="481">
        <f t="shared" si="60"/>
        <v>0</v>
      </c>
      <c r="AE130" s="481">
        <f t="shared" si="60"/>
        <v>0</v>
      </c>
      <c r="AF130" s="464"/>
      <c r="AG130" s="667"/>
    </row>
    <row r="131" spans="1:33" ht="21" x14ac:dyDescent="0.35">
      <c r="A131" s="432" t="s">
        <v>33</v>
      </c>
      <c r="B131" s="443">
        <f>B134</f>
        <v>0</v>
      </c>
      <c r="C131" s="443">
        <f>C134</f>
        <v>0</v>
      </c>
      <c r="D131" s="443">
        <f>D134</f>
        <v>0</v>
      </c>
      <c r="E131" s="443">
        <f>E134</f>
        <v>0</v>
      </c>
      <c r="F131" s="443">
        <f>IFERROR(E131/B131*100,0)</f>
        <v>0</v>
      </c>
      <c r="G131" s="443">
        <f>IFERROR(E131/C131*100,0)</f>
        <v>0</v>
      </c>
      <c r="H131" s="480">
        <f t="shared" ref="H131:AE131" si="61">H134</f>
        <v>0</v>
      </c>
      <c r="I131" s="480">
        <f t="shared" si="61"/>
        <v>0</v>
      </c>
      <c r="J131" s="480">
        <f t="shared" si="61"/>
        <v>0</v>
      </c>
      <c r="K131" s="480">
        <f t="shared" si="61"/>
        <v>0</v>
      </c>
      <c r="L131" s="480">
        <f t="shared" si="61"/>
        <v>0</v>
      </c>
      <c r="M131" s="480">
        <f t="shared" si="61"/>
        <v>0</v>
      </c>
      <c r="N131" s="480">
        <f t="shared" si="61"/>
        <v>0</v>
      </c>
      <c r="O131" s="480">
        <f t="shared" si="61"/>
        <v>0</v>
      </c>
      <c r="P131" s="480">
        <f t="shared" si="61"/>
        <v>0</v>
      </c>
      <c r="Q131" s="480">
        <f t="shared" si="61"/>
        <v>0</v>
      </c>
      <c r="R131" s="480">
        <f t="shared" si="61"/>
        <v>0</v>
      </c>
      <c r="S131" s="480">
        <f t="shared" si="61"/>
        <v>0</v>
      </c>
      <c r="T131" s="480">
        <f t="shared" si="61"/>
        <v>0</v>
      </c>
      <c r="U131" s="480">
        <f t="shared" si="61"/>
        <v>0</v>
      </c>
      <c r="V131" s="480">
        <f t="shared" si="61"/>
        <v>0</v>
      </c>
      <c r="W131" s="480">
        <f t="shared" si="61"/>
        <v>0</v>
      </c>
      <c r="X131" s="480">
        <f t="shared" si="61"/>
        <v>0</v>
      </c>
      <c r="Y131" s="480">
        <f t="shared" si="61"/>
        <v>0</v>
      </c>
      <c r="Z131" s="480">
        <f t="shared" si="61"/>
        <v>0</v>
      </c>
      <c r="AA131" s="480">
        <f t="shared" si="61"/>
        <v>0</v>
      </c>
      <c r="AB131" s="480">
        <f t="shared" si="61"/>
        <v>0</v>
      </c>
      <c r="AC131" s="480">
        <f t="shared" si="61"/>
        <v>0</v>
      </c>
      <c r="AD131" s="480">
        <f t="shared" si="61"/>
        <v>0</v>
      </c>
      <c r="AE131" s="480">
        <f t="shared" si="61"/>
        <v>0</v>
      </c>
      <c r="AF131" s="443"/>
      <c r="AG131" s="667"/>
    </row>
    <row r="132" spans="1:33" ht="21" x14ac:dyDescent="0.35">
      <c r="A132" s="1195" t="s">
        <v>362</v>
      </c>
      <c r="B132" s="1196"/>
      <c r="C132" s="1196"/>
      <c r="D132" s="1196"/>
      <c r="E132" s="1196"/>
      <c r="F132" s="1196"/>
      <c r="G132" s="1196"/>
      <c r="H132" s="1196"/>
      <c r="I132" s="1196"/>
      <c r="J132" s="1196"/>
      <c r="K132" s="1196"/>
      <c r="L132" s="1196"/>
      <c r="M132" s="1196"/>
      <c r="N132" s="1196"/>
      <c r="O132" s="1196"/>
      <c r="P132" s="1196"/>
      <c r="Q132" s="1196"/>
      <c r="R132" s="1196"/>
      <c r="S132" s="1196"/>
      <c r="T132" s="1196"/>
      <c r="U132" s="1196"/>
      <c r="V132" s="1196"/>
      <c r="W132" s="1196"/>
      <c r="X132" s="1196"/>
      <c r="Y132" s="1196"/>
      <c r="Z132" s="1196"/>
      <c r="AA132" s="1196"/>
      <c r="AB132" s="1196"/>
      <c r="AC132" s="1196"/>
      <c r="AD132" s="1196"/>
      <c r="AE132" s="1197"/>
      <c r="AF132" s="434"/>
      <c r="AG132" s="667"/>
    </row>
    <row r="133" spans="1:33" s="431" customFormat="1" ht="21" x14ac:dyDescent="0.35">
      <c r="A133" s="428" t="s">
        <v>31</v>
      </c>
      <c r="B133" s="429">
        <f>B134</f>
        <v>0</v>
      </c>
      <c r="C133" s="429">
        <f>C134</f>
        <v>0</v>
      </c>
      <c r="D133" s="429">
        <f>D134</f>
        <v>0</v>
      </c>
      <c r="E133" s="429">
        <f>E134</f>
        <v>0</v>
      </c>
      <c r="F133" s="429">
        <f t="shared" ref="F133:F146" si="62">IFERROR(E133/B133*100,0)</f>
        <v>0</v>
      </c>
      <c r="G133" s="429">
        <f t="shared" ref="G133:G146" si="63">IFERROR(E133/C133*100,0)</f>
        <v>0</v>
      </c>
      <c r="H133" s="477">
        <f>H134</f>
        <v>0</v>
      </c>
      <c r="I133" s="477">
        <f t="shared" ref="I133:AE133" si="64">I134</f>
        <v>0</v>
      </c>
      <c r="J133" s="477">
        <f t="shared" si="64"/>
        <v>0</v>
      </c>
      <c r="K133" s="477">
        <f t="shared" si="64"/>
        <v>0</v>
      </c>
      <c r="L133" s="477">
        <f t="shared" si="64"/>
        <v>0</v>
      </c>
      <c r="M133" s="477">
        <f t="shared" si="64"/>
        <v>0</v>
      </c>
      <c r="N133" s="477">
        <f t="shared" si="64"/>
        <v>0</v>
      </c>
      <c r="O133" s="477">
        <f t="shared" si="64"/>
        <v>0</v>
      </c>
      <c r="P133" s="477">
        <f t="shared" si="64"/>
        <v>0</v>
      </c>
      <c r="Q133" s="477">
        <f t="shared" si="64"/>
        <v>0</v>
      </c>
      <c r="R133" s="477">
        <f t="shared" si="64"/>
        <v>0</v>
      </c>
      <c r="S133" s="477">
        <f t="shared" si="64"/>
        <v>0</v>
      </c>
      <c r="T133" s="477">
        <f t="shared" si="64"/>
        <v>0</v>
      </c>
      <c r="U133" s="477">
        <f t="shared" si="64"/>
        <v>0</v>
      </c>
      <c r="V133" s="477">
        <f t="shared" si="64"/>
        <v>0</v>
      </c>
      <c r="W133" s="477">
        <f t="shared" si="64"/>
        <v>0</v>
      </c>
      <c r="X133" s="477">
        <f t="shared" si="64"/>
        <v>0</v>
      </c>
      <c r="Y133" s="477">
        <f t="shared" si="64"/>
        <v>0</v>
      </c>
      <c r="Z133" s="477">
        <f t="shared" si="64"/>
        <v>0</v>
      </c>
      <c r="AA133" s="477">
        <f t="shared" si="64"/>
        <v>0</v>
      </c>
      <c r="AB133" s="477">
        <f t="shared" si="64"/>
        <v>0</v>
      </c>
      <c r="AC133" s="477">
        <f t="shared" si="64"/>
        <v>0</v>
      </c>
      <c r="AD133" s="477">
        <f t="shared" si="64"/>
        <v>0</v>
      </c>
      <c r="AE133" s="477">
        <f t="shared" si="64"/>
        <v>0</v>
      </c>
      <c r="AF133" s="435"/>
      <c r="AG133" s="667"/>
    </row>
    <row r="134" spans="1:33" ht="21" x14ac:dyDescent="0.35">
      <c r="A134" s="432" t="s">
        <v>33</v>
      </c>
      <c r="B134" s="433">
        <f>SUM(H134,J134,L134,N134,P134,R134,T134,V134,X134,Z134,AB134,AD134)</f>
        <v>0</v>
      </c>
      <c r="C134" s="433">
        <f>H134+J134+L134+N134+P134+R134</f>
        <v>0</v>
      </c>
      <c r="D134" s="433">
        <f>E134</f>
        <v>0</v>
      </c>
      <c r="E134" s="433">
        <f>SUM(I134,K134,M134,O134,Q134,S134,U134,W134,Y134,AA134,AC134,AE134)</f>
        <v>0</v>
      </c>
      <c r="F134" s="433">
        <f t="shared" si="62"/>
        <v>0</v>
      </c>
      <c r="G134" s="433">
        <f t="shared" si="63"/>
        <v>0</v>
      </c>
      <c r="H134" s="478">
        <v>0</v>
      </c>
      <c r="I134" s="478">
        <v>0</v>
      </c>
      <c r="J134" s="478">
        <v>0</v>
      </c>
      <c r="K134" s="478">
        <v>0</v>
      </c>
      <c r="L134" s="478">
        <v>0</v>
      </c>
      <c r="M134" s="478">
        <v>0</v>
      </c>
      <c r="N134" s="478">
        <v>0</v>
      </c>
      <c r="O134" s="478">
        <v>0</v>
      </c>
      <c r="P134" s="478">
        <v>0</v>
      </c>
      <c r="Q134" s="478">
        <v>0</v>
      </c>
      <c r="R134" s="478">
        <v>0</v>
      </c>
      <c r="S134" s="478">
        <v>0</v>
      </c>
      <c r="T134" s="478">
        <v>0</v>
      </c>
      <c r="U134" s="478">
        <v>0</v>
      </c>
      <c r="V134" s="478">
        <v>0</v>
      </c>
      <c r="W134" s="478">
        <v>0</v>
      </c>
      <c r="X134" s="478">
        <v>0</v>
      </c>
      <c r="Y134" s="478">
        <v>0</v>
      </c>
      <c r="Z134" s="478">
        <v>0</v>
      </c>
      <c r="AA134" s="478">
        <v>0</v>
      </c>
      <c r="AB134" s="478">
        <v>0</v>
      </c>
      <c r="AC134" s="478">
        <v>0</v>
      </c>
      <c r="AD134" s="478">
        <v>0</v>
      </c>
      <c r="AE134" s="478">
        <v>0</v>
      </c>
      <c r="AF134" s="434"/>
      <c r="AG134" s="667"/>
    </row>
    <row r="135" spans="1:33" ht="21" x14ac:dyDescent="0.35">
      <c r="A135" s="437" t="s">
        <v>363</v>
      </c>
      <c r="B135" s="228"/>
      <c r="C135" s="465"/>
      <c r="D135" s="465"/>
      <c r="E135" s="465"/>
      <c r="F135" s="229"/>
      <c r="G135" s="229"/>
      <c r="H135" s="482"/>
      <c r="I135" s="482"/>
      <c r="J135" s="482"/>
      <c r="K135" s="482"/>
      <c r="L135" s="482"/>
      <c r="M135" s="482"/>
      <c r="N135" s="482"/>
      <c r="O135" s="482"/>
      <c r="P135" s="482"/>
      <c r="Q135" s="482"/>
      <c r="R135" s="482"/>
      <c r="S135" s="482"/>
      <c r="T135" s="482"/>
      <c r="U135" s="482"/>
      <c r="V135" s="482"/>
      <c r="W135" s="482"/>
      <c r="X135" s="482"/>
      <c r="Y135" s="482"/>
      <c r="Z135" s="482"/>
      <c r="AA135" s="482"/>
      <c r="AB135" s="482"/>
      <c r="AC135" s="482"/>
      <c r="AD135" s="482"/>
      <c r="AE135" s="482"/>
      <c r="AF135" s="466"/>
      <c r="AG135" s="667"/>
    </row>
    <row r="136" spans="1:33" s="431" customFormat="1" ht="21" x14ac:dyDescent="0.35">
      <c r="A136" s="439" t="s">
        <v>31</v>
      </c>
      <c r="B136" s="440">
        <f>B137+B138</f>
        <v>9173.3100000000013</v>
      </c>
      <c r="C136" s="440">
        <f>C137+C138</f>
        <v>9173.3100000000013</v>
      </c>
      <c r="D136" s="440">
        <f>D137+D138</f>
        <v>9098.898000000001</v>
      </c>
      <c r="E136" s="440">
        <f>E137+E138</f>
        <v>9098.898000000001</v>
      </c>
      <c r="F136" s="440">
        <f t="shared" si="62"/>
        <v>99.188820611098933</v>
      </c>
      <c r="G136" s="440">
        <f t="shared" si="63"/>
        <v>99.188820611098933</v>
      </c>
      <c r="H136" s="479">
        <f>H137+H138</f>
        <v>0</v>
      </c>
      <c r="I136" s="479">
        <f t="shared" ref="I136:AE136" si="65">I137+I138</f>
        <v>0</v>
      </c>
      <c r="J136" s="479">
        <f t="shared" si="65"/>
        <v>0</v>
      </c>
      <c r="K136" s="479">
        <f t="shared" si="65"/>
        <v>0</v>
      </c>
      <c r="L136" s="479">
        <f t="shared" si="65"/>
        <v>0</v>
      </c>
      <c r="M136" s="479">
        <f t="shared" si="65"/>
        <v>0</v>
      </c>
      <c r="N136" s="479">
        <f t="shared" si="65"/>
        <v>0</v>
      </c>
      <c r="O136" s="479">
        <f t="shared" si="65"/>
        <v>0</v>
      </c>
      <c r="P136" s="479">
        <f t="shared" si="65"/>
        <v>0</v>
      </c>
      <c r="Q136" s="479">
        <f t="shared" si="65"/>
        <v>0</v>
      </c>
      <c r="R136" s="479">
        <f t="shared" si="65"/>
        <v>9030.2099999999991</v>
      </c>
      <c r="S136" s="479">
        <f t="shared" si="65"/>
        <v>6332.9859999999999</v>
      </c>
      <c r="T136" s="479">
        <f t="shared" si="65"/>
        <v>0</v>
      </c>
      <c r="U136" s="479">
        <f t="shared" si="65"/>
        <v>2200</v>
      </c>
      <c r="V136" s="479">
        <f t="shared" si="65"/>
        <v>143.1</v>
      </c>
      <c r="W136" s="479">
        <f t="shared" si="65"/>
        <v>629.73199999999997</v>
      </c>
      <c r="X136" s="479">
        <f t="shared" si="65"/>
        <v>0</v>
      </c>
      <c r="Y136" s="479">
        <f t="shared" si="65"/>
        <v>0</v>
      </c>
      <c r="Z136" s="479">
        <f t="shared" si="65"/>
        <v>0</v>
      </c>
      <c r="AA136" s="479">
        <f t="shared" si="65"/>
        <v>0</v>
      </c>
      <c r="AB136" s="479">
        <f t="shared" si="65"/>
        <v>0</v>
      </c>
      <c r="AC136" s="977">
        <f t="shared" si="65"/>
        <v>-63.82</v>
      </c>
      <c r="AD136" s="479">
        <f t="shared" si="65"/>
        <v>0</v>
      </c>
      <c r="AE136" s="479">
        <f t="shared" si="65"/>
        <v>0</v>
      </c>
      <c r="AF136" s="440"/>
      <c r="AG136" s="667"/>
    </row>
    <row r="137" spans="1:33" ht="21" x14ac:dyDescent="0.35">
      <c r="A137" s="442" t="s">
        <v>32</v>
      </c>
      <c r="B137" s="433">
        <f>B142</f>
        <v>4297.6000000000004</v>
      </c>
      <c r="C137" s="433">
        <f>C142</f>
        <v>4297.6000000000004</v>
      </c>
      <c r="D137" s="433">
        <f>D142</f>
        <v>4226.9110000000001</v>
      </c>
      <c r="E137" s="433">
        <f>E142</f>
        <v>4226.9110000000001</v>
      </c>
      <c r="F137" s="443">
        <f t="shared" si="62"/>
        <v>98.355151712583762</v>
      </c>
      <c r="G137" s="443">
        <f t="shared" si="63"/>
        <v>98.355151712583762</v>
      </c>
      <c r="H137" s="478">
        <f>H142</f>
        <v>0</v>
      </c>
      <c r="I137" s="478">
        <f t="shared" ref="I137:AE137" si="66">I142</f>
        <v>0</v>
      </c>
      <c r="J137" s="478">
        <f t="shared" si="66"/>
        <v>0</v>
      </c>
      <c r="K137" s="478">
        <f t="shared" si="66"/>
        <v>0</v>
      </c>
      <c r="L137" s="478">
        <f t="shared" si="66"/>
        <v>0</v>
      </c>
      <c r="M137" s="478">
        <f t="shared" si="66"/>
        <v>0</v>
      </c>
      <c r="N137" s="478">
        <f t="shared" si="66"/>
        <v>0</v>
      </c>
      <c r="O137" s="478">
        <f t="shared" si="66"/>
        <v>0</v>
      </c>
      <c r="P137" s="478">
        <f t="shared" si="66"/>
        <v>0</v>
      </c>
      <c r="Q137" s="478">
        <f t="shared" si="66"/>
        <v>0</v>
      </c>
      <c r="R137" s="478">
        <f t="shared" si="66"/>
        <v>4250.1000000000004</v>
      </c>
      <c r="S137" s="478">
        <f t="shared" si="66"/>
        <v>4168.78</v>
      </c>
      <c r="T137" s="478">
        <f t="shared" si="66"/>
        <v>0</v>
      </c>
      <c r="U137" s="478">
        <f t="shared" si="66"/>
        <v>0</v>
      </c>
      <c r="V137" s="478">
        <f t="shared" si="66"/>
        <v>47.5</v>
      </c>
      <c r="W137" s="478">
        <f t="shared" si="66"/>
        <v>118.758</v>
      </c>
      <c r="X137" s="478">
        <f t="shared" si="66"/>
        <v>0</v>
      </c>
      <c r="Y137" s="478">
        <f t="shared" si="66"/>
        <v>0</v>
      </c>
      <c r="Z137" s="478">
        <f t="shared" si="66"/>
        <v>0</v>
      </c>
      <c r="AA137" s="478">
        <f t="shared" si="66"/>
        <v>0</v>
      </c>
      <c r="AB137" s="478">
        <f t="shared" si="66"/>
        <v>0</v>
      </c>
      <c r="AC137" s="976">
        <f t="shared" si="66"/>
        <v>-60.627000000000002</v>
      </c>
      <c r="AD137" s="478">
        <f t="shared" si="66"/>
        <v>0</v>
      </c>
      <c r="AE137" s="478">
        <f t="shared" si="66"/>
        <v>0</v>
      </c>
      <c r="AF137" s="434"/>
      <c r="AG137" s="667"/>
    </row>
    <row r="138" spans="1:33" ht="21" x14ac:dyDescent="0.35">
      <c r="A138" s="442" t="s">
        <v>33</v>
      </c>
      <c r="B138" s="433">
        <f>B143+B147</f>
        <v>4875.71</v>
      </c>
      <c r="C138" s="433">
        <f>C41+C66+C131</f>
        <v>4875.71</v>
      </c>
      <c r="D138" s="433">
        <f>D41+D66+D131</f>
        <v>4871.987000000001</v>
      </c>
      <c r="E138" s="433">
        <f>E41+E66+E131</f>
        <v>4871.987000000001</v>
      </c>
      <c r="F138" s="443">
        <f t="shared" si="62"/>
        <v>99.923641890104236</v>
      </c>
      <c r="G138" s="443">
        <f t="shared" si="63"/>
        <v>99.923641890104236</v>
      </c>
      <c r="H138" s="478">
        <f t="shared" ref="H138:AE138" si="67">H41+H66+H131</f>
        <v>0</v>
      </c>
      <c r="I138" s="478">
        <f t="shared" si="67"/>
        <v>0</v>
      </c>
      <c r="J138" s="478">
        <f t="shared" si="67"/>
        <v>0</v>
      </c>
      <c r="K138" s="478">
        <f t="shared" si="67"/>
        <v>0</v>
      </c>
      <c r="L138" s="478">
        <f t="shared" si="67"/>
        <v>0</v>
      </c>
      <c r="M138" s="478">
        <f t="shared" si="67"/>
        <v>0</v>
      </c>
      <c r="N138" s="478">
        <f t="shared" si="67"/>
        <v>0</v>
      </c>
      <c r="O138" s="478">
        <f t="shared" si="67"/>
        <v>0</v>
      </c>
      <c r="P138" s="478">
        <f t="shared" si="67"/>
        <v>0</v>
      </c>
      <c r="Q138" s="478">
        <f t="shared" si="67"/>
        <v>0</v>
      </c>
      <c r="R138" s="478">
        <f t="shared" si="67"/>
        <v>4780.1099999999997</v>
      </c>
      <c r="S138" s="478">
        <f t="shared" si="67"/>
        <v>2164.2060000000001</v>
      </c>
      <c r="T138" s="478">
        <f t="shared" si="67"/>
        <v>0</v>
      </c>
      <c r="U138" s="478">
        <f t="shared" si="67"/>
        <v>2200</v>
      </c>
      <c r="V138" s="478">
        <f t="shared" si="67"/>
        <v>95.6</v>
      </c>
      <c r="W138" s="478">
        <f t="shared" si="67"/>
        <v>510.97399999999999</v>
      </c>
      <c r="X138" s="478">
        <f t="shared" si="67"/>
        <v>0</v>
      </c>
      <c r="Y138" s="478">
        <f t="shared" si="67"/>
        <v>0</v>
      </c>
      <c r="Z138" s="478">
        <f t="shared" si="67"/>
        <v>0</v>
      </c>
      <c r="AA138" s="478">
        <f t="shared" si="67"/>
        <v>0</v>
      </c>
      <c r="AB138" s="478">
        <f t="shared" si="67"/>
        <v>0</v>
      </c>
      <c r="AC138" s="976">
        <f t="shared" si="67"/>
        <v>-3.1930000000000001</v>
      </c>
      <c r="AD138" s="478">
        <f t="shared" si="67"/>
        <v>0</v>
      </c>
      <c r="AE138" s="478">
        <f t="shared" si="67"/>
        <v>0</v>
      </c>
      <c r="AF138" s="434"/>
      <c r="AG138" s="667"/>
    </row>
    <row r="139" spans="1:33" ht="37.5" x14ac:dyDescent="0.35">
      <c r="A139" s="467" t="s">
        <v>174</v>
      </c>
      <c r="B139" s="433">
        <f>B144</f>
        <v>226.20999999999998</v>
      </c>
      <c r="C139" s="433">
        <f t="shared" ref="C139:AE139" si="68">C144</f>
        <v>226.20999999999998</v>
      </c>
      <c r="D139" s="433">
        <f t="shared" si="68"/>
        <v>222.48699999999999</v>
      </c>
      <c r="E139" s="433">
        <f t="shared" si="68"/>
        <v>222.48699999999999</v>
      </c>
      <c r="F139" s="443">
        <f t="shared" si="62"/>
        <v>98.354184165156283</v>
      </c>
      <c r="G139" s="443">
        <f t="shared" si="63"/>
        <v>98.354184165156283</v>
      </c>
      <c r="H139" s="478">
        <f t="shared" si="68"/>
        <v>0</v>
      </c>
      <c r="I139" s="478">
        <f t="shared" si="68"/>
        <v>0</v>
      </c>
      <c r="J139" s="478">
        <f t="shared" si="68"/>
        <v>0</v>
      </c>
      <c r="K139" s="478">
        <f t="shared" si="68"/>
        <v>0</v>
      </c>
      <c r="L139" s="478">
        <f t="shared" si="68"/>
        <v>0</v>
      </c>
      <c r="M139" s="478">
        <f t="shared" si="68"/>
        <v>0</v>
      </c>
      <c r="N139" s="478">
        <f t="shared" si="68"/>
        <v>0</v>
      </c>
      <c r="O139" s="478">
        <f t="shared" si="68"/>
        <v>0</v>
      </c>
      <c r="P139" s="478">
        <f t="shared" si="68"/>
        <v>0</v>
      </c>
      <c r="Q139" s="478">
        <f t="shared" si="68"/>
        <v>0</v>
      </c>
      <c r="R139" s="478">
        <f t="shared" si="68"/>
        <v>223.70999999999998</v>
      </c>
      <c r="S139" s="478">
        <f t="shared" si="68"/>
        <v>219.43</v>
      </c>
      <c r="T139" s="478">
        <f t="shared" si="68"/>
        <v>0</v>
      </c>
      <c r="U139" s="478">
        <f t="shared" si="68"/>
        <v>0</v>
      </c>
      <c r="V139" s="478">
        <f t="shared" si="68"/>
        <v>2.5</v>
      </c>
      <c r="W139" s="478">
        <f t="shared" si="68"/>
        <v>6.25</v>
      </c>
      <c r="X139" s="478">
        <f t="shared" si="68"/>
        <v>0</v>
      </c>
      <c r="Y139" s="478">
        <f t="shared" si="68"/>
        <v>0</v>
      </c>
      <c r="Z139" s="478">
        <f t="shared" si="68"/>
        <v>0</v>
      </c>
      <c r="AA139" s="478">
        <f t="shared" si="68"/>
        <v>0</v>
      </c>
      <c r="AB139" s="478">
        <f t="shared" si="68"/>
        <v>0</v>
      </c>
      <c r="AC139" s="976">
        <f t="shared" si="68"/>
        <v>-3.1930000000000001</v>
      </c>
      <c r="AD139" s="478">
        <f t="shared" si="68"/>
        <v>0</v>
      </c>
      <c r="AE139" s="478">
        <f t="shared" si="68"/>
        <v>0</v>
      </c>
      <c r="AF139" s="434"/>
      <c r="AG139" s="667"/>
    </row>
    <row r="140" spans="1:33" ht="21" x14ac:dyDescent="0.35">
      <c r="A140" s="468" t="s">
        <v>364</v>
      </c>
      <c r="B140" s="469"/>
      <c r="C140" s="469"/>
      <c r="D140" s="469"/>
      <c r="E140" s="469"/>
      <c r="F140" s="230"/>
      <c r="G140" s="230"/>
      <c r="H140" s="469"/>
      <c r="I140" s="469"/>
      <c r="J140" s="469"/>
      <c r="K140" s="469"/>
      <c r="L140" s="469"/>
      <c r="M140" s="469"/>
      <c r="N140" s="469"/>
      <c r="O140" s="469"/>
      <c r="P140" s="469"/>
      <c r="Q140" s="469"/>
      <c r="R140" s="469"/>
      <c r="S140" s="469"/>
      <c r="T140" s="469"/>
      <c r="U140" s="469"/>
      <c r="V140" s="469"/>
      <c r="W140" s="469"/>
      <c r="X140" s="469"/>
      <c r="Y140" s="469"/>
      <c r="Z140" s="469"/>
      <c r="AA140" s="469"/>
      <c r="AB140" s="469"/>
      <c r="AC140" s="469"/>
      <c r="AD140" s="470"/>
      <c r="AE140" s="471"/>
      <c r="AF140" s="472"/>
      <c r="AG140" s="667"/>
    </row>
    <row r="141" spans="1:33" s="431" customFormat="1" ht="21" x14ac:dyDescent="0.35">
      <c r="A141" s="428" t="s">
        <v>31</v>
      </c>
      <c r="B141" s="440">
        <f>B142+B143</f>
        <v>9173.3100000000013</v>
      </c>
      <c r="C141" s="440">
        <f>C142+C143</f>
        <v>9173.3100000000013</v>
      </c>
      <c r="D141" s="440">
        <f>D142+D143</f>
        <v>9098.898000000001</v>
      </c>
      <c r="E141" s="440">
        <f>E142+E143</f>
        <v>9098.898000000001</v>
      </c>
      <c r="F141" s="440">
        <f t="shared" si="62"/>
        <v>99.188820611098933</v>
      </c>
      <c r="G141" s="440">
        <f t="shared" si="63"/>
        <v>99.188820611098933</v>
      </c>
      <c r="H141" s="479">
        <f>H142+H143</f>
        <v>0</v>
      </c>
      <c r="I141" s="479">
        <f t="shared" ref="I141:AE141" si="69">I142+I143</f>
        <v>0</v>
      </c>
      <c r="J141" s="479">
        <f t="shared" si="69"/>
        <v>0</v>
      </c>
      <c r="K141" s="479">
        <f t="shared" si="69"/>
        <v>0</v>
      </c>
      <c r="L141" s="479">
        <f t="shared" si="69"/>
        <v>0</v>
      </c>
      <c r="M141" s="479">
        <f t="shared" si="69"/>
        <v>0</v>
      </c>
      <c r="N141" s="479">
        <f t="shared" si="69"/>
        <v>0</v>
      </c>
      <c r="O141" s="479">
        <f t="shared" si="69"/>
        <v>0</v>
      </c>
      <c r="P141" s="479">
        <f t="shared" si="69"/>
        <v>0</v>
      </c>
      <c r="Q141" s="479">
        <f t="shared" si="69"/>
        <v>0</v>
      </c>
      <c r="R141" s="479">
        <f t="shared" si="69"/>
        <v>9030.2099999999991</v>
      </c>
      <c r="S141" s="479">
        <f t="shared" si="69"/>
        <v>6332.9859999999999</v>
      </c>
      <c r="T141" s="479">
        <f t="shared" si="69"/>
        <v>0</v>
      </c>
      <c r="U141" s="479">
        <f t="shared" si="69"/>
        <v>2200</v>
      </c>
      <c r="V141" s="479">
        <f t="shared" si="69"/>
        <v>143.1</v>
      </c>
      <c r="W141" s="479">
        <f t="shared" si="69"/>
        <v>629.73199999999997</v>
      </c>
      <c r="X141" s="479">
        <f t="shared" si="69"/>
        <v>0</v>
      </c>
      <c r="Y141" s="479">
        <f t="shared" si="69"/>
        <v>0</v>
      </c>
      <c r="Z141" s="479">
        <f t="shared" si="69"/>
        <v>0</v>
      </c>
      <c r="AA141" s="479">
        <f t="shared" si="69"/>
        <v>0</v>
      </c>
      <c r="AB141" s="479">
        <f t="shared" si="69"/>
        <v>0</v>
      </c>
      <c r="AC141" s="977">
        <f t="shared" si="69"/>
        <v>-63.82</v>
      </c>
      <c r="AD141" s="479">
        <f t="shared" si="69"/>
        <v>0</v>
      </c>
      <c r="AE141" s="479">
        <f t="shared" si="69"/>
        <v>0</v>
      </c>
      <c r="AF141" s="440"/>
      <c r="AG141" s="667"/>
    </row>
    <row r="142" spans="1:33" ht="21" x14ac:dyDescent="0.35">
      <c r="A142" s="432" t="s">
        <v>32</v>
      </c>
      <c r="B142" s="433">
        <f t="shared" ref="B142:E144" si="70">B40+B65</f>
        <v>4297.6000000000004</v>
      </c>
      <c r="C142" s="433">
        <f t="shared" si="70"/>
        <v>4297.6000000000004</v>
      </c>
      <c r="D142" s="433">
        <f t="shared" si="70"/>
        <v>4226.9110000000001</v>
      </c>
      <c r="E142" s="433">
        <f t="shared" si="70"/>
        <v>4226.9110000000001</v>
      </c>
      <c r="F142" s="443">
        <f t="shared" si="62"/>
        <v>98.355151712583762</v>
      </c>
      <c r="G142" s="443">
        <f t="shared" si="63"/>
        <v>98.355151712583762</v>
      </c>
      <c r="H142" s="478">
        <f>H40+H65</f>
        <v>0</v>
      </c>
      <c r="I142" s="478">
        <f t="shared" ref="I142:AE144" si="71">I40+I65</f>
        <v>0</v>
      </c>
      <c r="J142" s="478">
        <f t="shared" si="71"/>
        <v>0</v>
      </c>
      <c r="K142" s="478">
        <f t="shared" si="71"/>
        <v>0</v>
      </c>
      <c r="L142" s="478">
        <f t="shared" si="71"/>
        <v>0</v>
      </c>
      <c r="M142" s="478">
        <f t="shared" si="71"/>
        <v>0</v>
      </c>
      <c r="N142" s="478">
        <f t="shared" si="71"/>
        <v>0</v>
      </c>
      <c r="O142" s="478">
        <f t="shared" si="71"/>
        <v>0</v>
      </c>
      <c r="P142" s="478">
        <f t="shared" si="71"/>
        <v>0</v>
      </c>
      <c r="Q142" s="478">
        <f t="shared" si="71"/>
        <v>0</v>
      </c>
      <c r="R142" s="478">
        <f t="shared" si="71"/>
        <v>4250.1000000000004</v>
      </c>
      <c r="S142" s="478">
        <f t="shared" si="71"/>
        <v>4168.78</v>
      </c>
      <c r="T142" s="478">
        <f t="shared" si="71"/>
        <v>0</v>
      </c>
      <c r="U142" s="478">
        <f t="shared" si="71"/>
        <v>0</v>
      </c>
      <c r="V142" s="478">
        <f t="shared" si="71"/>
        <v>47.5</v>
      </c>
      <c r="W142" s="478">
        <f t="shared" si="71"/>
        <v>118.758</v>
      </c>
      <c r="X142" s="478">
        <f t="shared" si="71"/>
        <v>0</v>
      </c>
      <c r="Y142" s="478">
        <f t="shared" si="71"/>
        <v>0</v>
      </c>
      <c r="Z142" s="478">
        <f t="shared" si="71"/>
        <v>0</v>
      </c>
      <c r="AA142" s="478">
        <f t="shared" si="71"/>
        <v>0</v>
      </c>
      <c r="AB142" s="478">
        <f t="shared" si="71"/>
        <v>0</v>
      </c>
      <c r="AC142" s="976">
        <f t="shared" si="71"/>
        <v>-60.627000000000002</v>
      </c>
      <c r="AD142" s="478">
        <f t="shared" si="71"/>
        <v>0</v>
      </c>
      <c r="AE142" s="478">
        <f t="shared" si="71"/>
        <v>0</v>
      </c>
      <c r="AF142" s="434"/>
      <c r="AG142" s="667"/>
    </row>
    <row r="143" spans="1:33" ht="21" x14ac:dyDescent="0.35">
      <c r="A143" s="432" t="s">
        <v>33</v>
      </c>
      <c r="B143" s="433">
        <f t="shared" si="70"/>
        <v>4875.71</v>
      </c>
      <c r="C143" s="433">
        <f>C41+C66</f>
        <v>4875.71</v>
      </c>
      <c r="D143" s="433">
        <f t="shared" si="70"/>
        <v>4871.987000000001</v>
      </c>
      <c r="E143" s="433">
        <f t="shared" si="70"/>
        <v>4871.987000000001</v>
      </c>
      <c r="F143" s="443">
        <f t="shared" si="62"/>
        <v>99.923641890104236</v>
      </c>
      <c r="G143" s="443">
        <f t="shared" si="63"/>
        <v>99.923641890104236</v>
      </c>
      <c r="H143" s="478">
        <f t="shared" ref="H143:W144" si="72">H41+H66</f>
        <v>0</v>
      </c>
      <c r="I143" s="478">
        <f t="shared" si="72"/>
        <v>0</v>
      </c>
      <c r="J143" s="478">
        <f t="shared" si="72"/>
        <v>0</v>
      </c>
      <c r="K143" s="478">
        <f t="shared" si="72"/>
        <v>0</v>
      </c>
      <c r="L143" s="478">
        <f t="shared" si="72"/>
        <v>0</v>
      </c>
      <c r="M143" s="478">
        <f t="shared" si="72"/>
        <v>0</v>
      </c>
      <c r="N143" s="478">
        <f t="shared" si="72"/>
        <v>0</v>
      </c>
      <c r="O143" s="478">
        <f t="shared" si="72"/>
        <v>0</v>
      </c>
      <c r="P143" s="478">
        <f t="shared" si="72"/>
        <v>0</v>
      </c>
      <c r="Q143" s="478">
        <f t="shared" si="72"/>
        <v>0</v>
      </c>
      <c r="R143" s="478">
        <f t="shared" si="72"/>
        <v>4780.1099999999997</v>
      </c>
      <c r="S143" s="478">
        <f t="shared" si="72"/>
        <v>2164.2060000000001</v>
      </c>
      <c r="T143" s="478">
        <f t="shared" si="72"/>
        <v>0</v>
      </c>
      <c r="U143" s="478">
        <f t="shared" si="72"/>
        <v>2200</v>
      </c>
      <c r="V143" s="478">
        <f t="shared" si="72"/>
        <v>95.6</v>
      </c>
      <c r="W143" s="478">
        <f t="shared" si="72"/>
        <v>510.97399999999999</v>
      </c>
      <c r="X143" s="478">
        <f t="shared" si="71"/>
        <v>0</v>
      </c>
      <c r="Y143" s="478">
        <f t="shared" si="71"/>
        <v>0</v>
      </c>
      <c r="Z143" s="478">
        <f t="shared" si="71"/>
        <v>0</v>
      </c>
      <c r="AA143" s="478">
        <f t="shared" si="71"/>
        <v>0</v>
      </c>
      <c r="AB143" s="478">
        <f t="shared" si="71"/>
        <v>0</v>
      </c>
      <c r="AC143" s="976">
        <f t="shared" si="71"/>
        <v>-3.1930000000000001</v>
      </c>
      <c r="AD143" s="478">
        <f t="shared" si="71"/>
        <v>0</v>
      </c>
      <c r="AE143" s="478">
        <f t="shared" si="71"/>
        <v>0</v>
      </c>
      <c r="AF143" s="434"/>
      <c r="AG143" s="667"/>
    </row>
    <row r="144" spans="1:33" ht="37.5" x14ac:dyDescent="0.35">
      <c r="A144" s="451" t="s">
        <v>174</v>
      </c>
      <c r="B144" s="433">
        <f t="shared" si="70"/>
        <v>226.20999999999998</v>
      </c>
      <c r="C144" s="433">
        <f t="shared" si="70"/>
        <v>226.20999999999998</v>
      </c>
      <c r="D144" s="433">
        <f t="shared" si="70"/>
        <v>222.48699999999999</v>
      </c>
      <c r="E144" s="433">
        <f t="shared" si="70"/>
        <v>222.48699999999999</v>
      </c>
      <c r="F144" s="443">
        <f t="shared" si="62"/>
        <v>98.354184165156283</v>
      </c>
      <c r="G144" s="443">
        <f t="shared" si="63"/>
        <v>98.354184165156283</v>
      </c>
      <c r="H144" s="478">
        <f t="shared" si="72"/>
        <v>0</v>
      </c>
      <c r="I144" s="478">
        <f t="shared" si="72"/>
        <v>0</v>
      </c>
      <c r="J144" s="478">
        <f t="shared" si="72"/>
        <v>0</v>
      </c>
      <c r="K144" s="478">
        <f t="shared" si="72"/>
        <v>0</v>
      </c>
      <c r="L144" s="478">
        <f t="shared" si="72"/>
        <v>0</v>
      </c>
      <c r="M144" s="478">
        <f t="shared" si="72"/>
        <v>0</v>
      </c>
      <c r="N144" s="478">
        <f t="shared" si="72"/>
        <v>0</v>
      </c>
      <c r="O144" s="478">
        <f t="shared" si="72"/>
        <v>0</v>
      </c>
      <c r="P144" s="478">
        <f t="shared" si="72"/>
        <v>0</v>
      </c>
      <c r="Q144" s="478">
        <f t="shared" si="72"/>
        <v>0</v>
      </c>
      <c r="R144" s="478">
        <f t="shared" si="72"/>
        <v>223.70999999999998</v>
      </c>
      <c r="S144" s="478">
        <f t="shared" si="72"/>
        <v>219.43</v>
      </c>
      <c r="T144" s="478">
        <f t="shared" si="72"/>
        <v>0</v>
      </c>
      <c r="U144" s="478">
        <f t="shared" si="72"/>
        <v>0</v>
      </c>
      <c r="V144" s="478">
        <f t="shared" si="72"/>
        <v>2.5</v>
      </c>
      <c r="W144" s="478">
        <f t="shared" si="72"/>
        <v>6.25</v>
      </c>
      <c r="X144" s="478">
        <f t="shared" si="71"/>
        <v>0</v>
      </c>
      <c r="Y144" s="478">
        <f t="shared" si="71"/>
        <v>0</v>
      </c>
      <c r="Z144" s="478">
        <f t="shared" si="71"/>
        <v>0</v>
      </c>
      <c r="AA144" s="478">
        <f t="shared" si="71"/>
        <v>0</v>
      </c>
      <c r="AB144" s="478">
        <f t="shared" si="71"/>
        <v>0</v>
      </c>
      <c r="AC144" s="976">
        <f t="shared" si="71"/>
        <v>-3.1930000000000001</v>
      </c>
      <c r="AD144" s="478">
        <f t="shared" si="71"/>
        <v>0</v>
      </c>
      <c r="AE144" s="478">
        <f t="shared" si="71"/>
        <v>0</v>
      </c>
      <c r="AF144" s="434"/>
      <c r="AG144" s="667"/>
    </row>
    <row r="145" spans="1:33" ht="21" x14ac:dyDescent="0.35">
      <c r="A145" s="468" t="s">
        <v>365</v>
      </c>
      <c r="B145" s="469"/>
      <c r="C145" s="469"/>
      <c r="D145" s="469"/>
      <c r="E145" s="469"/>
      <c r="F145" s="230"/>
      <c r="G145" s="230"/>
      <c r="H145" s="469"/>
      <c r="I145" s="469"/>
      <c r="J145" s="469"/>
      <c r="K145" s="469"/>
      <c r="L145" s="469"/>
      <c r="M145" s="469"/>
      <c r="N145" s="469"/>
      <c r="O145" s="469"/>
      <c r="P145" s="469"/>
      <c r="Q145" s="469"/>
      <c r="R145" s="469"/>
      <c r="S145" s="469"/>
      <c r="T145" s="469"/>
      <c r="U145" s="469"/>
      <c r="V145" s="469"/>
      <c r="W145" s="469"/>
      <c r="X145" s="469"/>
      <c r="Y145" s="469"/>
      <c r="Z145" s="469"/>
      <c r="AA145" s="469"/>
      <c r="AB145" s="469"/>
      <c r="AC145" s="469"/>
      <c r="AD145" s="470"/>
      <c r="AE145" s="471"/>
      <c r="AF145" s="472"/>
      <c r="AG145" s="667"/>
    </row>
    <row r="146" spans="1:33" s="431" customFormat="1" ht="21" x14ac:dyDescent="0.35">
      <c r="A146" s="428" t="s">
        <v>31</v>
      </c>
      <c r="B146" s="440">
        <f>B147</f>
        <v>0</v>
      </c>
      <c r="C146" s="440">
        <f>C147</f>
        <v>0</v>
      </c>
      <c r="D146" s="440">
        <f>D147</f>
        <v>0</v>
      </c>
      <c r="E146" s="440">
        <f>E147</f>
        <v>0</v>
      </c>
      <c r="F146" s="440">
        <f t="shared" si="62"/>
        <v>0</v>
      </c>
      <c r="G146" s="440">
        <f t="shared" si="63"/>
        <v>0</v>
      </c>
      <c r="H146" s="479">
        <f>H147</f>
        <v>0</v>
      </c>
      <c r="I146" s="479">
        <f t="shared" ref="I146:AE146" si="73">I147</f>
        <v>0</v>
      </c>
      <c r="J146" s="479">
        <f t="shared" si="73"/>
        <v>0</v>
      </c>
      <c r="K146" s="479">
        <f t="shared" si="73"/>
        <v>0</v>
      </c>
      <c r="L146" s="479">
        <f t="shared" si="73"/>
        <v>0</v>
      </c>
      <c r="M146" s="479">
        <f t="shared" si="73"/>
        <v>0</v>
      </c>
      <c r="N146" s="479">
        <f t="shared" si="73"/>
        <v>0</v>
      </c>
      <c r="O146" s="479">
        <f t="shared" si="73"/>
        <v>0</v>
      </c>
      <c r="P146" s="479">
        <f t="shared" si="73"/>
        <v>0</v>
      </c>
      <c r="Q146" s="479">
        <f t="shared" si="73"/>
        <v>0</v>
      </c>
      <c r="R146" s="479">
        <f t="shared" si="73"/>
        <v>0</v>
      </c>
      <c r="S146" s="479">
        <f t="shared" si="73"/>
        <v>0</v>
      </c>
      <c r="T146" s="479">
        <f t="shared" si="73"/>
        <v>0</v>
      </c>
      <c r="U146" s="479">
        <f t="shared" si="73"/>
        <v>0</v>
      </c>
      <c r="V146" s="479">
        <f t="shared" si="73"/>
        <v>0</v>
      </c>
      <c r="W146" s="479">
        <f t="shared" si="73"/>
        <v>0</v>
      </c>
      <c r="X146" s="479">
        <f t="shared" si="73"/>
        <v>0</v>
      </c>
      <c r="Y146" s="479">
        <f t="shared" si="73"/>
        <v>0</v>
      </c>
      <c r="Z146" s="479">
        <f t="shared" si="73"/>
        <v>0</v>
      </c>
      <c r="AA146" s="479">
        <f t="shared" si="73"/>
        <v>0</v>
      </c>
      <c r="AB146" s="479">
        <f t="shared" si="73"/>
        <v>0</v>
      </c>
      <c r="AC146" s="479">
        <f t="shared" si="73"/>
        <v>0</v>
      </c>
      <c r="AD146" s="479">
        <f t="shared" si="73"/>
        <v>0</v>
      </c>
      <c r="AE146" s="479">
        <f t="shared" si="73"/>
        <v>0</v>
      </c>
      <c r="AF146" s="440"/>
      <c r="AG146" s="667"/>
    </row>
    <row r="147" spans="1:33" ht="21" x14ac:dyDescent="0.35">
      <c r="A147" s="432" t="s">
        <v>33</v>
      </c>
      <c r="B147" s="433">
        <f>B131</f>
        <v>0</v>
      </c>
      <c r="C147" s="433">
        <f>C131</f>
        <v>0</v>
      </c>
      <c r="D147" s="433">
        <f>D131</f>
        <v>0</v>
      </c>
      <c r="E147" s="433">
        <f>E131</f>
        <v>0</v>
      </c>
      <c r="F147" s="443">
        <f>F254</f>
        <v>0</v>
      </c>
      <c r="G147" s="443">
        <f>G254</f>
        <v>0</v>
      </c>
      <c r="H147" s="478">
        <f t="shared" ref="H147:AE147" si="74">H131</f>
        <v>0</v>
      </c>
      <c r="I147" s="478">
        <f t="shared" si="74"/>
        <v>0</v>
      </c>
      <c r="J147" s="478">
        <f t="shared" si="74"/>
        <v>0</v>
      </c>
      <c r="K147" s="478">
        <f t="shared" si="74"/>
        <v>0</v>
      </c>
      <c r="L147" s="478">
        <f t="shared" si="74"/>
        <v>0</v>
      </c>
      <c r="M147" s="478">
        <f t="shared" si="74"/>
        <v>0</v>
      </c>
      <c r="N147" s="478">
        <f t="shared" si="74"/>
        <v>0</v>
      </c>
      <c r="O147" s="478">
        <f t="shared" si="74"/>
        <v>0</v>
      </c>
      <c r="P147" s="478">
        <f t="shared" si="74"/>
        <v>0</v>
      </c>
      <c r="Q147" s="478">
        <f t="shared" si="74"/>
        <v>0</v>
      </c>
      <c r="R147" s="478">
        <f t="shared" si="74"/>
        <v>0</v>
      </c>
      <c r="S147" s="478">
        <f t="shared" si="74"/>
        <v>0</v>
      </c>
      <c r="T147" s="478">
        <f t="shared" si="74"/>
        <v>0</v>
      </c>
      <c r="U147" s="478">
        <f t="shared" si="74"/>
        <v>0</v>
      </c>
      <c r="V147" s="478">
        <f t="shared" si="74"/>
        <v>0</v>
      </c>
      <c r="W147" s="478">
        <f t="shared" si="74"/>
        <v>0</v>
      </c>
      <c r="X147" s="478">
        <f t="shared" si="74"/>
        <v>0</v>
      </c>
      <c r="Y147" s="478">
        <f t="shared" si="74"/>
        <v>0</v>
      </c>
      <c r="Z147" s="478">
        <f t="shared" si="74"/>
        <v>0</v>
      </c>
      <c r="AA147" s="478">
        <f t="shared" si="74"/>
        <v>0</v>
      </c>
      <c r="AB147" s="478">
        <f t="shared" si="74"/>
        <v>0</v>
      </c>
      <c r="AC147" s="478">
        <f t="shared" si="74"/>
        <v>0</v>
      </c>
      <c r="AD147" s="478">
        <f t="shared" si="74"/>
        <v>0</v>
      </c>
      <c r="AE147" s="478">
        <f t="shared" si="74"/>
        <v>0</v>
      </c>
      <c r="AF147" s="434"/>
      <c r="AG147" s="667"/>
    </row>
    <row r="148" spans="1:33" ht="36.75" customHeight="1" x14ac:dyDescent="0.35">
      <c r="A148" s="473" t="s">
        <v>66</v>
      </c>
      <c r="B148" s="572">
        <f>B149+B150</f>
        <v>65229.440999999992</v>
      </c>
      <c r="C148" s="572">
        <f>C149+C150</f>
        <v>65229.440999999992</v>
      </c>
      <c r="D148" s="572">
        <f>D149+D150</f>
        <v>64268.357400000008</v>
      </c>
      <c r="E148" s="572">
        <f>E149+E150</f>
        <v>64268.357400000008</v>
      </c>
      <c r="F148" s="572">
        <f t="shared" ref="F148:F158" si="75">IFERROR(E148/B148*100,0)</f>
        <v>98.526610706352699</v>
      </c>
      <c r="G148" s="572">
        <f t="shared" ref="G148:G158" si="76">IFERROR(E148/C148*100,0)</f>
        <v>98.526610706352699</v>
      </c>
      <c r="H148" s="573">
        <f>H149+H150</f>
        <v>7237.6100000000006</v>
      </c>
      <c r="I148" s="573">
        <f t="shared" ref="I148:AE148" si="77">I149+I150</f>
        <v>4175.2790000000005</v>
      </c>
      <c r="J148" s="573">
        <f t="shared" si="77"/>
        <v>4703.875</v>
      </c>
      <c r="K148" s="573">
        <f t="shared" si="77"/>
        <v>5381.9040000000005</v>
      </c>
      <c r="L148" s="573">
        <f t="shared" si="77"/>
        <v>3760.3250000000003</v>
      </c>
      <c r="M148" s="573">
        <f t="shared" si="77"/>
        <v>3679.2779999999998</v>
      </c>
      <c r="N148" s="573">
        <f t="shared" si="77"/>
        <v>5461.0079999999998</v>
      </c>
      <c r="O148" s="573">
        <f t="shared" si="77"/>
        <v>3373.585</v>
      </c>
      <c r="P148" s="573">
        <f t="shared" si="77"/>
        <v>4632.66</v>
      </c>
      <c r="Q148" s="573">
        <f t="shared" si="77"/>
        <v>4083.6669999999999</v>
      </c>
      <c r="R148" s="573">
        <f t="shared" si="77"/>
        <v>12770.096</v>
      </c>
      <c r="S148" s="573">
        <f t="shared" si="77"/>
        <v>11457.358</v>
      </c>
      <c r="T148" s="573">
        <f t="shared" si="77"/>
        <v>5475.5149999999994</v>
      </c>
      <c r="U148" s="573">
        <f t="shared" si="77"/>
        <v>7478.1549999999997</v>
      </c>
      <c r="V148" s="573">
        <f t="shared" si="77"/>
        <v>4894.848</v>
      </c>
      <c r="W148" s="573">
        <f t="shared" si="77"/>
        <v>5629.2110000000002</v>
      </c>
      <c r="X148" s="573">
        <f t="shared" si="77"/>
        <v>3849.056</v>
      </c>
      <c r="Y148" s="573">
        <f t="shared" si="77"/>
        <v>3475.502</v>
      </c>
      <c r="Z148" s="573">
        <f t="shared" si="77"/>
        <v>5511.0489999999991</v>
      </c>
      <c r="AA148" s="573">
        <f t="shared" si="77"/>
        <v>3583.779</v>
      </c>
      <c r="AB148" s="573">
        <f t="shared" si="77"/>
        <v>4263.6450000000004</v>
      </c>
      <c r="AC148" s="573">
        <f t="shared" si="77"/>
        <v>3400.3583999999996</v>
      </c>
      <c r="AD148" s="573">
        <f t="shared" si="77"/>
        <v>2669.7539999999999</v>
      </c>
      <c r="AE148" s="573">
        <f t="shared" si="77"/>
        <v>8550.280999999999</v>
      </c>
      <c r="AF148" s="433"/>
      <c r="AG148" s="667"/>
    </row>
    <row r="149" spans="1:33" ht="21" x14ac:dyDescent="0.35">
      <c r="A149" s="432" t="s">
        <v>32</v>
      </c>
      <c r="B149" s="443">
        <f>B153+B157</f>
        <v>4668.933</v>
      </c>
      <c r="C149" s="443">
        <f>C153+C157</f>
        <v>4668.933</v>
      </c>
      <c r="D149" s="443">
        <f t="shared" ref="D149:AE149" si="78">D153+D157</f>
        <v>4598.2449999999999</v>
      </c>
      <c r="E149" s="443">
        <f t="shared" si="78"/>
        <v>4598.2449999999999</v>
      </c>
      <c r="F149" s="572">
        <f t="shared" si="75"/>
        <v>98.485992409828967</v>
      </c>
      <c r="G149" s="572">
        <f t="shared" si="76"/>
        <v>98.485992409828967</v>
      </c>
      <c r="H149" s="443">
        <f t="shared" si="78"/>
        <v>0</v>
      </c>
      <c r="I149" s="443">
        <f t="shared" si="78"/>
        <v>0</v>
      </c>
      <c r="J149" s="443">
        <f t="shared" si="78"/>
        <v>0</v>
      </c>
      <c r="K149" s="443">
        <f t="shared" si="78"/>
        <v>0</v>
      </c>
      <c r="L149" s="443">
        <f t="shared" si="78"/>
        <v>0</v>
      </c>
      <c r="M149" s="443">
        <f t="shared" si="78"/>
        <v>0</v>
      </c>
      <c r="N149" s="443">
        <f t="shared" si="78"/>
        <v>0</v>
      </c>
      <c r="O149" s="443">
        <f t="shared" si="78"/>
        <v>0</v>
      </c>
      <c r="P149" s="443">
        <f t="shared" si="78"/>
        <v>371.33300000000003</v>
      </c>
      <c r="Q149" s="443">
        <f t="shared" si="78"/>
        <v>371.334</v>
      </c>
      <c r="R149" s="443">
        <f t="shared" si="78"/>
        <v>4250.1000000000004</v>
      </c>
      <c r="S149" s="443">
        <f t="shared" si="78"/>
        <v>4168.78</v>
      </c>
      <c r="T149" s="443">
        <f t="shared" si="78"/>
        <v>0</v>
      </c>
      <c r="U149" s="443">
        <f t="shared" si="78"/>
        <v>0</v>
      </c>
      <c r="V149" s="443">
        <f t="shared" si="78"/>
        <v>47.5</v>
      </c>
      <c r="W149" s="443">
        <f t="shared" si="78"/>
        <v>118.758</v>
      </c>
      <c r="X149" s="443">
        <f t="shared" si="78"/>
        <v>0</v>
      </c>
      <c r="Y149" s="443">
        <f t="shared" si="78"/>
        <v>0</v>
      </c>
      <c r="Z149" s="443">
        <f t="shared" si="78"/>
        <v>0</v>
      </c>
      <c r="AA149" s="443">
        <f t="shared" si="78"/>
        <v>0</v>
      </c>
      <c r="AB149" s="443">
        <f t="shared" si="78"/>
        <v>0</v>
      </c>
      <c r="AC149" s="978">
        <f t="shared" si="78"/>
        <v>-60.627000000000002</v>
      </c>
      <c r="AD149" s="443">
        <f t="shared" si="78"/>
        <v>0</v>
      </c>
      <c r="AE149" s="443">
        <f t="shared" si="78"/>
        <v>0</v>
      </c>
      <c r="AF149" s="433"/>
      <c r="AG149" s="667"/>
    </row>
    <row r="150" spans="1:33" ht="21" x14ac:dyDescent="0.35">
      <c r="A150" s="432" t="s">
        <v>33</v>
      </c>
      <c r="B150" s="443">
        <f>B154+B158</f>
        <v>60560.507999999994</v>
      </c>
      <c r="C150" s="443">
        <f>C154+C158</f>
        <v>60560.507999999994</v>
      </c>
      <c r="D150" s="443">
        <f>D154+D158</f>
        <v>59670.112400000005</v>
      </c>
      <c r="E150" s="443">
        <f>E154+E158</f>
        <v>59670.112400000005</v>
      </c>
      <c r="F150" s="433">
        <f t="shared" si="75"/>
        <v>98.529742187763702</v>
      </c>
      <c r="G150" s="433">
        <f t="shared" si="76"/>
        <v>98.529742187763702</v>
      </c>
      <c r="H150" s="480">
        <f t="shared" ref="H150:AE150" si="79">H35+H138</f>
        <v>7237.6100000000006</v>
      </c>
      <c r="I150" s="480">
        <f t="shared" si="79"/>
        <v>4175.2790000000005</v>
      </c>
      <c r="J150" s="480">
        <f t="shared" si="79"/>
        <v>4703.875</v>
      </c>
      <c r="K150" s="480">
        <f t="shared" si="79"/>
        <v>5381.9040000000005</v>
      </c>
      <c r="L150" s="480">
        <f t="shared" si="79"/>
        <v>3760.3250000000003</v>
      </c>
      <c r="M150" s="480">
        <f t="shared" si="79"/>
        <v>3679.2779999999998</v>
      </c>
      <c r="N150" s="480">
        <f t="shared" si="79"/>
        <v>5461.0079999999998</v>
      </c>
      <c r="O150" s="480">
        <f t="shared" si="79"/>
        <v>3373.585</v>
      </c>
      <c r="P150" s="480">
        <f t="shared" si="79"/>
        <v>4261.3270000000002</v>
      </c>
      <c r="Q150" s="480">
        <f t="shared" si="79"/>
        <v>3712.3330000000001</v>
      </c>
      <c r="R150" s="480">
        <f t="shared" si="79"/>
        <v>8519.9959999999992</v>
      </c>
      <c r="S150" s="480">
        <f t="shared" si="79"/>
        <v>7288.5779999999995</v>
      </c>
      <c r="T150" s="480">
        <f t="shared" si="79"/>
        <v>5475.5149999999994</v>
      </c>
      <c r="U150" s="480">
        <f t="shared" si="79"/>
        <v>7478.1549999999997</v>
      </c>
      <c r="V150" s="480">
        <f t="shared" si="79"/>
        <v>4847.348</v>
      </c>
      <c r="W150" s="480">
        <f t="shared" si="79"/>
        <v>5510.4530000000004</v>
      </c>
      <c r="X150" s="480">
        <f t="shared" si="79"/>
        <v>3849.056</v>
      </c>
      <c r="Y150" s="480">
        <f t="shared" si="79"/>
        <v>3475.502</v>
      </c>
      <c r="Z150" s="480">
        <f t="shared" si="79"/>
        <v>5511.0489999999991</v>
      </c>
      <c r="AA150" s="480">
        <f t="shared" si="79"/>
        <v>3583.779</v>
      </c>
      <c r="AB150" s="480">
        <f t="shared" si="79"/>
        <v>4263.6450000000004</v>
      </c>
      <c r="AC150" s="480">
        <f t="shared" si="79"/>
        <v>3460.9853999999996</v>
      </c>
      <c r="AD150" s="480">
        <f t="shared" si="79"/>
        <v>2669.7539999999999</v>
      </c>
      <c r="AE150" s="480">
        <f t="shared" si="79"/>
        <v>8550.280999999999</v>
      </c>
      <c r="AF150" s="433"/>
      <c r="AG150" s="667"/>
    </row>
    <row r="151" spans="1:33" ht="37.5" x14ac:dyDescent="0.35">
      <c r="A151" s="451" t="s">
        <v>174</v>
      </c>
      <c r="B151" s="443">
        <f>B155</f>
        <v>226.20999999999998</v>
      </c>
      <c r="C151" s="443">
        <f t="shared" ref="C151:AE151" si="80">C155</f>
        <v>226.20999999999998</v>
      </c>
      <c r="D151" s="443">
        <f t="shared" si="80"/>
        <v>222.48699999999999</v>
      </c>
      <c r="E151" s="443">
        <f t="shared" si="80"/>
        <v>222.48699999999999</v>
      </c>
      <c r="F151" s="433">
        <f t="shared" si="75"/>
        <v>98.354184165156283</v>
      </c>
      <c r="G151" s="433">
        <f t="shared" si="76"/>
        <v>98.354184165156283</v>
      </c>
      <c r="H151" s="480">
        <f t="shared" si="80"/>
        <v>0</v>
      </c>
      <c r="I151" s="480">
        <f t="shared" si="80"/>
        <v>0</v>
      </c>
      <c r="J151" s="480">
        <f t="shared" si="80"/>
        <v>0</v>
      </c>
      <c r="K151" s="480">
        <f t="shared" si="80"/>
        <v>0</v>
      </c>
      <c r="L151" s="480">
        <f t="shared" si="80"/>
        <v>0</v>
      </c>
      <c r="M151" s="480">
        <f t="shared" si="80"/>
        <v>0</v>
      </c>
      <c r="N151" s="480">
        <f t="shared" si="80"/>
        <v>0</v>
      </c>
      <c r="O151" s="480">
        <f t="shared" si="80"/>
        <v>0</v>
      </c>
      <c r="P151" s="480">
        <f t="shared" si="80"/>
        <v>0</v>
      </c>
      <c r="Q151" s="480">
        <f t="shared" si="80"/>
        <v>0</v>
      </c>
      <c r="R151" s="480">
        <f t="shared" si="80"/>
        <v>223.70999999999998</v>
      </c>
      <c r="S151" s="480">
        <f t="shared" si="80"/>
        <v>219.43</v>
      </c>
      <c r="T151" s="480">
        <f t="shared" si="80"/>
        <v>0</v>
      </c>
      <c r="U151" s="480">
        <f t="shared" si="80"/>
        <v>0</v>
      </c>
      <c r="V151" s="480">
        <f t="shared" si="80"/>
        <v>2.5</v>
      </c>
      <c r="W151" s="480">
        <f t="shared" si="80"/>
        <v>6.25</v>
      </c>
      <c r="X151" s="480">
        <f t="shared" si="80"/>
        <v>0</v>
      </c>
      <c r="Y151" s="480">
        <f t="shared" si="80"/>
        <v>0</v>
      </c>
      <c r="Z151" s="480">
        <f t="shared" si="80"/>
        <v>0</v>
      </c>
      <c r="AA151" s="480">
        <f t="shared" si="80"/>
        <v>0</v>
      </c>
      <c r="AB151" s="480">
        <f t="shared" si="80"/>
        <v>0</v>
      </c>
      <c r="AC151" s="979">
        <f t="shared" si="80"/>
        <v>-3.1930000000000001</v>
      </c>
      <c r="AD151" s="480">
        <f t="shared" si="80"/>
        <v>0</v>
      </c>
      <c r="AE151" s="480">
        <f t="shared" si="80"/>
        <v>0</v>
      </c>
      <c r="AF151" s="433"/>
      <c r="AG151" s="667"/>
    </row>
    <row r="152" spans="1:33" ht="37.5" x14ac:dyDescent="0.35">
      <c r="A152" s="474" t="s">
        <v>366</v>
      </c>
      <c r="B152" s="433">
        <f>B153+B154</f>
        <v>9173.3100000000013</v>
      </c>
      <c r="C152" s="433">
        <f>C153+C154</f>
        <v>9173.3100000000013</v>
      </c>
      <c r="D152" s="433">
        <f>D153+D154</f>
        <v>9098.898000000001</v>
      </c>
      <c r="E152" s="433">
        <f>E153+E154</f>
        <v>9098.898000000001</v>
      </c>
      <c r="F152" s="433">
        <f t="shared" si="75"/>
        <v>99.188820611098933</v>
      </c>
      <c r="G152" s="433">
        <f t="shared" si="76"/>
        <v>99.188820611098933</v>
      </c>
      <c r="H152" s="478">
        <f>H153+H154</f>
        <v>0</v>
      </c>
      <c r="I152" s="478">
        <f t="shared" ref="I152:AE152" si="81">I153+I154</f>
        <v>0</v>
      </c>
      <c r="J152" s="478">
        <f t="shared" si="81"/>
        <v>0</v>
      </c>
      <c r="K152" s="478">
        <f t="shared" si="81"/>
        <v>0</v>
      </c>
      <c r="L152" s="478">
        <f t="shared" si="81"/>
        <v>0</v>
      </c>
      <c r="M152" s="478">
        <f t="shared" si="81"/>
        <v>0</v>
      </c>
      <c r="N152" s="478">
        <f t="shared" si="81"/>
        <v>0</v>
      </c>
      <c r="O152" s="478">
        <f t="shared" si="81"/>
        <v>0</v>
      </c>
      <c r="P152" s="478">
        <f t="shared" si="81"/>
        <v>0</v>
      </c>
      <c r="Q152" s="478">
        <f t="shared" si="81"/>
        <v>0</v>
      </c>
      <c r="R152" s="478">
        <f t="shared" si="81"/>
        <v>9030.2099999999991</v>
      </c>
      <c r="S152" s="478">
        <f t="shared" si="81"/>
        <v>6332.9859999999999</v>
      </c>
      <c r="T152" s="478">
        <f t="shared" si="81"/>
        <v>0</v>
      </c>
      <c r="U152" s="478">
        <f t="shared" si="81"/>
        <v>2200</v>
      </c>
      <c r="V152" s="478">
        <f t="shared" si="81"/>
        <v>143.1</v>
      </c>
      <c r="W152" s="478">
        <f t="shared" si="81"/>
        <v>629.73199999999997</v>
      </c>
      <c r="X152" s="478">
        <f t="shared" si="81"/>
        <v>0</v>
      </c>
      <c r="Y152" s="478">
        <f t="shared" si="81"/>
        <v>0</v>
      </c>
      <c r="Z152" s="478">
        <f t="shared" si="81"/>
        <v>0</v>
      </c>
      <c r="AA152" s="478">
        <f t="shared" si="81"/>
        <v>0</v>
      </c>
      <c r="AB152" s="478">
        <f t="shared" si="81"/>
        <v>0</v>
      </c>
      <c r="AC152" s="976">
        <f t="shared" si="81"/>
        <v>-63.82</v>
      </c>
      <c r="AD152" s="478">
        <f t="shared" si="81"/>
        <v>0</v>
      </c>
      <c r="AE152" s="478">
        <f t="shared" si="81"/>
        <v>0</v>
      </c>
      <c r="AF152" s="433"/>
      <c r="AG152" s="667"/>
    </row>
    <row r="153" spans="1:33" ht="21" x14ac:dyDescent="0.35">
      <c r="A153" s="432" t="s">
        <v>32</v>
      </c>
      <c r="B153" s="443">
        <f>B142</f>
        <v>4297.6000000000004</v>
      </c>
      <c r="C153" s="443">
        <f t="shared" ref="B153:E155" si="82">C142</f>
        <v>4297.6000000000004</v>
      </c>
      <c r="D153" s="443">
        <f t="shared" si="82"/>
        <v>4226.9110000000001</v>
      </c>
      <c r="E153" s="443">
        <f t="shared" si="82"/>
        <v>4226.9110000000001</v>
      </c>
      <c r="F153" s="433">
        <f t="shared" si="75"/>
        <v>98.355151712583762</v>
      </c>
      <c r="G153" s="433">
        <f t="shared" si="76"/>
        <v>98.355151712583762</v>
      </c>
      <c r="H153" s="480">
        <f t="shared" ref="H153:AE155" si="83">H142</f>
        <v>0</v>
      </c>
      <c r="I153" s="480">
        <f t="shared" si="83"/>
        <v>0</v>
      </c>
      <c r="J153" s="480">
        <f t="shared" si="83"/>
        <v>0</v>
      </c>
      <c r="K153" s="480">
        <f t="shared" si="83"/>
        <v>0</v>
      </c>
      <c r="L153" s="480">
        <f t="shared" si="83"/>
        <v>0</v>
      </c>
      <c r="M153" s="480">
        <f t="shared" si="83"/>
        <v>0</v>
      </c>
      <c r="N153" s="480">
        <f t="shared" si="83"/>
        <v>0</v>
      </c>
      <c r="O153" s="480">
        <f t="shared" si="83"/>
        <v>0</v>
      </c>
      <c r="P153" s="480">
        <f t="shared" si="83"/>
        <v>0</v>
      </c>
      <c r="Q153" s="480">
        <f t="shared" si="83"/>
        <v>0</v>
      </c>
      <c r="R153" s="480">
        <f t="shared" si="83"/>
        <v>4250.1000000000004</v>
      </c>
      <c r="S153" s="480">
        <f t="shared" si="83"/>
        <v>4168.78</v>
      </c>
      <c r="T153" s="480">
        <f t="shared" si="83"/>
        <v>0</v>
      </c>
      <c r="U153" s="480">
        <f t="shared" si="83"/>
        <v>0</v>
      </c>
      <c r="V153" s="480">
        <f t="shared" si="83"/>
        <v>47.5</v>
      </c>
      <c r="W153" s="480">
        <f t="shared" si="83"/>
        <v>118.758</v>
      </c>
      <c r="X153" s="480">
        <f t="shared" si="83"/>
        <v>0</v>
      </c>
      <c r="Y153" s="480">
        <f t="shared" si="83"/>
        <v>0</v>
      </c>
      <c r="Z153" s="480">
        <f t="shared" si="83"/>
        <v>0</v>
      </c>
      <c r="AA153" s="480">
        <f t="shared" si="83"/>
        <v>0</v>
      </c>
      <c r="AB153" s="480">
        <f t="shared" si="83"/>
        <v>0</v>
      </c>
      <c r="AC153" s="979">
        <f t="shared" si="83"/>
        <v>-60.627000000000002</v>
      </c>
      <c r="AD153" s="480">
        <f t="shared" si="83"/>
        <v>0</v>
      </c>
      <c r="AE153" s="480">
        <f t="shared" si="83"/>
        <v>0</v>
      </c>
      <c r="AF153" s="433"/>
      <c r="AG153" s="667"/>
    </row>
    <row r="154" spans="1:33" ht="21" x14ac:dyDescent="0.35">
      <c r="A154" s="432" t="s">
        <v>33</v>
      </c>
      <c r="B154" s="443">
        <f t="shared" si="82"/>
        <v>4875.71</v>
      </c>
      <c r="C154" s="443">
        <f t="shared" si="82"/>
        <v>4875.71</v>
      </c>
      <c r="D154" s="443">
        <f t="shared" si="82"/>
        <v>4871.987000000001</v>
      </c>
      <c r="E154" s="443">
        <f t="shared" si="82"/>
        <v>4871.987000000001</v>
      </c>
      <c r="F154" s="433">
        <f t="shared" si="75"/>
        <v>99.923641890104236</v>
      </c>
      <c r="G154" s="433">
        <f t="shared" si="76"/>
        <v>99.923641890104236</v>
      </c>
      <c r="H154" s="480">
        <f t="shared" si="83"/>
        <v>0</v>
      </c>
      <c r="I154" s="480">
        <f t="shared" si="83"/>
        <v>0</v>
      </c>
      <c r="J154" s="480">
        <f t="shared" si="83"/>
        <v>0</v>
      </c>
      <c r="K154" s="480">
        <f t="shared" si="83"/>
        <v>0</v>
      </c>
      <c r="L154" s="480">
        <f t="shared" si="83"/>
        <v>0</v>
      </c>
      <c r="M154" s="480">
        <f t="shared" si="83"/>
        <v>0</v>
      </c>
      <c r="N154" s="480">
        <f t="shared" si="83"/>
        <v>0</v>
      </c>
      <c r="O154" s="480">
        <f t="shared" si="83"/>
        <v>0</v>
      </c>
      <c r="P154" s="480">
        <f t="shared" si="83"/>
        <v>0</v>
      </c>
      <c r="Q154" s="480">
        <f t="shared" si="83"/>
        <v>0</v>
      </c>
      <c r="R154" s="480">
        <f t="shared" si="83"/>
        <v>4780.1099999999997</v>
      </c>
      <c r="S154" s="480">
        <f t="shared" si="83"/>
        <v>2164.2060000000001</v>
      </c>
      <c r="T154" s="480">
        <f t="shared" si="83"/>
        <v>0</v>
      </c>
      <c r="U154" s="480">
        <f t="shared" si="83"/>
        <v>2200</v>
      </c>
      <c r="V154" s="480">
        <f t="shared" si="83"/>
        <v>95.6</v>
      </c>
      <c r="W154" s="480">
        <f t="shared" si="83"/>
        <v>510.97399999999999</v>
      </c>
      <c r="X154" s="480">
        <f t="shared" si="83"/>
        <v>0</v>
      </c>
      <c r="Y154" s="480">
        <f t="shared" si="83"/>
        <v>0</v>
      </c>
      <c r="Z154" s="480">
        <f t="shared" si="83"/>
        <v>0</v>
      </c>
      <c r="AA154" s="480">
        <f t="shared" si="83"/>
        <v>0</v>
      </c>
      <c r="AB154" s="480">
        <f t="shared" si="83"/>
        <v>0</v>
      </c>
      <c r="AC154" s="979">
        <f t="shared" si="83"/>
        <v>-3.1930000000000001</v>
      </c>
      <c r="AD154" s="480">
        <f t="shared" si="83"/>
        <v>0</v>
      </c>
      <c r="AE154" s="480">
        <f t="shared" si="83"/>
        <v>0</v>
      </c>
      <c r="AF154" s="433"/>
      <c r="AG154" s="667"/>
    </row>
    <row r="155" spans="1:33" ht="37.5" x14ac:dyDescent="0.35">
      <c r="A155" s="451" t="s">
        <v>174</v>
      </c>
      <c r="B155" s="443">
        <f t="shared" si="82"/>
        <v>226.20999999999998</v>
      </c>
      <c r="C155" s="443">
        <f t="shared" si="82"/>
        <v>226.20999999999998</v>
      </c>
      <c r="D155" s="443">
        <f t="shared" si="82"/>
        <v>222.48699999999999</v>
      </c>
      <c r="E155" s="443">
        <f t="shared" si="82"/>
        <v>222.48699999999999</v>
      </c>
      <c r="F155" s="433">
        <f t="shared" si="75"/>
        <v>98.354184165156283</v>
      </c>
      <c r="G155" s="433">
        <f t="shared" si="76"/>
        <v>98.354184165156283</v>
      </c>
      <c r="H155" s="480">
        <f t="shared" si="83"/>
        <v>0</v>
      </c>
      <c r="I155" s="480">
        <f t="shared" si="83"/>
        <v>0</v>
      </c>
      <c r="J155" s="480">
        <f t="shared" si="83"/>
        <v>0</v>
      </c>
      <c r="K155" s="480">
        <f t="shared" si="83"/>
        <v>0</v>
      </c>
      <c r="L155" s="480">
        <f t="shared" si="83"/>
        <v>0</v>
      </c>
      <c r="M155" s="480">
        <f t="shared" si="83"/>
        <v>0</v>
      </c>
      <c r="N155" s="480">
        <f t="shared" si="83"/>
        <v>0</v>
      </c>
      <c r="O155" s="480">
        <f t="shared" si="83"/>
        <v>0</v>
      </c>
      <c r="P155" s="480">
        <f t="shared" si="83"/>
        <v>0</v>
      </c>
      <c r="Q155" s="480">
        <f t="shared" si="83"/>
        <v>0</v>
      </c>
      <c r="R155" s="480">
        <f t="shared" si="83"/>
        <v>223.70999999999998</v>
      </c>
      <c r="S155" s="480">
        <f t="shared" si="83"/>
        <v>219.43</v>
      </c>
      <c r="T155" s="480">
        <f t="shared" si="83"/>
        <v>0</v>
      </c>
      <c r="U155" s="480">
        <f t="shared" si="83"/>
        <v>0</v>
      </c>
      <c r="V155" s="480">
        <f t="shared" si="83"/>
        <v>2.5</v>
      </c>
      <c r="W155" s="480">
        <f t="shared" si="83"/>
        <v>6.25</v>
      </c>
      <c r="X155" s="480">
        <f t="shared" si="83"/>
        <v>0</v>
      </c>
      <c r="Y155" s="480">
        <f t="shared" si="83"/>
        <v>0</v>
      </c>
      <c r="Z155" s="480">
        <f t="shared" si="83"/>
        <v>0</v>
      </c>
      <c r="AA155" s="480">
        <f t="shared" si="83"/>
        <v>0</v>
      </c>
      <c r="AB155" s="480">
        <f t="shared" si="83"/>
        <v>0</v>
      </c>
      <c r="AC155" s="979">
        <f t="shared" si="83"/>
        <v>-3.1930000000000001</v>
      </c>
      <c r="AD155" s="480">
        <f t="shared" si="83"/>
        <v>0</v>
      </c>
      <c r="AE155" s="480">
        <f t="shared" si="83"/>
        <v>0</v>
      </c>
      <c r="AF155" s="433"/>
      <c r="AG155" s="667"/>
    </row>
    <row r="156" spans="1:33" ht="37.5" x14ac:dyDescent="0.35">
      <c r="A156" s="474" t="s">
        <v>100</v>
      </c>
      <c r="B156" s="433">
        <f>B158+B157</f>
        <v>56056.130999999994</v>
      </c>
      <c r="C156" s="433">
        <f t="shared" ref="C156:AE156" si="84">C158+C157</f>
        <v>56056.130999999994</v>
      </c>
      <c r="D156" s="433">
        <f t="shared" si="84"/>
        <v>55169.459400000007</v>
      </c>
      <c r="E156" s="433">
        <f t="shared" si="84"/>
        <v>55169.459400000007</v>
      </c>
      <c r="F156" s="433">
        <f t="shared" si="75"/>
        <v>98.418243314009686</v>
      </c>
      <c r="G156" s="433">
        <f t="shared" si="76"/>
        <v>98.418243314009686</v>
      </c>
      <c r="H156" s="433">
        <f t="shared" si="84"/>
        <v>7237.6100000000006</v>
      </c>
      <c r="I156" s="433">
        <f t="shared" si="84"/>
        <v>4175.2790000000005</v>
      </c>
      <c r="J156" s="433">
        <f t="shared" si="84"/>
        <v>4703.875</v>
      </c>
      <c r="K156" s="433">
        <f t="shared" si="84"/>
        <v>5381.9040000000005</v>
      </c>
      <c r="L156" s="433">
        <f t="shared" si="84"/>
        <v>3760.3250000000003</v>
      </c>
      <c r="M156" s="433">
        <f t="shared" si="84"/>
        <v>3679.2779999999998</v>
      </c>
      <c r="N156" s="433">
        <f t="shared" si="84"/>
        <v>5461.0079999999998</v>
      </c>
      <c r="O156" s="433">
        <f t="shared" si="84"/>
        <v>3373.585</v>
      </c>
      <c r="P156" s="433">
        <f t="shared" si="84"/>
        <v>4632.66</v>
      </c>
      <c r="Q156" s="433">
        <f t="shared" si="84"/>
        <v>4083.6669999999999</v>
      </c>
      <c r="R156" s="433">
        <f t="shared" si="84"/>
        <v>3739.886</v>
      </c>
      <c r="S156" s="433">
        <f t="shared" si="84"/>
        <v>5124.3719999999994</v>
      </c>
      <c r="T156" s="433">
        <f t="shared" si="84"/>
        <v>5475.5149999999994</v>
      </c>
      <c r="U156" s="433">
        <f t="shared" si="84"/>
        <v>5278.1549999999997</v>
      </c>
      <c r="V156" s="433">
        <f t="shared" si="84"/>
        <v>4751.7479999999996</v>
      </c>
      <c r="W156" s="433">
        <f t="shared" si="84"/>
        <v>4999.4790000000003</v>
      </c>
      <c r="X156" s="433">
        <f t="shared" si="84"/>
        <v>3849.056</v>
      </c>
      <c r="Y156" s="433">
        <f t="shared" si="84"/>
        <v>3475.502</v>
      </c>
      <c r="Z156" s="433">
        <f t="shared" si="84"/>
        <v>5511.0489999999991</v>
      </c>
      <c r="AA156" s="433">
        <f t="shared" si="84"/>
        <v>3583.779</v>
      </c>
      <c r="AB156" s="433">
        <f t="shared" si="84"/>
        <v>4263.6450000000004</v>
      </c>
      <c r="AC156" s="433">
        <f t="shared" si="84"/>
        <v>3464.1783999999998</v>
      </c>
      <c r="AD156" s="433">
        <f t="shared" si="84"/>
        <v>2669.7539999999999</v>
      </c>
      <c r="AE156" s="433">
        <f t="shared" si="84"/>
        <v>8550.280999999999</v>
      </c>
      <c r="AF156" s="433"/>
      <c r="AG156" s="667"/>
    </row>
    <row r="157" spans="1:33" ht="21" x14ac:dyDescent="0.35">
      <c r="A157" s="432" t="s">
        <v>32</v>
      </c>
      <c r="B157" s="433">
        <f>B34</f>
        <v>371.33300000000003</v>
      </c>
      <c r="C157" s="433">
        <f t="shared" ref="C157:AE157" si="85">C34</f>
        <v>371.33300000000003</v>
      </c>
      <c r="D157" s="433">
        <f t="shared" si="85"/>
        <v>371.334</v>
      </c>
      <c r="E157" s="433">
        <f t="shared" si="85"/>
        <v>371.334</v>
      </c>
      <c r="F157" s="433">
        <f t="shared" si="75"/>
        <v>100.0002693000622</v>
      </c>
      <c r="G157" s="433">
        <f t="shared" si="76"/>
        <v>100.0002693000622</v>
      </c>
      <c r="H157" s="433">
        <f t="shared" si="85"/>
        <v>0</v>
      </c>
      <c r="I157" s="433">
        <f t="shared" si="85"/>
        <v>0</v>
      </c>
      <c r="J157" s="433">
        <f t="shared" si="85"/>
        <v>0</v>
      </c>
      <c r="K157" s="433">
        <f t="shared" si="85"/>
        <v>0</v>
      </c>
      <c r="L157" s="433">
        <f t="shared" si="85"/>
        <v>0</v>
      </c>
      <c r="M157" s="433">
        <f t="shared" si="85"/>
        <v>0</v>
      </c>
      <c r="N157" s="433">
        <f t="shared" si="85"/>
        <v>0</v>
      </c>
      <c r="O157" s="433">
        <f t="shared" si="85"/>
        <v>0</v>
      </c>
      <c r="P157" s="433">
        <f t="shared" si="85"/>
        <v>371.33300000000003</v>
      </c>
      <c r="Q157" s="433">
        <f t="shared" si="85"/>
        <v>371.334</v>
      </c>
      <c r="R157" s="433">
        <f t="shared" si="85"/>
        <v>0</v>
      </c>
      <c r="S157" s="433">
        <f t="shared" si="85"/>
        <v>0</v>
      </c>
      <c r="T157" s="433">
        <f t="shared" si="85"/>
        <v>0</v>
      </c>
      <c r="U157" s="433">
        <f t="shared" si="85"/>
        <v>0</v>
      </c>
      <c r="V157" s="433">
        <f t="shared" si="85"/>
        <v>0</v>
      </c>
      <c r="W157" s="433">
        <f t="shared" si="85"/>
        <v>0</v>
      </c>
      <c r="X157" s="433">
        <f t="shared" si="85"/>
        <v>0</v>
      </c>
      <c r="Y157" s="433">
        <f t="shared" si="85"/>
        <v>0</v>
      </c>
      <c r="Z157" s="433">
        <f t="shared" si="85"/>
        <v>0</v>
      </c>
      <c r="AA157" s="433">
        <f t="shared" si="85"/>
        <v>0</v>
      </c>
      <c r="AB157" s="433">
        <f t="shared" si="85"/>
        <v>0</v>
      </c>
      <c r="AC157" s="433">
        <f t="shared" si="85"/>
        <v>0</v>
      </c>
      <c r="AD157" s="433">
        <f t="shared" si="85"/>
        <v>0</v>
      </c>
      <c r="AE157" s="433">
        <f t="shared" si="85"/>
        <v>0</v>
      </c>
      <c r="AF157" s="433"/>
      <c r="AG157" s="667"/>
    </row>
    <row r="158" spans="1:33" ht="21" x14ac:dyDescent="0.35">
      <c r="A158" s="432" t="s">
        <v>33</v>
      </c>
      <c r="B158" s="443">
        <f>B13+B131</f>
        <v>55684.797999999995</v>
      </c>
      <c r="C158" s="443">
        <f>C13+C131</f>
        <v>55684.797999999995</v>
      </c>
      <c r="D158" s="443">
        <f>D13+D131</f>
        <v>54798.125400000004</v>
      </c>
      <c r="E158" s="443">
        <f>E13+E131</f>
        <v>54798.125400000004</v>
      </c>
      <c r="F158" s="433">
        <f t="shared" si="75"/>
        <v>98.407693604276005</v>
      </c>
      <c r="G158" s="433">
        <f t="shared" si="76"/>
        <v>98.407693604276005</v>
      </c>
      <c r="H158" s="480">
        <f t="shared" ref="H158:AE158" si="86">H13+H131</f>
        <v>7237.6100000000006</v>
      </c>
      <c r="I158" s="480">
        <f t="shared" si="86"/>
        <v>4175.2790000000005</v>
      </c>
      <c r="J158" s="480">
        <f t="shared" si="86"/>
        <v>4703.875</v>
      </c>
      <c r="K158" s="480">
        <f t="shared" si="86"/>
        <v>5381.9040000000005</v>
      </c>
      <c r="L158" s="480">
        <f t="shared" si="86"/>
        <v>3760.3250000000003</v>
      </c>
      <c r="M158" s="480">
        <f t="shared" si="86"/>
        <v>3679.2779999999998</v>
      </c>
      <c r="N158" s="480">
        <f t="shared" si="86"/>
        <v>5461.0079999999998</v>
      </c>
      <c r="O158" s="480">
        <f t="shared" si="86"/>
        <v>3373.585</v>
      </c>
      <c r="P158" s="480">
        <f t="shared" si="86"/>
        <v>4261.3270000000002</v>
      </c>
      <c r="Q158" s="480">
        <f t="shared" si="86"/>
        <v>3712.3330000000001</v>
      </c>
      <c r="R158" s="480">
        <f t="shared" si="86"/>
        <v>3739.886</v>
      </c>
      <c r="S158" s="480">
        <f t="shared" si="86"/>
        <v>5124.3719999999994</v>
      </c>
      <c r="T158" s="480">
        <f t="shared" si="86"/>
        <v>5475.5149999999994</v>
      </c>
      <c r="U158" s="480">
        <f t="shared" si="86"/>
        <v>5278.1549999999997</v>
      </c>
      <c r="V158" s="480">
        <f t="shared" si="86"/>
        <v>4751.7479999999996</v>
      </c>
      <c r="W158" s="480">
        <f t="shared" si="86"/>
        <v>4999.4790000000003</v>
      </c>
      <c r="X158" s="480">
        <f t="shared" si="86"/>
        <v>3849.056</v>
      </c>
      <c r="Y158" s="480">
        <f t="shared" si="86"/>
        <v>3475.502</v>
      </c>
      <c r="Z158" s="480">
        <f t="shared" si="86"/>
        <v>5511.0489999999991</v>
      </c>
      <c r="AA158" s="480">
        <f t="shared" si="86"/>
        <v>3583.779</v>
      </c>
      <c r="AB158" s="480">
        <f t="shared" si="86"/>
        <v>4263.6450000000004</v>
      </c>
      <c r="AC158" s="480">
        <f t="shared" si="86"/>
        <v>3464.1783999999998</v>
      </c>
      <c r="AD158" s="480">
        <f t="shared" si="86"/>
        <v>2669.7539999999999</v>
      </c>
      <c r="AE158" s="480">
        <f t="shared" si="86"/>
        <v>8550.280999999999</v>
      </c>
      <c r="AF158" s="433"/>
      <c r="AG158" s="667"/>
    </row>
  </sheetData>
  <customSheetViews>
    <customSheetView guid="{7C130984-112A-4861-AA43-E2940708E3DC}" scale="80" state="hidden">
      <pane xSplit="4" ySplit="10" topLeftCell="AD116" activePane="bottomRight" state="frozen"/>
      <selection pane="bottomRight" activeCell="AF49" sqref="AF49"/>
      <pageMargins left="0.7" right="0.7" top="0.75" bottom="0.75" header="0.3" footer="0.3"/>
    </customSheetView>
    <customSheetView guid="{533DC55B-6AD4-4674-9488-685EF2039F3E}" scale="80" state="hidden">
      <pane xSplit="4" ySplit="10" topLeftCell="AD116" activePane="bottomRight" state="frozen"/>
      <selection pane="bottomRight" activeCell="AF49" sqref="AF49"/>
      <pageMargins left="0.7" right="0.7" top="0.75" bottom="0.75" header="0.3" footer="0.3"/>
    </customSheetView>
    <customSheetView guid="{09C3E205-981E-4A4E-BE89-8B7044192060}" scale="80">
      <pane xSplit="4" ySplit="10" topLeftCell="AD116" activePane="bottomRight" state="frozen"/>
      <selection pane="bottomRight" activeCell="AF49" sqref="AF49"/>
      <pageMargins left="0.7" right="0.7" top="0.75" bottom="0.75" header="0.3" footer="0.3"/>
    </customSheetView>
    <customSheetView guid="{B1BF08D1-D416-4B47-ADD0-4F59132DC9E8}" scale="80">
      <pane xSplit="4" ySplit="10" topLeftCell="E140" activePane="bottomRight" state="frozen"/>
      <selection pane="bottomRight" activeCell="M25" sqref="M25"/>
      <pageMargins left="0.7" right="0.7" top="0.75" bottom="0.75" header="0.3" footer="0.3"/>
    </customSheetView>
    <customSheetView guid="{4F41B9CC-959D-442C-80B0-1F0DB2C76D27}" scale="80">
      <pane xSplit="4" ySplit="10" topLeftCell="T156" activePane="bottomRight" state="frozen"/>
      <selection pane="bottomRight" activeCell="A37" sqref="A37:AE37"/>
      <pageMargins left="0.7" right="0.7" top="0.75" bottom="0.75" header="0.3" footer="0.3"/>
    </customSheetView>
    <customSheetView guid="{84867370-1F3E-4368-AF79-FBCE46FFFE92}" scale="80">
      <pane xSplit="4" ySplit="10" topLeftCell="E11" activePane="bottomRight" state="frozen"/>
      <selection pane="bottomRight" activeCell="A37" sqref="A37:AE37"/>
      <pageMargins left="0.7" right="0.7" top="0.75" bottom="0.75" header="0.3" footer="0.3"/>
    </customSheetView>
    <customSheetView guid="{E508E171-4ED9-4B07-84DF-DA28C60E1969}" scale="80">
      <pane xSplit="4" ySplit="10" topLeftCell="E11" activePane="bottomRight" state="frozen"/>
      <selection pane="bottomRight" activeCell="A37" sqref="A37:AE37"/>
      <pageMargins left="0.7" right="0.7" top="0.75" bottom="0.75" header="0.3" footer="0.3"/>
    </customSheetView>
    <customSheetView guid="{602C8EDB-B9EF-4C85-B0D5-0558C3A0ABAB}" scale="80">
      <pane xSplit="4" ySplit="10" topLeftCell="E11" activePane="bottomRight" state="frozen"/>
      <selection pane="bottomRight" activeCell="A37" sqref="A37:AE37"/>
      <pageMargins left="0.7" right="0.7" top="0.75" bottom="0.75" header="0.3" footer="0.3"/>
    </customSheetView>
    <customSheetView guid="{84B3377A-1CDD-4881-99FA-112F8B470D6F}" scale="40">
      <pane xSplit="4" ySplit="10" topLeftCell="E11" activePane="bottomRight" state="frozen"/>
      <selection pane="bottomRight" activeCell="A46" sqref="A46"/>
      <pageMargins left="0.7" right="0.7" top="0.75" bottom="0.75" header="0.3" footer="0.3"/>
    </customSheetView>
    <customSheetView guid="{87218168-6C8E-4D5B-A5E5-DCCC26803AA3}" scale="40">
      <pane xSplit="4" ySplit="10" topLeftCell="E11" activePane="bottomRight" state="frozen"/>
      <selection pane="bottomRight" activeCell="A46" sqref="A46"/>
      <pageMargins left="0.7" right="0.7" top="0.75" bottom="0.75" header="0.3" footer="0.3"/>
    </customSheetView>
    <customSheetView guid="{6A602CB8-B24C-4ED4-B378-B27354BE0A1A}" scale="70">
      <pane xSplit="4" ySplit="10" topLeftCell="R125" activePane="bottomRight" state="frozen"/>
      <selection pane="bottomRight" activeCell="AA31" sqref="AA31"/>
      <pageMargins left="0.7" right="0.7" top="0.75" bottom="0.75" header="0.3" footer="0.3"/>
    </customSheetView>
    <customSheetView guid="{D01FA037-9AEC-4167-ADB8-2F327C01ECE6}" scale="70">
      <pane xSplit="4" ySplit="10" topLeftCell="E77" activePane="bottomRight" state="frozen"/>
      <selection pane="bottomRight" activeCell="W127" sqref="W127"/>
      <pageMargins left="0.7" right="0.7" top="0.75" bottom="0.75" header="0.3" footer="0.3"/>
    </customSheetView>
    <customSheetView guid="{74870EE6-26B9-40F7-9DC9-260EF16D8959}" scale="70">
      <pane xSplit="4" ySplit="10" topLeftCell="E140" activePane="bottomRight" state="frozen"/>
      <selection pane="bottomRight" activeCell="C147" sqref="C147"/>
      <pageMargins left="0.7" right="0.7" top="0.75" bottom="0.75" header="0.3" footer="0.3"/>
    </customSheetView>
    <customSheetView guid="{7226EA2B-7866-416F-9240-410CC1BF0336}" scale="70">
      <pane xSplit="4" ySplit="10" topLeftCell="E140" activePane="bottomRight" state="frozen"/>
      <selection pane="bottomRight" activeCell="C147" sqref="C147"/>
      <pageMargins left="0.7" right="0.7" top="0.75" bottom="0.75" header="0.3" footer="0.3"/>
    </customSheetView>
    <customSheetView guid="{F8CAB90F-9980-4EC7-B30B-1637EB515304}" scale="70">
      <pane xSplit="4" ySplit="10" topLeftCell="E140" activePane="bottomRight" state="frozen"/>
      <selection pane="bottomRight" activeCell="C147" sqref="C147"/>
      <pageMargins left="0.7" right="0.7" top="0.75" bottom="0.75" header="0.3" footer="0.3"/>
    </customSheetView>
    <customSheetView guid="{415078CD-EB99-432D-90BA-2F3D5A746E20}" scale="70">
      <pane xSplit="4" ySplit="10" topLeftCell="E140" activePane="bottomRight" state="frozen"/>
      <selection pane="bottomRight" activeCell="C147" sqref="C147"/>
      <pageMargins left="0.7" right="0.7" top="0.75" bottom="0.75" header="0.3" footer="0.3"/>
    </customSheetView>
    <customSheetView guid="{CB4792DB-A624-4844-AEB6-A6ADA80946BB}" scale="70">
      <pane xSplit="4" ySplit="10" topLeftCell="AD116" activePane="bottomRight" state="frozen"/>
      <selection pane="bottomRight" activeCell="AF118" sqref="AF118"/>
      <pageMargins left="0.7" right="0.7" top="0.75" bottom="0.75" header="0.3" footer="0.3"/>
    </customSheetView>
    <customSheetView guid="{0C2B9C2A-7B94-41EF-A2E6-F8AC9A67DE25}" scale="70">
      <pane xSplit="4" ySplit="10" topLeftCell="AD116" activePane="bottomRight" state="frozen"/>
      <selection pane="bottomRight" activeCell="AF118" sqref="AF118"/>
      <pageMargins left="0.7" right="0.7" top="0.75" bottom="0.75" header="0.3" footer="0.3"/>
    </customSheetView>
    <customSheetView guid="{391AB76E-B386-49C1-800F-016A48AA1A46}" scale="70">
      <pane xSplit="4" ySplit="10" topLeftCell="E11" activePane="bottomRight" state="frozen"/>
      <selection pane="bottomRight" activeCell="C15" sqref="C15"/>
      <pageMargins left="0.7" right="0.7" top="0.75" bottom="0.75" header="0.3" footer="0.3"/>
    </customSheetView>
    <customSheetView guid="{959E901C-5DDE-42EE-AE94-AB8976B5E00B}" scale="70">
      <pane xSplit="1" ySplit="10" topLeftCell="J11" activePane="bottomRight" state="frozen"/>
      <selection pane="bottomRight" activeCell="R120" sqref="R120:R121"/>
      <pageMargins left="0.7" right="0.7" top="0.75" bottom="0.75" header="0.3" footer="0.3"/>
    </customSheetView>
    <customSheetView guid="{F679EF4A-C5FD-4B86-B87B-D85968E0F2CA}" scale="70">
      <pane xSplit="1" ySplit="10" topLeftCell="J11" activePane="bottomRight" state="frozen"/>
      <selection pane="bottomRight" activeCell="R120" sqref="R120:R121"/>
      <pageMargins left="0.7" right="0.7" top="0.75" bottom="0.75" header="0.3" footer="0.3"/>
    </customSheetView>
    <customSheetView guid="{009B3074-D8EC-4952-BF50-43CD64449612}" scale="70">
      <pane xSplit="1" ySplit="10" topLeftCell="J11" activePane="bottomRight" state="frozen"/>
      <selection pane="bottomRight" activeCell="R120" sqref="R120:R121"/>
      <pageMargins left="0.7" right="0.7" top="0.75" bottom="0.75" header="0.3" footer="0.3"/>
    </customSheetView>
    <customSheetView guid="{770624BF-07F3-44B6-94C3-4CC447CDD45C}" scale="70">
      <pane xSplit="1" ySplit="10" topLeftCell="B26" activePane="bottomRight" state="frozen"/>
      <selection pane="bottomRight" activeCell="A37" sqref="A37"/>
      <pageMargins left="0.7" right="0.7" top="0.75" bottom="0.75" header="0.3" footer="0.3"/>
    </customSheetView>
    <customSheetView guid="{B82BA08A-1A30-4F4D-A478-74A6BD09EA97}" scale="70">
      <pane xSplit="1" ySplit="10" topLeftCell="B146" activePane="bottomRight" state="frozen"/>
      <selection pane="bottomRight" activeCell="A3" sqref="A3:Q3"/>
      <pageMargins left="0.7" right="0.7" top="0.75" bottom="0.75" header="0.3" footer="0.3"/>
    </customSheetView>
    <customSheetView guid="{874882D1-E741-4CCA-BF0D-E72FA60B771D}" scale="70">
      <pane xSplit="1" ySplit="10" topLeftCell="B146" activePane="bottomRight" state="frozen"/>
      <selection pane="bottomRight" activeCell="A3" sqref="A3:Q3"/>
      <pageMargins left="0.7" right="0.7" top="0.75" bottom="0.75" header="0.3" footer="0.3"/>
    </customSheetView>
    <customSheetView guid="{C236B307-BD63-48C4-A75F-B3F3717BF55C}" scale="70">
      <pane xSplit="1" ySplit="10" topLeftCell="B146" activePane="bottomRight" state="frozen"/>
      <selection pane="bottomRight" activeCell="A3" sqref="A3:Q3"/>
      <pageMargins left="0.7" right="0.7" top="0.75" bottom="0.75" header="0.3" footer="0.3"/>
    </customSheetView>
    <customSheetView guid="{BCD82A82-B724-4763-8580-D765356E09BA}" scale="70">
      <pane xSplit="1" ySplit="10" topLeftCell="B11" activePane="bottomRight" state="frozen"/>
      <selection pane="bottomRight" activeCell="A3" sqref="A3:Q3"/>
      <pageMargins left="0.7" right="0.7" top="0.75" bottom="0.75" header="0.3" footer="0.3"/>
    </customSheetView>
    <customSheetView guid="{85F4575B-DBC5-482A-9916-255D8F0BC94E}" scale="70">
      <pane xSplit="1" ySplit="10" topLeftCell="J11" activePane="bottomRight" state="frozen"/>
      <selection pane="bottomRight" activeCell="R120" sqref="R120:R121"/>
      <pageMargins left="0.7" right="0.7" top="0.75" bottom="0.75" header="0.3" footer="0.3"/>
    </customSheetView>
    <customSheetView guid="{4D0DFB57-2CBA-42F2-9A97-C453A6851FBA}" scale="70">
      <pane xSplit="4" ySplit="10" topLeftCell="E11" activePane="bottomRight" state="frozen"/>
      <selection pane="bottomRight" activeCell="C15" sqref="C15"/>
      <pageMargins left="0.7" right="0.7" top="0.75" bottom="0.75" header="0.3" footer="0.3"/>
    </customSheetView>
    <customSheetView guid="{CE1CCA00-200D-4EAA-9FBE-F8EE7C5F82FE}" scale="70">
      <pane xSplit="4" ySplit="10" topLeftCell="E11" activePane="bottomRight" state="frozen"/>
      <selection pane="bottomRight" activeCell="C15" sqref="C15"/>
      <pageMargins left="0.7" right="0.7" top="0.75" bottom="0.75" header="0.3" footer="0.3"/>
    </customSheetView>
    <customSheetView guid="{AC2D5927-4079-4C74-AF69-1BFAC505648F}" scale="70">
      <pane xSplit="4" ySplit="10" topLeftCell="E11" activePane="bottomRight" state="frozen"/>
      <selection pane="bottomRight" activeCell="C15" sqref="C15"/>
      <pageMargins left="0.7" right="0.7" top="0.75" bottom="0.75" header="0.3" footer="0.3"/>
    </customSheetView>
    <customSheetView guid="{3C3F523F-5F34-4CF7-831E-F1ABC4278CEB}" scale="70">
      <pane xSplit="4" ySplit="10" topLeftCell="E11" activePane="bottomRight" state="frozen"/>
      <selection pane="bottomRight" activeCell="AK127" sqref="AK127:AK128"/>
      <pageMargins left="0.7" right="0.7" top="0.75" bottom="0.75" header="0.3" footer="0.3"/>
    </customSheetView>
    <customSheetView guid="{69DABE6F-6182-4403-A4A2-969F10F1C13A}" scale="70">
      <pane xSplit="4" ySplit="10" topLeftCell="R125" activePane="bottomRight" state="frozen"/>
      <selection pane="bottomRight" activeCell="AA31" sqref="AA31"/>
      <pageMargins left="0.7" right="0.7" top="0.75" bottom="0.75" header="0.3" footer="0.3"/>
    </customSheetView>
    <customSheetView guid="{DAA8A688-7558-4B5B-8DBD-E2629BD9E9A8}" scale="40">
      <pane xSplit="4" ySplit="10" topLeftCell="E11" activePane="bottomRight" state="frozen"/>
      <selection pane="bottomRight" activeCell="A46" sqref="A46"/>
      <pageMargins left="0.7" right="0.7" top="0.75" bottom="0.75" header="0.3" footer="0.3"/>
    </customSheetView>
    <customSheetView guid="{47B983AB-FE5F-4725-860C-A2F29420596D}" scale="40">
      <pane xSplit="4" ySplit="10" topLeftCell="E11" activePane="bottomRight" state="frozen"/>
      <selection pane="bottomRight" activeCell="A46" sqref="A46"/>
      <pageMargins left="0.7" right="0.7" top="0.75" bottom="0.75" header="0.3" footer="0.3"/>
    </customSheetView>
    <customSheetView guid="{442F2C94-DD1B-4A01-8694-513D4D6F3BD9}" scale="80">
      <pane xSplit="4" ySplit="10" topLeftCell="E11" activePane="bottomRight" state="frozen"/>
      <selection pane="bottomRight" activeCell="A37" sqref="A37:AE37"/>
      <pageMargins left="0.7" right="0.7" top="0.75" bottom="0.75" header="0.3" footer="0.3"/>
    </customSheetView>
    <customSheetView guid="{472DFAFE-DC7C-463D-92A0-F6A14555FDD6}" scale="80">
      <pane xSplit="4" ySplit="10" topLeftCell="T156" activePane="bottomRight" state="frozen"/>
      <selection pane="bottomRight" activeCell="A37" sqref="A37:AE37"/>
      <pageMargins left="0.7" right="0.7" top="0.75" bottom="0.75" header="0.3" footer="0.3"/>
    </customSheetView>
    <customSheetView guid="{B43381A8-767B-4F49-BD2E-0056691293F3}" scale="80">
      <pane xSplit="4" ySplit="10" topLeftCell="T156" activePane="bottomRight" state="frozen"/>
      <selection pane="bottomRight" activeCell="A37" sqref="A37:AE37"/>
      <pageMargins left="0.7" right="0.7" top="0.75" bottom="0.75" header="0.3" footer="0.3"/>
    </customSheetView>
  </customSheetViews>
  <mergeCells count="42">
    <mergeCell ref="V4:W5"/>
    <mergeCell ref="X4:Y5"/>
    <mergeCell ref="AD4:AE5"/>
    <mergeCell ref="R4:S5"/>
    <mergeCell ref="T4:U5"/>
    <mergeCell ref="A129:AE129"/>
    <mergeCell ref="A132:AE132"/>
    <mergeCell ref="A63:AE63"/>
    <mergeCell ref="A68:AE68"/>
    <mergeCell ref="A73:AE73"/>
    <mergeCell ref="A78:AE78"/>
    <mergeCell ref="A83:AE83"/>
    <mergeCell ref="A88:AE88"/>
    <mergeCell ref="AF4:AF6"/>
    <mergeCell ref="A58:AE58"/>
    <mergeCell ref="A10:AE10"/>
    <mergeCell ref="A14:AE14"/>
    <mergeCell ref="A17:AE17"/>
    <mergeCell ref="A20:AE20"/>
    <mergeCell ref="A24:AE24"/>
    <mergeCell ref="A28:AE28"/>
    <mergeCell ref="A36:AE36"/>
    <mergeCell ref="A38:AE38"/>
    <mergeCell ref="A43:AE43"/>
    <mergeCell ref="A48:AE48"/>
    <mergeCell ref="A53:AE53"/>
    <mergeCell ref="A8:AE8"/>
    <mergeCell ref="Z4:AA5"/>
    <mergeCell ref="AB4:AC5"/>
    <mergeCell ref="A2:Q2"/>
    <mergeCell ref="A3:Q3"/>
    <mergeCell ref="A4:A6"/>
    <mergeCell ref="B4:B5"/>
    <mergeCell ref="C4:C5"/>
    <mergeCell ref="D4:D5"/>
    <mergeCell ref="E4:E5"/>
    <mergeCell ref="F4:G5"/>
    <mergeCell ref="H4:I5"/>
    <mergeCell ref="J4:K5"/>
    <mergeCell ref="P4:Q5"/>
    <mergeCell ref="L4:M5"/>
    <mergeCell ref="N4:O5"/>
  </mergeCells>
  <hyperlinks>
    <hyperlink ref="A3:Q3" location="Оглавление!A1" display=" &quot;Социально - экономическое развитие и инвестиции муниципального образования город Когалым&quot; "/>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Оглавление!$B$22:$B$33</xm:f>
          </x14:formula1>
          <xm:sqref>C6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9"/>
  <sheetViews>
    <sheetView zoomScaleNormal="100" workbookViewId="0">
      <pane ySplit="5" topLeftCell="A51" activePane="bottomLeft" state="frozen"/>
      <selection pane="bottomLeft" activeCell="J49" sqref="J49:AE49"/>
    </sheetView>
  </sheetViews>
  <sheetFormatPr defaultColWidth="9.140625" defaultRowHeight="15" x14ac:dyDescent="0.25"/>
  <cols>
    <col min="1" max="1" width="43.140625" style="222" customWidth="1"/>
    <col min="2" max="7" width="12.42578125" style="222" customWidth="1"/>
    <col min="8" max="20" width="11.5703125" style="222" customWidth="1"/>
    <col min="21" max="31" width="11.85546875" style="222" customWidth="1"/>
    <col min="32" max="32" width="53.85546875" style="989" customWidth="1"/>
    <col min="33" max="16384" width="9.140625" style="222"/>
  </cols>
  <sheetData>
    <row r="1" spans="1:32" ht="25.5" x14ac:dyDescent="0.25">
      <c r="A1" s="1208" t="s">
        <v>0</v>
      </c>
      <c r="B1" s="1209"/>
      <c r="C1" s="1209"/>
      <c r="D1" s="1209"/>
      <c r="E1" s="1209"/>
      <c r="F1" s="1209"/>
      <c r="G1" s="1209"/>
      <c r="H1" s="1209"/>
      <c r="I1" s="1209"/>
      <c r="J1" s="1209"/>
      <c r="K1" s="1209"/>
      <c r="L1" s="1209"/>
      <c r="M1" s="1209"/>
      <c r="N1" s="1209"/>
      <c r="O1" s="1209"/>
      <c r="P1" s="1209"/>
      <c r="Q1" s="1209"/>
      <c r="R1" s="1209"/>
      <c r="S1" s="1209"/>
      <c r="T1" s="1209"/>
      <c r="U1" s="1209"/>
      <c r="V1" s="1209"/>
      <c r="W1" s="1209"/>
      <c r="X1" s="1209"/>
      <c r="Y1" s="1209"/>
      <c r="Z1" s="1209"/>
      <c r="AA1" s="1209"/>
      <c r="AB1" s="1209"/>
      <c r="AC1" s="1209"/>
      <c r="AD1" s="1209"/>
      <c r="AE1" s="231"/>
      <c r="AF1" s="981"/>
    </row>
    <row r="2" spans="1:32" ht="18.75" x14ac:dyDescent="0.25">
      <c r="A2" s="1210" t="s">
        <v>367</v>
      </c>
      <c r="B2" s="1211"/>
      <c r="C2" s="1211"/>
      <c r="D2" s="1211"/>
      <c r="E2" s="1211"/>
      <c r="F2" s="1211"/>
      <c r="G2" s="1211"/>
      <c r="H2" s="1211"/>
      <c r="I2" s="1211"/>
      <c r="J2" s="1211"/>
      <c r="K2" s="1211"/>
      <c r="L2" s="1211"/>
      <c r="M2" s="1211"/>
      <c r="N2" s="1211"/>
      <c r="O2" s="1211"/>
      <c r="P2" s="1211"/>
      <c r="Q2" s="1211"/>
      <c r="R2" s="1211"/>
      <c r="S2" s="1211"/>
      <c r="T2" s="1211"/>
      <c r="U2" s="1211"/>
      <c r="V2" s="1211"/>
      <c r="W2" s="1211"/>
      <c r="X2" s="1211"/>
      <c r="Y2" s="1211"/>
      <c r="Z2" s="1211"/>
      <c r="AA2" s="1211"/>
      <c r="AB2" s="1211"/>
      <c r="AC2" s="1211"/>
      <c r="AD2" s="1211"/>
      <c r="AE2" s="231"/>
      <c r="AF2" s="981" t="s">
        <v>368</v>
      </c>
    </row>
    <row r="3" spans="1:32" ht="22.5" x14ac:dyDescent="0.25">
      <c r="A3" s="232"/>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1"/>
      <c r="AF3" s="981"/>
    </row>
    <row r="4" spans="1:32" ht="33" x14ac:dyDescent="0.25">
      <c r="A4" s="1212" t="s">
        <v>369</v>
      </c>
      <c r="B4" s="1212" t="s">
        <v>370</v>
      </c>
      <c r="C4" s="1214" t="s">
        <v>656</v>
      </c>
      <c r="D4" s="1214" t="s">
        <v>657</v>
      </c>
      <c r="E4" s="1214" t="s">
        <v>658</v>
      </c>
      <c r="F4" s="1216" t="s">
        <v>371</v>
      </c>
      <c r="G4" s="1216"/>
      <c r="H4" s="1216" t="s">
        <v>7</v>
      </c>
      <c r="I4" s="1216"/>
      <c r="J4" s="1216" t="s">
        <v>8</v>
      </c>
      <c r="K4" s="1216"/>
      <c r="L4" s="1216" t="s">
        <v>9</v>
      </c>
      <c r="M4" s="1216"/>
      <c r="N4" s="1216" t="s">
        <v>10</v>
      </c>
      <c r="O4" s="1216"/>
      <c r="P4" s="1216" t="s">
        <v>11</v>
      </c>
      <c r="Q4" s="1216"/>
      <c r="R4" s="1216" t="s">
        <v>12</v>
      </c>
      <c r="S4" s="1216"/>
      <c r="T4" s="1216" t="s">
        <v>13</v>
      </c>
      <c r="U4" s="1216"/>
      <c r="V4" s="1216" t="s">
        <v>14</v>
      </c>
      <c r="W4" s="1216"/>
      <c r="X4" s="1216" t="s">
        <v>15</v>
      </c>
      <c r="Y4" s="1216"/>
      <c r="Z4" s="1216" t="s">
        <v>16</v>
      </c>
      <c r="AA4" s="1216"/>
      <c r="AB4" s="1216" t="s">
        <v>17</v>
      </c>
      <c r="AC4" s="1216"/>
      <c r="AD4" s="1216" t="s">
        <v>18</v>
      </c>
      <c r="AE4" s="1216"/>
      <c r="AF4" s="990" t="s">
        <v>19</v>
      </c>
    </row>
    <row r="5" spans="1:32" ht="56.25" x14ac:dyDescent="0.25">
      <c r="A5" s="1213"/>
      <c r="B5" s="1213"/>
      <c r="C5" s="1215"/>
      <c r="D5" s="1215"/>
      <c r="E5" s="1215"/>
      <c r="F5" s="234" t="s">
        <v>20</v>
      </c>
      <c r="G5" s="234" t="s">
        <v>21</v>
      </c>
      <c r="H5" s="234" t="s">
        <v>165</v>
      </c>
      <c r="I5" s="234" t="s">
        <v>23</v>
      </c>
      <c r="J5" s="234" t="s">
        <v>165</v>
      </c>
      <c r="K5" s="234" t="s">
        <v>23</v>
      </c>
      <c r="L5" s="234" t="s">
        <v>165</v>
      </c>
      <c r="M5" s="234" t="s">
        <v>23</v>
      </c>
      <c r="N5" s="234" t="s">
        <v>165</v>
      </c>
      <c r="O5" s="234" t="s">
        <v>23</v>
      </c>
      <c r="P5" s="234" t="s">
        <v>165</v>
      </c>
      <c r="Q5" s="234" t="s">
        <v>23</v>
      </c>
      <c r="R5" s="234" t="s">
        <v>165</v>
      </c>
      <c r="S5" s="234" t="s">
        <v>23</v>
      </c>
      <c r="T5" s="234" t="s">
        <v>165</v>
      </c>
      <c r="U5" s="234" t="s">
        <v>23</v>
      </c>
      <c r="V5" s="234" t="s">
        <v>165</v>
      </c>
      <c r="W5" s="234" t="s">
        <v>23</v>
      </c>
      <c r="X5" s="234" t="s">
        <v>165</v>
      </c>
      <c r="Y5" s="234" t="s">
        <v>23</v>
      </c>
      <c r="Z5" s="234" t="s">
        <v>165</v>
      </c>
      <c r="AA5" s="234" t="s">
        <v>23</v>
      </c>
      <c r="AB5" s="234" t="s">
        <v>165</v>
      </c>
      <c r="AC5" s="234" t="s">
        <v>23</v>
      </c>
      <c r="AD5" s="234" t="s">
        <v>165</v>
      </c>
      <c r="AE5" s="234" t="s">
        <v>23</v>
      </c>
      <c r="AF5" s="982"/>
    </row>
    <row r="6" spans="1:32" ht="18.75" x14ac:dyDescent="0.25">
      <c r="A6" s="1220" t="s">
        <v>372</v>
      </c>
      <c r="B6" s="1221"/>
      <c r="C6" s="1221"/>
      <c r="D6" s="1221"/>
      <c r="E6" s="1221"/>
      <c r="F6" s="1221"/>
      <c r="G6" s="1221"/>
      <c r="H6" s="1221"/>
      <c r="I6" s="1221"/>
      <c r="J6" s="1221"/>
      <c r="K6" s="1221"/>
      <c r="L6" s="1221"/>
      <c r="M6" s="1221"/>
      <c r="N6" s="1221"/>
      <c r="O6" s="1221"/>
      <c r="P6" s="1221"/>
      <c r="Q6" s="1221"/>
      <c r="R6" s="1221"/>
      <c r="S6" s="1221"/>
      <c r="T6" s="1221"/>
      <c r="U6" s="1221"/>
      <c r="V6" s="1221"/>
      <c r="W6" s="1221"/>
      <c r="X6" s="1221"/>
      <c r="Y6" s="1221"/>
      <c r="Z6" s="1221"/>
      <c r="AA6" s="1221"/>
      <c r="AB6" s="1221"/>
      <c r="AC6" s="1221"/>
      <c r="AD6" s="1221"/>
      <c r="AE6" s="1221"/>
      <c r="AF6" s="1222"/>
    </row>
    <row r="7" spans="1:32" ht="18.75" x14ac:dyDescent="0.25">
      <c r="A7" s="1217" t="s">
        <v>167</v>
      </c>
      <c r="B7" s="1218"/>
      <c r="C7" s="1218"/>
      <c r="D7" s="1218"/>
      <c r="E7" s="1218"/>
      <c r="F7" s="1218"/>
      <c r="G7" s="1218"/>
      <c r="H7" s="1218"/>
      <c r="I7" s="1218"/>
      <c r="J7" s="1218"/>
      <c r="K7" s="1218"/>
      <c r="L7" s="1218"/>
      <c r="M7" s="1218"/>
      <c r="N7" s="1218"/>
      <c r="O7" s="1218"/>
      <c r="P7" s="1218"/>
      <c r="Q7" s="1218"/>
      <c r="R7" s="1218"/>
      <c r="S7" s="1218"/>
      <c r="T7" s="1218"/>
      <c r="U7" s="1218"/>
      <c r="V7" s="1218"/>
      <c r="W7" s="1218"/>
      <c r="X7" s="1218"/>
      <c r="Y7" s="1218"/>
      <c r="Z7" s="1218"/>
      <c r="AA7" s="1218"/>
      <c r="AB7" s="1218"/>
      <c r="AC7" s="1218"/>
      <c r="AD7" s="1218"/>
      <c r="AE7" s="1218"/>
      <c r="AF7" s="1219"/>
    </row>
    <row r="8" spans="1:32" ht="16.5" x14ac:dyDescent="0.25">
      <c r="A8" s="1223" t="s">
        <v>373</v>
      </c>
      <c r="B8" s="1224"/>
      <c r="C8" s="1224"/>
      <c r="D8" s="1224"/>
      <c r="E8" s="1224"/>
      <c r="F8" s="1224"/>
      <c r="G8" s="1224"/>
      <c r="H8" s="1224"/>
      <c r="I8" s="1224"/>
      <c r="J8" s="1224"/>
      <c r="K8" s="1224"/>
      <c r="L8" s="1224"/>
      <c r="M8" s="1224"/>
      <c r="N8" s="1224"/>
      <c r="O8" s="1224"/>
      <c r="P8" s="1224"/>
      <c r="Q8" s="1224"/>
      <c r="R8" s="1224"/>
      <c r="S8" s="1224"/>
      <c r="T8" s="1224"/>
      <c r="U8" s="1224"/>
      <c r="V8" s="1224"/>
      <c r="W8" s="1224"/>
      <c r="X8" s="1224"/>
      <c r="Y8" s="1224"/>
      <c r="Z8" s="1224"/>
      <c r="AA8" s="1224"/>
      <c r="AB8" s="1224"/>
      <c r="AC8" s="1224"/>
      <c r="AD8" s="1224"/>
      <c r="AE8" s="1224"/>
      <c r="AF8" s="1225"/>
    </row>
    <row r="9" spans="1:32" ht="16.5" x14ac:dyDescent="0.25">
      <c r="A9" s="235" t="s">
        <v>31</v>
      </c>
      <c r="B9" s="236">
        <f>B10+B11+B12+B14</f>
        <v>0</v>
      </c>
      <c r="C9" s="236">
        <f>C10+C11+C12+C14</f>
        <v>0</v>
      </c>
      <c r="D9" s="236">
        <f>D10+D11+D12+D14</f>
        <v>0</v>
      </c>
      <c r="E9" s="236">
        <f>E10+E11+E12+E14</f>
        <v>0</v>
      </c>
      <c r="F9" s="236">
        <f>IFERROR(E9/B9*100,0)</f>
        <v>0</v>
      </c>
      <c r="G9" s="236">
        <f>IFERROR(E9/C9*100,0)</f>
        <v>0</v>
      </c>
      <c r="H9" s="236"/>
      <c r="I9" s="236"/>
      <c r="J9" s="236"/>
      <c r="K9" s="236"/>
      <c r="L9" s="236"/>
      <c r="M9" s="236"/>
      <c r="N9" s="236"/>
      <c r="O9" s="236"/>
      <c r="P9" s="236"/>
      <c r="Q9" s="236"/>
      <c r="R9" s="236"/>
      <c r="S9" s="236"/>
      <c r="T9" s="236"/>
      <c r="U9" s="236"/>
      <c r="V9" s="236"/>
      <c r="W9" s="236"/>
      <c r="X9" s="236"/>
      <c r="Y9" s="236"/>
      <c r="Z9" s="236"/>
      <c r="AA9" s="236"/>
      <c r="AB9" s="236"/>
      <c r="AC9" s="236"/>
      <c r="AD9" s="236"/>
      <c r="AE9" s="236"/>
      <c r="AF9" s="1226"/>
    </row>
    <row r="10" spans="1:32" ht="16.5" x14ac:dyDescent="0.25">
      <c r="A10" s="237" t="s">
        <v>169</v>
      </c>
      <c r="B10" s="238"/>
      <c r="C10" s="239"/>
      <c r="D10" s="239"/>
      <c r="E10" s="239"/>
      <c r="F10" s="238"/>
      <c r="G10" s="238"/>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1227"/>
    </row>
    <row r="11" spans="1:32" ht="16.5" x14ac:dyDescent="0.25">
      <c r="A11" s="237" t="s">
        <v>32</v>
      </c>
      <c r="B11" s="238"/>
      <c r="C11" s="239"/>
      <c r="D11" s="239"/>
      <c r="E11" s="239"/>
      <c r="F11" s="238"/>
      <c r="G11" s="238"/>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1227"/>
    </row>
    <row r="12" spans="1:32" ht="16.5" x14ac:dyDescent="0.25">
      <c r="A12" s="237" t="s">
        <v>33</v>
      </c>
      <c r="B12" s="238"/>
      <c r="C12" s="239"/>
      <c r="D12" s="239"/>
      <c r="E12" s="239"/>
      <c r="F12" s="238"/>
      <c r="G12" s="238"/>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1227"/>
    </row>
    <row r="13" spans="1:32" ht="33" x14ac:dyDescent="0.25">
      <c r="A13" s="240" t="s">
        <v>174</v>
      </c>
      <c r="B13" s="241"/>
      <c r="C13" s="242"/>
      <c r="D13" s="242"/>
      <c r="E13" s="242"/>
      <c r="F13" s="241"/>
      <c r="G13" s="241"/>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1227"/>
    </row>
    <row r="14" spans="1:32" ht="16.5" x14ac:dyDescent="0.25">
      <c r="A14" s="243" t="s">
        <v>374</v>
      </c>
      <c r="B14" s="238"/>
      <c r="C14" s="239"/>
      <c r="D14" s="239"/>
      <c r="E14" s="239"/>
      <c r="F14" s="238"/>
      <c r="G14" s="238"/>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1228"/>
    </row>
    <row r="15" spans="1:32" ht="16.5" x14ac:dyDescent="0.25">
      <c r="A15" s="1223" t="s">
        <v>375</v>
      </c>
      <c r="B15" s="1224"/>
      <c r="C15" s="1224"/>
      <c r="D15" s="1224"/>
      <c r="E15" s="1224"/>
      <c r="F15" s="1224"/>
      <c r="G15" s="1224"/>
      <c r="H15" s="1224"/>
      <c r="I15" s="1224"/>
      <c r="J15" s="1224"/>
      <c r="K15" s="1224"/>
      <c r="L15" s="1224"/>
      <c r="M15" s="1224"/>
      <c r="N15" s="1224"/>
      <c r="O15" s="1224"/>
      <c r="P15" s="1224"/>
      <c r="Q15" s="1224"/>
      <c r="R15" s="1224"/>
      <c r="S15" s="1224"/>
      <c r="T15" s="1224"/>
      <c r="U15" s="1224"/>
      <c r="V15" s="1224"/>
      <c r="W15" s="1224"/>
      <c r="X15" s="1224"/>
      <c r="Y15" s="1224"/>
      <c r="Z15" s="1224"/>
      <c r="AA15" s="1224"/>
      <c r="AB15" s="1224"/>
      <c r="AC15" s="1224"/>
      <c r="AD15" s="1224"/>
      <c r="AE15" s="1224"/>
      <c r="AF15" s="1225"/>
    </row>
    <row r="16" spans="1:32" ht="16.5" x14ac:dyDescent="0.25">
      <c r="A16" s="235" t="s">
        <v>31</v>
      </c>
      <c r="B16" s="236">
        <f>B17+B18+B19+B21</f>
        <v>0</v>
      </c>
      <c r="C16" s="236">
        <f>C17+C18+C19+C21</f>
        <v>0</v>
      </c>
      <c r="D16" s="236">
        <f>D17+D18+D19+D21</f>
        <v>0</v>
      </c>
      <c r="E16" s="236">
        <f>E17+E18+E19+E21</f>
        <v>0</v>
      </c>
      <c r="F16" s="236">
        <f>IFERROR(E16/B16*100,0)</f>
        <v>0</v>
      </c>
      <c r="G16" s="236">
        <f>IFERROR(E16/C16*100,0)</f>
        <v>0</v>
      </c>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1229"/>
    </row>
    <row r="17" spans="1:32" ht="16.5" x14ac:dyDescent="0.25">
      <c r="A17" s="237" t="s">
        <v>169</v>
      </c>
      <c r="B17" s="238"/>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1229"/>
    </row>
    <row r="18" spans="1:32" ht="16.5" x14ac:dyDescent="0.25">
      <c r="A18" s="237" t="s">
        <v>32</v>
      </c>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1229"/>
    </row>
    <row r="19" spans="1:32" ht="16.5" x14ac:dyDescent="0.25">
      <c r="A19" s="244" t="s">
        <v>33</v>
      </c>
      <c r="B19" s="238"/>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1229"/>
    </row>
    <row r="20" spans="1:32" ht="33" x14ac:dyDescent="0.25">
      <c r="A20" s="240" t="s">
        <v>174</v>
      </c>
      <c r="B20" s="241"/>
      <c r="C20" s="238"/>
      <c r="D20" s="241"/>
      <c r="E20" s="241"/>
      <c r="F20" s="241"/>
      <c r="G20" s="241"/>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1229"/>
    </row>
    <row r="21" spans="1:32" ht="16.5" x14ac:dyDescent="0.25">
      <c r="A21" s="243" t="s">
        <v>374</v>
      </c>
      <c r="B21" s="238"/>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1229"/>
    </row>
    <row r="22" spans="1:32" ht="18.75" x14ac:dyDescent="0.25">
      <c r="A22" s="1217" t="s">
        <v>54</v>
      </c>
      <c r="B22" s="1218"/>
      <c r="C22" s="1218"/>
      <c r="D22" s="1218"/>
      <c r="E22" s="1218"/>
      <c r="F22" s="1218"/>
      <c r="G22" s="1218"/>
      <c r="H22" s="1218"/>
      <c r="I22" s="1218"/>
      <c r="J22" s="1218"/>
      <c r="K22" s="1218"/>
      <c r="L22" s="1218"/>
      <c r="M22" s="1218"/>
      <c r="N22" s="1218"/>
      <c r="O22" s="1218"/>
      <c r="P22" s="1218"/>
      <c r="Q22" s="1218"/>
      <c r="R22" s="1218"/>
      <c r="S22" s="1218"/>
      <c r="T22" s="1218"/>
      <c r="U22" s="1218"/>
      <c r="V22" s="1218"/>
      <c r="W22" s="1218"/>
      <c r="X22" s="1218"/>
      <c r="Y22" s="1218"/>
      <c r="Z22" s="1218"/>
      <c r="AA22" s="1218"/>
      <c r="AB22" s="1218"/>
      <c r="AC22" s="1218"/>
      <c r="AD22" s="1218"/>
      <c r="AE22" s="1218"/>
      <c r="AF22" s="983"/>
    </row>
    <row r="23" spans="1:32" ht="16.5" x14ac:dyDescent="0.25">
      <c r="A23" s="1223" t="s">
        <v>376</v>
      </c>
      <c r="B23" s="1224"/>
      <c r="C23" s="1224"/>
      <c r="D23" s="1224"/>
      <c r="E23" s="1224"/>
      <c r="F23" s="1224"/>
      <c r="G23" s="1224"/>
      <c r="H23" s="1224"/>
      <c r="I23" s="1224"/>
      <c r="J23" s="1224"/>
      <c r="K23" s="1224"/>
      <c r="L23" s="1224"/>
      <c r="M23" s="1224"/>
      <c r="N23" s="1224"/>
      <c r="O23" s="1224"/>
      <c r="P23" s="1224"/>
      <c r="Q23" s="1224"/>
      <c r="R23" s="1224"/>
      <c r="S23" s="1224"/>
      <c r="T23" s="1224"/>
      <c r="U23" s="1224"/>
      <c r="V23" s="1224"/>
      <c r="W23" s="1224"/>
      <c r="X23" s="1224"/>
      <c r="Y23" s="1224"/>
      <c r="Z23" s="1224"/>
      <c r="AA23" s="1224"/>
      <c r="AB23" s="1224"/>
      <c r="AC23" s="1224"/>
      <c r="AD23" s="1224"/>
      <c r="AE23" s="1224"/>
      <c r="AF23" s="1225"/>
    </row>
    <row r="24" spans="1:32" ht="16.5" x14ac:dyDescent="0.25">
      <c r="A24" s="245" t="s">
        <v>31</v>
      </c>
      <c r="B24" s="246">
        <f t="shared" ref="B24:AE24" si="0">B25+B26+B27+B29</f>
        <v>435.9</v>
      </c>
      <c r="C24" s="246">
        <f t="shared" si="0"/>
        <v>417.67999999999995</v>
      </c>
      <c r="D24" s="246">
        <f t="shared" si="0"/>
        <v>335.45</v>
      </c>
      <c r="E24" s="246">
        <f t="shared" si="0"/>
        <v>335.45</v>
      </c>
      <c r="F24" s="236">
        <f>IFERROR(E24/B24*100,0)</f>
        <v>76.955723789860059</v>
      </c>
      <c r="G24" s="236">
        <f>IFERROR(E24/C24*100,0)</f>
        <v>80.312679563302055</v>
      </c>
      <c r="H24" s="246">
        <f t="shared" si="0"/>
        <v>0</v>
      </c>
      <c r="I24" s="246">
        <f t="shared" si="0"/>
        <v>0</v>
      </c>
      <c r="J24" s="246">
        <f t="shared" si="0"/>
        <v>0.9</v>
      </c>
      <c r="K24" s="246">
        <f t="shared" si="0"/>
        <v>0</v>
      </c>
      <c r="L24" s="246">
        <f t="shared" si="0"/>
        <v>0.9</v>
      </c>
      <c r="M24" s="246">
        <f t="shared" si="0"/>
        <v>0</v>
      </c>
      <c r="N24" s="246">
        <f t="shared" si="0"/>
        <v>0.9</v>
      </c>
      <c r="O24" s="246">
        <f t="shared" si="0"/>
        <v>0</v>
      </c>
      <c r="P24" s="246">
        <f t="shared" si="0"/>
        <v>0.9</v>
      </c>
      <c r="Q24" s="246">
        <f t="shared" si="0"/>
        <v>0</v>
      </c>
      <c r="R24" s="246">
        <f t="shared" si="0"/>
        <v>0.9</v>
      </c>
      <c r="S24" s="246">
        <f t="shared" si="0"/>
        <v>0.25</v>
      </c>
      <c r="T24" s="246">
        <f t="shared" si="0"/>
        <v>0.9</v>
      </c>
      <c r="U24" s="246">
        <f t="shared" si="0"/>
        <v>0.27</v>
      </c>
      <c r="V24" s="246">
        <f t="shared" si="0"/>
        <v>334.48</v>
      </c>
      <c r="W24" s="246">
        <f t="shared" si="0"/>
        <v>0.54</v>
      </c>
      <c r="X24" s="246">
        <f t="shared" si="0"/>
        <v>0.9</v>
      </c>
      <c r="Y24" s="246">
        <f t="shared" si="0"/>
        <v>333.85</v>
      </c>
      <c r="Z24" s="246">
        <f t="shared" si="0"/>
        <v>0.9</v>
      </c>
      <c r="AA24" s="246">
        <f t="shared" si="0"/>
        <v>0.27</v>
      </c>
      <c r="AB24" s="246">
        <f t="shared" si="0"/>
        <v>76</v>
      </c>
      <c r="AC24" s="246">
        <f t="shared" si="0"/>
        <v>0.27</v>
      </c>
      <c r="AD24" s="246">
        <f t="shared" si="0"/>
        <v>18.22</v>
      </c>
      <c r="AE24" s="246">
        <f t="shared" si="0"/>
        <v>0</v>
      </c>
      <c r="AF24" s="1230" t="s">
        <v>659</v>
      </c>
    </row>
    <row r="25" spans="1:32" ht="16.5" x14ac:dyDescent="0.25">
      <c r="A25" s="244" t="s">
        <v>169</v>
      </c>
      <c r="B25" s="238"/>
      <c r="C25" s="238"/>
      <c r="D25" s="238"/>
      <c r="E25" s="238"/>
      <c r="F25" s="236"/>
      <c r="G25" s="236"/>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1231"/>
    </row>
    <row r="26" spans="1:32" ht="16.5" x14ac:dyDescent="0.25">
      <c r="A26" s="244" t="s">
        <v>32</v>
      </c>
      <c r="B26" s="238"/>
      <c r="C26" s="238"/>
      <c r="D26" s="238"/>
      <c r="E26" s="238"/>
      <c r="F26" s="236"/>
      <c r="G26" s="236"/>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1231"/>
    </row>
    <row r="27" spans="1:32" ht="16.5" x14ac:dyDescent="0.25">
      <c r="A27" s="244" t="s">
        <v>33</v>
      </c>
      <c r="B27" s="238">
        <f>H27+J27+L27+N27+P27+R27+T27+V27+X27+Z27+AB27+AD27</f>
        <v>435.9</v>
      </c>
      <c r="C27" s="238">
        <f>H27+J27+L27+N27+P27+R27+T27+V27+X27+Z27+AB27</f>
        <v>417.67999999999995</v>
      </c>
      <c r="D27" s="238">
        <f>E27</f>
        <v>335.45</v>
      </c>
      <c r="E27" s="238">
        <f>I27+K27+M27+O27+Q27+S27+U27+W27+Y27+AA27+AC27+AE27</f>
        <v>335.45</v>
      </c>
      <c r="F27" s="238">
        <f t="shared" ref="F27" si="1">IFERROR(E27/B27*100,0)</f>
        <v>76.955723789860059</v>
      </c>
      <c r="G27" s="238">
        <f t="shared" ref="G27" si="2">IFERROR(E27/C27*100,0)</f>
        <v>80.312679563302055</v>
      </c>
      <c r="H27" s="238"/>
      <c r="I27" s="238"/>
      <c r="J27" s="238">
        <v>0.9</v>
      </c>
      <c r="K27" s="238"/>
      <c r="L27" s="238">
        <v>0.9</v>
      </c>
      <c r="M27" s="238"/>
      <c r="N27" s="238">
        <v>0.9</v>
      </c>
      <c r="O27" s="238"/>
      <c r="P27" s="238">
        <v>0.9</v>
      </c>
      <c r="Q27" s="238"/>
      <c r="R27" s="238">
        <v>0.9</v>
      </c>
      <c r="S27" s="238">
        <v>0.25</v>
      </c>
      <c r="T27" s="238">
        <v>0.9</v>
      </c>
      <c r="U27" s="238">
        <v>0.27</v>
      </c>
      <c r="V27" s="238">
        <v>334.48</v>
      </c>
      <c r="W27" s="238">
        <v>0.54</v>
      </c>
      <c r="X27" s="238">
        <v>0.9</v>
      </c>
      <c r="Y27" s="238">
        <v>333.85</v>
      </c>
      <c r="Z27" s="238">
        <v>0.9</v>
      </c>
      <c r="AA27" s="238">
        <v>0.27</v>
      </c>
      <c r="AB27" s="238">
        <v>76</v>
      </c>
      <c r="AC27" s="238">
        <v>0.27</v>
      </c>
      <c r="AD27" s="238">
        <v>18.22</v>
      </c>
      <c r="AE27" s="238"/>
      <c r="AF27" s="1231"/>
    </row>
    <row r="28" spans="1:32" ht="33" x14ac:dyDescent="0.25">
      <c r="A28" s="240" t="s">
        <v>174</v>
      </c>
      <c r="B28" s="241"/>
      <c r="C28" s="238"/>
      <c r="D28" s="238"/>
      <c r="E28" s="238"/>
      <c r="F28" s="238"/>
      <c r="G28" s="238"/>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1231"/>
    </row>
    <row r="29" spans="1:32" ht="16.5" x14ac:dyDescent="0.25">
      <c r="A29" s="243" t="s">
        <v>374</v>
      </c>
      <c r="B29" s="238"/>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1232"/>
    </row>
    <row r="30" spans="1:32" ht="16.5" x14ac:dyDescent="0.25">
      <c r="A30" s="1223" t="s">
        <v>377</v>
      </c>
      <c r="B30" s="1224"/>
      <c r="C30" s="1224"/>
      <c r="D30" s="1224"/>
      <c r="E30" s="1224"/>
      <c r="F30" s="1224"/>
      <c r="G30" s="1224"/>
      <c r="H30" s="1224"/>
      <c r="I30" s="1224"/>
      <c r="J30" s="1224"/>
      <c r="K30" s="1224"/>
      <c r="L30" s="1224"/>
      <c r="M30" s="1224"/>
      <c r="N30" s="1224"/>
      <c r="O30" s="1224"/>
      <c r="P30" s="1224"/>
      <c r="Q30" s="1224"/>
      <c r="R30" s="1224"/>
      <c r="S30" s="1224"/>
      <c r="T30" s="1224"/>
      <c r="U30" s="1224"/>
      <c r="V30" s="1224"/>
      <c r="W30" s="1224"/>
      <c r="X30" s="1224"/>
      <c r="Y30" s="1224"/>
      <c r="Z30" s="1224"/>
      <c r="AA30" s="1224"/>
      <c r="AB30" s="1224"/>
      <c r="AC30" s="1224"/>
      <c r="AD30" s="1224"/>
      <c r="AE30" s="1224"/>
      <c r="AF30" s="1225"/>
    </row>
    <row r="31" spans="1:32" ht="16.5" x14ac:dyDescent="0.25">
      <c r="A31" s="248" t="s">
        <v>31</v>
      </c>
      <c r="B31" s="246">
        <f>B32+B33+B34+B36</f>
        <v>0</v>
      </c>
      <c r="C31" s="246">
        <f>C32+C33+C34+C36</f>
        <v>0</v>
      </c>
      <c r="D31" s="246">
        <f>D32+D33+D34+D36</f>
        <v>0</v>
      </c>
      <c r="E31" s="246">
        <f>E32+E33+E34+E36</f>
        <v>0</v>
      </c>
      <c r="F31" s="236">
        <f>IFERROR(E31/B31*100,0)</f>
        <v>0</v>
      </c>
      <c r="G31" s="236">
        <f>IFERROR(E31/C31*100,0)</f>
        <v>0</v>
      </c>
      <c r="H31" s="246">
        <f>H32+H33+H34+H36</f>
        <v>0</v>
      </c>
      <c r="I31" s="246">
        <f t="shared" ref="I31:AE31" si="3">I32+I33+I34+I36</f>
        <v>0</v>
      </c>
      <c r="J31" s="246">
        <f t="shared" si="3"/>
        <v>0</v>
      </c>
      <c r="K31" s="246">
        <f t="shared" si="3"/>
        <v>0</v>
      </c>
      <c r="L31" s="246">
        <f t="shared" si="3"/>
        <v>0</v>
      </c>
      <c r="M31" s="246">
        <f t="shared" si="3"/>
        <v>0</v>
      </c>
      <c r="N31" s="246">
        <f t="shared" si="3"/>
        <v>0</v>
      </c>
      <c r="O31" s="246">
        <f t="shared" si="3"/>
        <v>0</v>
      </c>
      <c r="P31" s="246">
        <f t="shared" si="3"/>
        <v>0</v>
      </c>
      <c r="Q31" s="246">
        <f t="shared" si="3"/>
        <v>0</v>
      </c>
      <c r="R31" s="246">
        <f t="shared" si="3"/>
        <v>0</v>
      </c>
      <c r="S31" s="246">
        <f t="shared" si="3"/>
        <v>0</v>
      </c>
      <c r="T31" s="246">
        <f t="shared" si="3"/>
        <v>0</v>
      </c>
      <c r="U31" s="246">
        <f t="shared" si="3"/>
        <v>0</v>
      </c>
      <c r="V31" s="246">
        <f t="shared" si="3"/>
        <v>0</v>
      </c>
      <c r="W31" s="246">
        <f t="shared" si="3"/>
        <v>0</v>
      </c>
      <c r="X31" s="246">
        <f t="shared" si="3"/>
        <v>0</v>
      </c>
      <c r="Y31" s="246">
        <f t="shared" si="3"/>
        <v>0</v>
      </c>
      <c r="Z31" s="246">
        <f t="shared" si="3"/>
        <v>0</v>
      </c>
      <c r="AA31" s="246">
        <f t="shared" si="3"/>
        <v>0</v>
      </c>
      <c r="AB31" s="246">
        <f t="shared" si="3"/>
        <v>0</v>
      </c>
      <c r="AC31" s="246">
        <f t="shared" si="3"/>
        <v>0</v>
      </c>
      <c r="AD31" s="246">
        <f t="shared" si="3"/>
        <v>0</v>
      </c>
      <c r="AE31" s="246">
        <f t="shared" si="3"/>
        <v>0</v>
      </c>
      <c r="AF31" s="247"/>
    </row>
    <row r="32" spans="1:32" ht="16.5" x14ac:dyDescent="0.25">
      <c r="A32" s="244" t="s">
        <v>169</v>
      </c>
      <c r="B32" s="238"/>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47"/>
    </row>
    <row r="33" spans="1:32" ht="16.5" x14ac:dyDescent="0.25">
      <c r="A33" s="244" t="s">
        <v>32</v>
      </c>
      <c r="B33" s="238"/>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47"/>
    </row>
    <row r="34" spans="1:32" ht="16.5" x14ac:dyDescent="0.25">
      <c r="A34" s="244" t="s">
        <v>33</v>
      </c>
      <c r="B34" s="238"/>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47"/>
    </row>
    <row r="35" spans="1:32" ht="33" x14ac:dyDescent="0.25">
      <c r="A35" s="240" t="s">
        <v>174</v>
      </c>
      <c r="B35" s="241"/>
      <c r="C35" s="238"/>
      <c r="D35" s="241"/>
      <c r="E35" s="241"/>
      <c r="F35" s="238"/>
      <c r="G35" s="238"/>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7"/>
    </row>
    <row r="36" spans="1:32" ht="16.5" x14ac:dyDescent="0.25">
      <c r="A36" s="243" t="s">
        <v>374</v>
      </c>
      <c r="B36" s="238"/>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47"/>
    </row>
    <row r="37" spans="1:32" ht="16.5" x14ac:dyDescent="0.25">
      <c r="A37" s="249" t="s">
        <v>53</v>
      </c>
      <c r="B37" s="238"/>
      <c r="C37" s="238"/>
      <c r="D37" s="238"/>
      <c r="E37" s="238"/>
      <c r="F37" s="238"/>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47"/>
    </row>
    <row r="38" spans="1:32" ht="16.5" x14ac:dyDescent="0.25">
      <c r="A38" s="250" t="s">
        <v>31</v>
      </c>
      <c r="B38" s="246">
        <f>B39+B40+B41+B43</f>
        <v>435.9</v>
      </c>
      <c r="C38" s="246">
        <f>C39+C40+C41+C43</f>
        <v>417.67999999999995</v>
      </c>
      <c r="D38" s="246">
        <f>D39+D40+D41+D43</f>
        <v>335.45</v>
      </c>
      <c r="E38" s="246">
        <f>E39+E40+E41+E43</f>
        <v>335.45</v>
      </c>
      <c r="F38" s="236">
        <f>IFERROR(E38/B38*100,0)</f>
        <v>76.955723789860059</v>
      </c>
      <c r="G38" s="236">
        <f>IFERROR(E38/C38*100,0)</f>
        <v>80.312679563302055</v>
      </c>
      <c r="H38" s="246">
        <f t="shared" ref="H38:AE38" si="4">H39+H40+H41+H43</f>
        <v>0</v>
      </c>
      <c r="I38" s="246">
        <f t="shared" si="4"/>
        <v>0</v>
      </c>
      <c r="J38" s="246">
        <f t="shared" si="4"/>
        <v>0.9</v>
      </c>
      <c r="K38" s="246">
        <f t="shared" si="4"/>
        <v>0</v>
      </c>
      <c r="L38" s="246">
        <f t="shared" si="4"/>
        <v>0.9</v>
      </c>
      <c r="M38" s="246">
        <f t="shared" si="4"/>
        <v>0</v>
      </c>
      <c r="N38" s="246">
        <f t="shared" si="4"/>
        <v>0.9</v>
      </c>
      <c r="O38" s="246">
        <f t="shared" si="4"/>
        <v>0</v>
      </c>
      <c r="P38" s="246">
        <f t="shared" si="4"/>
        <v>0.9</v>
      </c>
      <c r="Q38" s="246">
        <f t="shared" si="4"/>
        <v>0</v>
      </c>
      <c r="R38" s="246">
        <f t="shared" si="4"/>
        <v>0.9</v>
      </c>
      <c r="S38" s="246">
        <f t="shared" si="4"/>
        <v>0.25</v>
      </c>
      <c r="T38" s="246">
        <f t="shared" si="4"/>
        <v>0.9</v>
      </c>
      <c r="U38" s="246">
        <f t="shared" si="4"/>
        <v>0.27</v>
      </c>
      <c r="V38" s="246">
        <f t="shared" si="4"/>
        <v>334.48</v>
      </c>
      <c r="W38" s="246">
        <f t="shared" si="4"/>
        <v>0.54</v>
      </c>
      <c r="X38" s="246">
        <f t="shared" si="4"/>
        <v>0.9</v>
      </c>
      <c r="Y38" s="246">
        <f t="shared" si="4"/>
        <v>333.85</v>
      </c>
      <c r="Z38" s="246">
        <f t="shared" si="4"/>
        <v>0.9</v>
      </c>
      <c r="AA38" s="246">
        <f t="shared" si="4"/>
        <v>0.27</v>
      </c>
      <c r="AB38" s="246">
        <f t="shared" si="4"/>
        <v>76</v>
      </c>
      <c r="AC38" s="246">
        <f t="shared" si="4"/>
        <v>0.27</v>
      </c>
      <c r="AD38" s="246">
        <f t="shared" si="4"/>
        <v>18.22</v>
      </c>
      <c r="AE38" s="246">
        <f t="shared" si="4"/>
        <v>0</v>
      </c>
      <c r="AF38" s="1233"/>
    </row>
    <row r="39" spans="1:32" ht="16.5" x14ac:dyDescent="0.25">
      <c r="A39" s="251" t="s">
        <v>169</v>
      </c>
      <c r="B39" s="238"/>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1233"/>
    </row>
    <row r="40" spans="1:32" ht="16.5" x14ac:dyDescent="0.25">
      <c r="A40" s="251" t="s">
        <v>32</v>
      </c>
      <c r="B40" s="238"/>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1233"/>
    </row>
    <row r="41" spans="1:32" ht="16.5" x14ac:dyDescent="0.25">
      <c r="A41" s="251" t="s">
        <v>33</v>
      </c>
      <c r="B41" s="238">
        <f>H41+J41+L41+N41+P41+R41+T41+V41+X41+Z41+AB41+AD41</f>
        <v>435.9</v>
      </c>
      <c r="C41" s="238">
        <f>C27+C12+C34</f>
        <v>417.67999999999995</v>
      </c>
      <c r="D41" s="238">
        <f>D27+D12+D34</f>
        <v>335.45</v>
      </c>
      <c r="E41" s="238">
        <f>E27+E12+E34</f>
        <v>335.45</v>
      </c>
      <c r="F41" s="238">
        <f>IFERROR(E41/B41*100,0)</f>
        <v>76.955723789860059</v>
      </c>
      <c r="G41" s="238">
        <f>IFERROR(E41/C41*100,0)</f>
        <v>80.312679563302055</v>
      </c>
      <c r="H41" s="238">
        <f t="shared" ref="H41:AE41" si="5">H27+H12+H34</f>
        <v>0</v>
      </c>
      <c r="I41" s="238">
        <f t="shared" si="5"/>
        <v>0</v>
      </c>
      <c r="J41" s="238">
        <f t="shared" si="5"/>
        <v>0.9</v>
      </c>
      <c r="K41" s="238">
        <f t="shared" si="5"/>
        <v>0</v>
      </c>
      <c r="L41" s="238">
        <f t="shared" si="5"/>
        <v>0.9</v>
      </c>
      <c r="M41" s="238">
        <f t="shared" si="5"/>
        <v>0</v>
      </c>
      <c r="N41" s="238">
        <f t="shared" si="5"/>
        <v>0.9</v>
      </c>
      <c r="O41" s="238">
        <f t="shared" si="5"/>
        <v>0</v>
      </c>
      <c r="P41" s="238">
        <f t="shared" si="5"/>
        <v>0.9</v>
      </c>
      <c r="Q41" s="238">
        <f t="shared" si="5"/>
        <v>0</v>
      </c>
      <c r="R41" s="238">
        <f t="shared" si="5"/>
        <v>0.9</v>
      </c>
      <c r="S41" s="238">
        <f t="shared" si="5"/>
        <v>0.25</v>
      </c>
      <c r="T41" s="238">
        <f t="shared" si="5"/>
        <v>0.9</v>
      </c>
      <c r="U41" s="238">
        <f t="shared" si="5"/>
        <v>0.27</v>
      </c>
      <c r="V41" s="238">
        <f t="shared" si="5"/>
        <v>334.48</v>
      </c>
      <c r="W41" s="238">
        <f t="shared" si="5"/>
        <v>0.54</v>
      </c>
      <c r="X41" s="238">
        <f t="shared" si="5"/>
        <v>0.9</v>
      </c>
      <c r="Y41" s="238">
        <f t="shared" si="5"/>
        <v>333.85</v>
      </c>
      <c r="Z41" s="238">
        <f t="shared" si="5"/>
        <v>0.9</v>
      </c>
      <c r="AA41" s="238">
        <f t="shared" si="5"/>
        <v>0.27</v>
      </c>
      <c r="AB41" s="238">
        <f t="shared" si="5"/>
        <v>76</v>
      </c>
      <c r="AC41" s="238">
        <f t="shared" si="5"/>
        <v>0.27</v>
      </c>
      <c r="AD41" s="238">
        <f t="shared" si="5"/>
        <v>18.22</v>
      </c>
      <c r="AE41" s="238">
        <f t="shared" si="5"/>
        <v>0</v>
      </c>
      <c r="AF41" s="1233"/>
    </row>
    <row r="42" spans="1:32" ht="33" x14ac:dyDescent="0.25">
      <c r="A42" s="252" t="s">
        <v>174</v>
      </c>
      <c r="B42" s="238"/>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1233"/>
    </row>
    <row r="43" spans="1:32" ht="16.5" x14ac:dyDescent="0.25">
      <c r="A43" s="253" t="s">
        <v>374</v>
      </c>
      <c r="B43" s="238"/>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1233"/>
    </row>
    <row r="44" spans="1:32" ht="18.75" x14ac:dyDescent="0.25">
      <c r="A44" s="1234" t="s">
        <v>378</v>
      </c>
      <c r="B44" s="1235"/>
      <c r="C44" s="1235"/>
      <c r="D44" s="1235"/>
      <c r="E44" s="1235"/>
      <c r="F44" s="1235"/>
      <c r="G44" s="1235"/>
      <c r="H44" s="1235"/>
      <c r="I44" s="1235"/>
      <c r="J44" s="1235"/>
      <c r="K44" s="1235"/>
      <c r="L44" s="1235"/>
      <c r="M44" s="1235"/>
      <c r="N44" s="1235"/>
      <c r="O44" s="1235"/>
      <c r="P44" s="1235"/>
      <c r="Q44" s="1235"/>
      <c r="R44" s="1235"/>
      <c r="S44" s="1235"/>
      <c r="T44" s="1235"/>
      <c r="U44" s="1235"/>
      <c r="V44" s="1235"/>
      <c r="W44" s="1235"/>
      <c r="X44" s="1235"/>
      <c r="Y44" s="1235"/>
      <c r="Z44" s="1235"/>
      <c r="AA44" s="1235"/>
      <c r="AB44" s="1235"/>
      <c r="AC44" s="1235"/>
      <c r="AD44" s="1235"/>
      <c r="AE44" s="1235"/>
      <c r="AF44" s="1236"/>
    </row>
    <row r="45" spans="1:32" ht="18.75" x14ac:dyDescent="0.25">
      <c r="A45" s="1237" t="s">
        <v>54</v>
      </c>
      <c r="B45" s="1238"/>
      <c r="C45" s="1238"/>
      <c r="D45" s="1238"/>
      <c r="E45" s="1238"/>
      <c r="F45" s="1238"/>
      <c r="G45" s="1238"/>
      <c r="H45" s="1238"/>
      <c r="I45" s="1238"/>
      <c r="J45" s="1238"/>
      <c r="K45" s="1238"/>
      <c r="L45" s="1238"/>
      <c r="M45" s="1238"/>
      <c r="N45" s="1238"/>
      <c r="O45" s="1238"/>
      <c r="P45" s="1238"/>
      <c r="Q45" s="1238"/>
      <c r="R45" s="1238"/>
      <c r="S45" s="1238"/>
      <c r="T45" s="1238"/>
      <c r="U45" s="1238"/>
      <c r="V45" s="1238"/>
      <c r="W45" s="1238"/>
      <c r="X45" s="1238"/>
      <c r="Y45" s="1238"/>
      <c r="Z45" s="1238"/>
      <c r="AA45" s="1238"/>
      <c r="AB45" s="1238"/>
      <c r="AC45" s="1238"/>
      <c r="AD45" s="1238"/>
      <c r="AE45" s="1238"/>
      <c r="AF45" s="984"/>
    </row>
    <row r="46" spans="1:32" ht="16.5" x14ac:dyDescent="0.25">
      <c r="A46" s="1223" t="s">
        <v>379</v>
      </c>
      <c r="B46" s="1224"/>
      <c r="C46" s="1224"/>
      <c r="D46" s="1224"/>
      <c r="E46" s="1224"/>
      <c r="F46" s="1224"/>
      <c r="G46" s="1224"/>
      <c r="H46" s="1224"/>
      <c r="I46" s="1224"/>
      <c r="J46" s="1224"/>
      <c r="K46" s="1224"/>
      <c r="L46" s="1224"/>
      <c r="M46" s="1224"/>
      <c r="N46" s="1224"/>
      <c r="O46" s="1224"/>
      <c r="P46" s="1224"/>
      <c r="Q46" s="1224"/>
      <c r="R46" s="1224"/>
      <c r="S46" s="1224"/>
      <c r="T46" s="1224"/>
      <c r="U46" s="1224"/>
      <c r="V46" s="1224"/>
      <c r="W46" s="1224"/>
      <c r="X46" s="1224"/>
      <c r="Y46" s="1224"/>
      <c r="Z46" s="1224"/>
      <c r="AA46" s="1224"/>
      <c r="AB46" s="1224"/>
      <c r="AC46" s="1224"/>
      <c r="AD46" s="1224"/>
      <c r="AE46" s="1224"/>
      <c r="AF46" s="1225"/>
    </row>
    <row r="47" spans="1:32" ht="16.5" x14ac:dyDescent="0.25">
      <c r="A47" s="254" t="s">
        <v>31</v>
      </c>
      <c r="B47" s="246">
        <f>B48+B49+B50+B52</f>
        <v>159.9</v>
      </c>
      <c r="C47" s="246">
        <f>C48+C49+C50+C52</f>
        <v>100.77</v>
      </c>
      <c r="D47" s="246">
        <f>D48+D49+D50+D52</f>
        <v>124.15684999999999</v>
      </c>
      <c r="E47" s="246">
        <f>E48+E49+E50+E52</f>
        <v>124.15684999999999</v>
      </c>
      <c r="F47" s="236">
        <f>IFERROR(E47/B47*100,0)</f>
        <v>77.646560350218877</v>
      </c>
      <c r="G47" s="236">
        <f>IFERROR(E47/C47*100,0)</f>
        <v>123.2081472660514</v>
      </c>
      <c r="H47" s="246">
        <f t="shared" ref="H47:AE47" si="6">H48+H49+H50+H52</f>
        <v>0</v>
      </c>
      <c r="I47" s="246">
        <f t="shared" si="6"/>
        <v>0</v>
      </c>
      <c r="J47" s="246">
        <f t="shared" si="6"/>
        <v>12.6</v>
      </c>
      <c r="K47" s="246">
        <f t="shared" si="6"/>
        <v>12.6</v>
      </c>
      <c r="L47" s="246">
        <f t="shared" si="6"/>
        <v>12.59</v>
      </c>
      <c r="M47" s="246">
        <f t="shared" si="6"/>
        <v>11.33</v>
      </c>
      <c r="N47" s="246">
        <f t="shared" si="6"/>
        <v>12.6</v>
      </c>
      <c r="O47" s="246">
        <f t="shared" si="6"/>
        <v>12.6</v>
      </c>
      <c r="P47" s="246">
        <f t="shared" si="6"/>
        <v>12.6</v>
      </c>
      <c r="Q47" s="246">
        <f t="shared" si="6"/>
        <v>12.6</v>
      </c>
      <c r="R47" s="246">
        <f t="shared" si="6"/>
        <v>12.59</v>
      </c>
      <c r="S47" s="246">
        <f t="shared" si="6"/>
        <v>12.59</v>
      </c>
      <c r="T47" s="246">
        <f t="shared" si="6"/>
        <v>12.6</v>
      </c>
      <c r="U47" s="246">
        <f t="shared" si="6"/>
        <v>12.6</v>
      </c>
      <c r="V47" s="246">
        <f t="shared" si="6"/>
        <v>12.6</v>
      </c>
      <c r="W47" s="246">
        <f t="shared" si="6"/>
        <v>12.59685</v>
      </c>
      <c r="X47" s="246">
        <f t="shared" si="6"/>
        <v>12.59</v>
      </c>
      <c r="Y47" s="246">
        <f t="shared" si="6"/>
        <v>12.6</v>
      </c>
      <c r="Z47" s="246">
        <f t="shared" si="6"/>
        <v>20.6</v>
      </c>
      <c r="AA47" s="246">
        <f t="shared" si="6"/>
        <v>20.58</v>
      </c>
      <c r="AB47" s="246">
        <f t="shared" si="6"/>
        <v>4.5999999999999996</v>
      </c>
      <c r="AC47" s="246">
        <f t="shared" si="6"/>
        <v>4.0599999999999996</v>
      </c>
      <c r="AD47" s="246">
        <f t="shared" si="6"/>
        <v>33.93</v>
      </c>
      <c r="AE47" s="246">
        <f t="shared" si="6"/>
        <v>0</v>
      </c>
      <c r="AF47" s="1239" t="s">
        <v>490</v>
      </c>
    </row>
    <row r="48" spans="1:32" ht="16.5" x14ac:dyDescent="0.25">
      <c r="A48" s="244" t="s">
        <v>169</v>
      </c>
      <c r="B48" s="238"/>
      <c r="C48" s="238"/>
      <c r="D48" s="238"/>
      <c r="E48" s="238"/>
      <c r="F48" s="238"/>
      <c r="G48" s="238"/>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1240"/>
    </row>
    <row r="49" spans="1:32" ht="18.75" x14ac:dyDescent="0.25">
      <c r="A49" s="244" t="s">
        <v>32</v>
      </c>
      <c r="B49" s="238">
        <f>H49+J49+L49+N49+P49+R49+T49+V49+X49+Z49+AB49+AD49</f>
        <v>159.9</v>
      </c>
      <c r="C49" s="238">
        <f>H49+J49+L49+N49+P49+R49+T49+V49+X49</f>
        <v>100.77</v>
      </c>
      <c r="D49" s="238">
        <f>E49</f>
        <v>124.15684999999999</v>
      </c>
      <c r="E49" s="238">
        <f>I49+K49+M49+O49+Q49+S49+U49+W49+Y49+AA49+AC49+AE49</f>
        <v>124.15684999999999</v>
      </c>
      <c r="F49" s="238">
        <f t="shared" ref="F49:F63" si="7">IFERROR(E49/B49*100,0)</f>
        <v>77.646560350218877</v>
      </c>
      <c r="G49" s="238">
        <f t="shared" ref="G49:G63" si="8">IFERROR(E49/C49*100,0)</f>
        <v>123.2081472660514</v>
      </c>
      <c r="H49" s="239"/>
      <c r="I49" s="239"/>
      <c r="J49" s="991">
        <v>12.6</v>
      </c>
      <c r="K49" s="991">
        <v>12.6</v>
      </c>
      <c r="L49" s="991">
        <v>12.59</v>
      </c>
      <c r="M49" s="991">
        <v>11.33</v>
      </c>
      <c r="N49" s="991">
        <v>12.6</v>
      </c>
      <c r="O49" s="991">
        <v>12.6</v>
      </c>
      <c r="P49" s="991">
        <v>12.6</v>
      </c>
      <c r="Q49" s="991">
        <v>12.6</v>
      </c>
      <c r="R49" s="991">
        <v>12.59</v>
      </c>
      <c r="S49" s="991">
        <v>12.59</v>
      </c>
      <c r="T49" s="991">
        <v>12.6</v>
      </c>
      <c r="U49" s="991">
        <v>12.6</v>
      </c>
      <c r="V49" s="991">
        <v>12.6</v>
      </c>
      <c r="W49" s="991">
        <f>12596.85/1000</f>
        <v>12.59685</v>
      </c>
      <c r="X49" s="991">
        <v>12.59</v>
      </c>
      <c r="Y49" s="991">
        <v>12.6</v>
      </c>
      <c r="Z49" s="991">
        <f>12.6+8</f>
        <v>20.6</v>
      </c>
      <c r="AA49" s="991">
        <v>20.58</v>
      </c>
      <c r="AB49" s="991">
        <f>12.6-8</f>
        <v>4.5999999999999996</v>
      </c>
      <c r="AC49" s="991">
        <v>4.0599999999999996</v>
      </c>
      <c r="AD49" s="991">
        <v>33.93</v>
      </c>
      <c r="AE49" s="991"/>
      <c r="AF49" s="1240"/>
    </row>
    <row r="50" spans="1:32" ht="16.5" x14ac:dyDescent="0.25">
      <c r="A50" s="244" t="s">
        <v>33</v>
      </c>
      <c r="B50" s="238"/>
      <c r="C50" s="238"/>
      <c r="D50" s="238"/>
      <c r="E50" s="238"/>
      <c r="F50" s="238"/>
      <c r="G50" s="238"/>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1240"/>
    </row>
    <row r="51" spans="1:32" ht="33" x14ac:dyDescent="0.25">
      <c r="A51" s="240" t="s">
        <v>174</v>
      </c>
      <c r="B51" s="241"/>
      <c r="C51" s="255"/>
      <c r="D51" s="241"/>
      <c r="E51" s="241"/>
      <c r="F51" s="238"/>
      <c r="G51" s="238"/>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1240"/>
    </row>
    <row r="52" spans="1:32" ht="16.5" x14ac:dyDescent="0.25">
      <c r="A52" s="243" t="s">
        <v>374</v>
      </c>
      <c r="B52" s="238"/>
      <c r="C52" s="238"/>
      <c r="D52" s="238"/>
      <c r="E52" s="238"/>
      <c r="F52" s="238"/>
      <c r="G52" s="238"/>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1241"/>
    </row>
    <row r="53" spans="1:32" ht="16.5" x14ac:dyDescent="0.25">
      <c r="A53" s="249" t="s">
        <v>35</v>
      </c>
      <c r="B53" s="238"/>
      <c r="C53" s="238"/>
      <c r="D53" s="238"/>
      <c r="E53" s="238"/>
      <c r="F53" s="238"/>
      <c r="G53" s="238"/>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985"/>
    </row>
    <row r="54" spans="1:32" ht="16.5" x14ac:dyDescent="0.25">
      <c r="A54" s="250" t="s">
        <v>31</v>
      </c>
      <c r="B54" s="246">
        <f>B55+B56+B57+B59</f>
        <v>159.9</v>
      </c>
      <c r="C54" s="246">
        <f>C55+C56+C57+C59</f>
        <v>100.77</v>
      </c>
      <c r="D54" s="246">
        <f>D55+D56+D57+D59</f>
        <v>124.15684999999999</v>
      </c>
      <c r="E54" s="246">
        <f>E55+E56+E57+E59</f>
        <v>124.15684999999999</v>
      </c>
      <c r="F54" s="236">
        <f t="shared" si="7"/>
        <v>77.646560350218877</v>
      </c>
      <c r="G54" s="236">
        <f t="shared" si="8"/>
        <v>123.2081472660514</v>
      </c>
      <c r="H54" s="246">
        <f t="shared" ref="H54:AE54" si="9">H56+H57</f>
        <v>0</v>
      </c>
      <c r="I54" s="246">
        <f t="shared" si="9"/>
        <v>0</v>
      </c>
      <c r="J54" s="246">
        <f t="shared" si="9"/>
        <v>12.6</v>
      </c>
      <c r="K54" s="246">
        <f t="shared" si="9"/>
        <v>12.6</v>
      </c>
      <c r="L54" s="246">
        <f t="shared" si="9"/>
        <v>12.59</v>
      </c>
      <c r="M54" s="246">
        <f t="shared" si="9"/>
        <v>11.33</v>
      </c>
      <c r="N54" s="246">
        <f t="shared" si="9"/>
        <v>12.6</v>
      </c>
      <c r="O54" s="246">
        <f t="shared" si="9"/>
        <v>12.6</v>
      </c>
      <c r="P54" s="246">
        <f t="shared" si="9"/>
        <v>12.6</v>
      </c>
      <c r="Q54" s="246">
        <f t="shared" si="9"/>
        <v>12.6</v>
      </c>
      <c r="R54" s="246">
        <f t="shared" si="9"/>
        <v>12.59</v>
      </c>
      <c r="S54" s="246">
        <f t="shared" si="9"/>
        <v>12.59</v>
      </c>
      <c r="T54" s="246">
        <f t="shared" si="9"/>
        <v>12.6</v>
      </c>
      <c r="U54" s="246">
        <f t="shared" si="9"/>
        <v>12.6</v>
      </c>
      <c r="V54" s="246">
        <f t="shared" si="9"/>
        <v>12.6</v>
      </c>
      <c r="W54" s="246">
        <f t="shared" si="9"/>
        <v>12.59685</v>
      </c>
      <c r="X54" s="246">
        <f t="shared" si="9"/>
        <v>12.59</v>
      </c>
      <c r="Y54" s="246">
        <f t="shared" si="9"/>
        <v>12.6</v>
      </c>
      <c r="Z54" s="246">
        <f t="shared" si="9"/>
        <v>20.6</v>
      </c>
      <c r="AA54" s="246">
        <f t="shared" si="9"/>
        <v>20.58</v>
      </c>
      <c r="AB54" s="246">
        <f t="shared" si="9"/>
        <v>4.5999999999999996</v>
      </c>
      <c r="AC54" s="246">
        <f t="shared" si="9"/>
        <v>0</v>
      </c>
      <c r="AD54" s="246">
        <f t="shared" si="9"/>
        <v>33.93</v>
      </c>
      <c r="AE54" s="246">
        <f t="shared" si="9"/>
        <v>0</v>
      </c>
      <c r="AF54" s="1233"/>
    </row>
    <row r="55" spans="1:32" ht="16.5" x14ac:dyDescent="0.25">
      <c r="A55" s="251" t="s">
        <v>169</v>
      </c>
      <c r="B55" s="238">
        <f>H55+J55+L55+N55+P55+R55+T55+V55+X55+Z55+AB55+AD55</f>
        <v>0</v>
      </c>
      <c r="C55" s="239">
        <f t="shared" ref="C55:E56" si="10">C48</f>
        <v>0</v>
      </c>
      <c r="D55" s="239">
        <f t="shared" si="10"/>
        <v>0</v>
      </c>
      <c r="E55" s="239">
        <f t="shared" si="10"/>
        <v>0</v>
      </c>
      <c r="F55" s="238">
        <f t="shared" si="7"/>
        <v>0</v>
      </c>
      <c r="G55" s="238">
        <f t="shared" si="8"/>
        <v>0</v>
      </c>
      <c r="H55" s="239"/>
      <c r="I55" s="239"/>
      <c r="J55" s="239"/>
      <c r="K55" s="239"/>
      <c r="L55" s="239"/>
      <c r="M55" s="239"/>
      <c r="N55" s="239"/>
      <c r="O55" s="239"/>
      <c r="P55" s="239"/>
      <c r="Q55" s="239"/>
      <c r="R55" s="239"/>
      <c r="S55" s="239"/>
      <c r="T55" s="239"/>
      <c r="U55" s="239"/>
      <c r="V55" s="239"/>
      <c r="W55" s="239"/>
      <c r="X55" s="239"/>
      <c r="Y55" s="239"/>
      <c r="Z55" s="239"/>
      <c r="AA55" s="239"/>
      <c r="AB55" s="239"/>
      <c r="AC55" s="239"/>
      <c r="AD55" s="239"/>
      <c r="AE55" s="239"/>
      <c r="AF55" s="1233"/>
    </row>
    <row r="56" spans="1:32" ht="16.5" x14ac:dyDescent="0.25">
      <c r="A56" s="251" t="s">
        <v>32</v>
      </c>
      <c r="B56" s="238">
        <f>B49</f>
        <v>159.9</v>
      </c>
      <c r="C56" s="238">
        <f t="shared" si="10"/>
        <v>100.77</v>
      </c>
      <c r="D56" s="238">
        <f t="shared" si="10"/>
        <v>124.15684999999999</v>
      </c>
      <c r="E56" s="238">
        <f t="shared" si="10"/>
        <v>124.15684999999999</v>
      </c>
      <c r="F56" s="238">
        <f t="shared" si="7"/>
        <v>77.646560350218877</v>
      </c>
      <c r="G56" s="238">
        <f t="shared" si="8"/>
        <v>123.2081472660514</v>
      </c>
      <c r="H56" s="239">
        <f t="shared" ref="H56:AE56" si="11">H49</f>
        <v>0</v>
      </c>
      <c r="I56" s="239">
        <f t="shared" si="11"/>
        <v>0</v>
      </c>
      <c r="J56" s="239">
        <f t="shared" si="11"/>
        <v>12.6</v>
      </c>
      <c r="K56" s="239">
        <f t="shared" si="11"/>
        <v>12.6</v>
      </c>
      <c r="L56" s="239">
        <f t="shared" si="11"/>
        <v>12.59</v>
      </c>
      <c r="M56" s="239">
        <f t="shared" si="11"/>
        <v>11.33</v>
      </c>
      <c r="N56" s="239">
        <f t="shared" si="11"/>
        <v>12.6</v>
      </c>
      <c r="O56" s="239">
        <f t="shared" si="11"/>
        <v>12.6</v>
      </c>
      <c r="P56" s="239">
        <f t="shared" si="11"/>
        <v>12.6</v>
      </c>
      <c r="Q56" s="239">
        <f t="shared" si="11"/>
        <v>12.6</v>
      </c>
      <c r="R56" s="239">
        <f t="shared" si="11"/>
        <v>12.59</v>
      </c>
      <c r="S56" s="239">
        <f t="shared" si="11"/>
        <v>12.59</v>
      </c>
      <c r="T56" s="239">
        <f t="shared" si="11"/>
        <v>12.6</v>
      </c>
      <c r="U56" s="239">
        <f t="shared" si="11"/>
        <v>12.6</v>
      </c>
      <c r="V56" s="239">
        <f t="shared" si="11"/>
        <v>12.6</v>
      </c>
      <c r="W56" s="239">
        <f t="shared" si="11"/>
        <v>12.59685</v>
      </c>
      <c r="X56" s="239">
        <f t="shared" si="11"/>
        <v>12.59</v>
      </c>
      <c r="Y56" s="239">
        <f t="shared" si="11"/>
        <v>12.6</v>
      </c>
      <c r="Z56" s="239">
        <f t="shared" si="11"/>
        <v>20.6</v>
      </c>
      <c r="AA56" s="239">
        <f t="shared" si="11"/>
        <v>20.58</v>
      </c>
      <c r="AB56" s="239">
        <f t="shared" si="11"/>
        <v>4.5999999999999996</v>
      </c>
      <c r="AC56" s="239">
        <v>0</v>
      </c>
      <c r="AD56" s="239">
        <f t="shared" si="11"/>
        <v>33.93</v>
      </c>
      <c r="AE56" s="239">
        <f t="shared" si="11"/>
        <v>0</v>
      </c>
      <c r="AF56" s="1233"/>
    </row>
    <row r="57" spans="1:32" ht="16.5" x14ac:dyDescent="0.25">
      <c r="A57" s="251" t="s">
        <v>33</v>
      </c>
      <c r="B57" s="238"/>
      <c r="C57" s="239"/>
      <c r="D57" s="239"/>
      <c r="E57" s="239"/>
      <c r="F57" s="238"/>
      <c r="G57" s="238"/>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c r="AE57" s="239"/>
      <c r="AF57" s="1233"/>
    </row>
    <row r="58" spans="1:32" ht="33" x14ac:dyDescent="0.25">
      <c r="A58" s="252" t="s">
        <v>174</v>
      </c>
      <c r="B58" s="241"/>
      <c r="C58" s="242"/>
      <c r="D58" s="242"/>
      <c r="E58" s="242"/>
      <c r="F58" s="238"/>
      <c r="G58" s="238"/>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1233"/>
    </row>
    <row r="59" spans="1:32" ht="16.5" x14ac:dyDescent="0.25">
      <c r="A59" s="253" t="s">
        <v>374</v>
      </c>
      <c r="B59" s="238"/>
      <c r="C59" s="239"/>
      <c r="D59" s="239"/>
      <c r="E59" s="239"/>
      <c r="F59" s="238"/>
      <c r="G59" s="238"/>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1233"/>
    </row>
    <row r="60" spans="1:32" ht="33" x14ac:dyDescent="0.25">
      <c r="A60" s="256" t="s">
        <v>66</v>
      </c>
      <c r="B60" s="574">
        <f>B61+B62+B63+B65</f>
        <v>595.79999999999995</v>
      </c>
      <c r="C60" s="574">
        <f t="shared" ref="C60:AE60" si="12">C61+C62+C63+C65</f>
        <v>518.44999999999993</v>
      </c>
      <c r="D60" s="574">
        <f t="shared" si="12"/>
        <v>459.60685000000001</v>
      </c>
      <c r="E60" s="574">
        <f t="shared" si="12"/>
        <v>459.60685000000001</v>
      </c>
      <c r="F60" s="236">
        <f t="shared" si="7"/>
        <v>77.141129573682448</v>
      </c>
      <c r="G60" s="236">
        <f t="shared" si="8"/>
        <v>88.650178416433619</v>
      </c>
      <c r="H60" s="246">
        <f t="shared" si="12"/>
        <v>0</v>
      </c>
      <c r="I60" s="246">
        <f t="shared" si="12"/>
        <v>0</v>
      </c>
      <c r="J60" s="246">
        <f t="shared" si="12"/>
        <v>13.5</v>
      </c>
      <c r="K60" s="246">
        <f t="shared" si="12"/>
        <v>12.6</v>
      </c>
      <c r="L60" s="246">
        <f t="shared" si="12"/>
        <v>13.49</v>
      </c>
      <c r="M60" s="246">
        <f t="shared" si="12"/>
        <v>11.33</v>
      </c>
      <c r="N60" s="246">
        <f t="shared" si="12"/>
        <v>13.5</v>
      </c>
      <c r="O60" s="246">
        <f t="shared" si="12"/>
        <v>12.6</v>
      </c>
      <c r="P60" s="246">
        <f t="shared" si="12"/>
        <v>13.5</v>
      </c>
      <c r="Q60" s="246">
        <f t="shared" si="12"/>
        <v>12.6</v>
      </c>
      <c r="R60" s="246">
        <f t="shared" si="12"/>
        <v>13.49</v>
      </c>
      <c r="S60" s="246">
        <f t="shared" si="12"/>
        <v>12.84</v>
      </c>
      <c r="T60" s="246">
        <f t="shared" si="12"/>
        <v>13.5</v>
      </c>
      <c r="U60" s="246">
        <f t="shared" si="12"/>
        <v>12.87</v>
      </c>
      <c r="V60" s="246">
        <f t="shared" si="12"/>
        <v>347.08000000000004</v>
      </c>
      <c r="W60" s="246">
        <f t="shared" si="12"/>
        <v>13.136849999999999</v>
      </c>
      <c r="X60" s="246">
        <f t="shared" si="12"/>
        <v>13.49</v>
      </c>
      <c r="Y60" s="246">
        <f t="shared" si="12"/>
        <v>346.45000000000005</v>
      </c>
      <c r="Z60" s="246">
        <f t="shared" si="12"/>
        <v>21.5</v>
      </c>
      <c r="AA60" s="246">
        <f t="shared" si="12"/>
        <v>20.849999999999998</v>
      </c>
      <c r="AB60" s="246">
        <f t="shared" si="12"/>
        <v>80.599999999999994</v>
      </c>
      <c r="AC60" s="246">
        <f t="shared" si="12"/>
        <v>0.27</v>
      </c>
      <c r="AD60" s="246">
        <f t="shared" si="12"/>
        <v>52.15</v>
      </c>
      <c r="AE60" s="246">
        <f t="shared" si="12"/>
        <v>0</v>
      </c>
      <c r="AF60" s="1233"/>
    </row>
    <row r="61" spans="1:32" ht="16.5" x14ac:dyDescent="0.25">
      <c r="A61" s="244" t="s">
        <v>169</v>
      </c>
      <c r="B61" s="238"/>
      <c r="C61" s="239"/>
      <c r="D61" s="239"/>
      <c r="E61" s="239"/>
      <c r="F61" s="238"/>
      <c r="G61" s="238"/>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E61" s="239"/>
      <c r="AF61" s="1233"/>
    </row>
    <row r="62" spans="1:32" ht="16.5" x14ac:dyDescent="0.25">
      <c r="A62" s="244" t="s">
        <v>32</v>
      </c>
      <c r="B62" s="238">
        <f>B56+B40</f>
        <v>159.9</v>
      </c>
      <c r="C62" s="238">
        <f t="shared" ref="C62:E63" si="13">C56+C40</f>
        <v>100.77</v>
      </c>
      <c r="D62" s="238">
        <f>D56+D40</f>
        <v>124.15684999999999</v>
      </c>
      <c r="E62" s="238">
        <f t="shared" si="13"/>
        <v>124.15684999999999</v>
      </c>
      <c r="F62" s="238">
        <f t="shared" si="7"/>
        <v>77.646560350218877</v>
      </c>
      <c r="G62" s="238">
        <f t="shared" si="8"/>
        <v>123.2081472660514</v>
      </c>
      <c r="H62" s="239">
        <f t="shared" ref="H62:AE63" si="14">H56+H40</f>
        <v>0</v>
      </c>
      <c r="I62" s="239">
        <f t="shared" si="14"/>
        <v>0</v>
      </c>
      <c r="J62" s="239">
        <f t="shared" si="14"/>
        <v>12.6</v>
      </c>
      <c r="K62" s="239">
        <f t="shared" si="14"/>
        <v>12.6</v>
      </c>
      <c r="L62" s="239">
        <f t="shared" si="14"/>
        <v>12.59</v>
      </c>
      <c r="M62" s="239">
        <f t="shared" si="14"/>
        <v>11.33</v>
      </c>
      <c r="N62" s="239">
        <f t="shared" si="14"/>
        <v>12.6</v>
      </c>
      <c r="O62" s="239">
        <f t="shared" si="14"/>
        <v>12.6</v>
      </c>
      <c r="P62" s="239">
        <f t="shared" si="14"/>
        <v>12.6</v>
      </c>
      <c r="Q62" s="239">
        <f t="shared" si="14"/>
        <v>12.6</v>
      </c>
      <c r="R62" s="239">
        <f t="shared" si="14"/>
        <v>12.59</v>
      </c>
      <c r="S62" s="239">
        <f t="shared" si="14"/>
        <v>12.59</v>
      </c>
      <c r="T62" s="239">
        <f t="shared" si="14"/>
        <v>12.6</v>
      </c>
      <c r="U62" s="239">
        <f t="shared" si="14"/>
        <v>12.6</v>
      </c>
      <c r="V62" s="239">
        <f t="shared" si="14"/>
        <v>12.6</v>
      </c>
      <c r="W62" s="239">
        <f t="shared" si="14"/>
        <v>12.59685</v>
      </c>
      <c r="X62" s="239">
        <f t="shared" si="14"/>
        <v>12.59</v>
      </c>
      <c r="Y62" s="239">
        <f t="shared" si="14"/>
        <v>12.6</v>
      </c>
      <c r="Z62" s="239">
        <f t="shared" si="14"/>
        <v>20.6</v>
      </c>
      <c r="AA62" s="239">
        <f t="shared" si="14"/>
        <v>20.58</v>
      </c>
      <c r="AB62" s="239">
        <f t="shared" si="14"/>
        <v>4.5999999999999996</v>
      </c>
      <c r="AC62" s="239">
        <f t="shared" si="14"/>
        <v>0</v>
      </c>
      <c r="AD62" s="239">
        <f t="shared" si="14"/>
        <v>33.93</v>
      </c>
      <c r="AE62" s="239">
        <f t="shared" si="14"/>
        <v>0</v>
      </c>
      <c r="AF62" s="1233"/>
    </row>
    <row r="63" spans="1:32" ht="16.5" x14ac:dyDescent="0.25">
      <c r="A63" s="244" t="s">
        <v>33</v>
      </c>
      <c r="B63" s="238">
        <f>B57+B41</f>
        <v>435.9</v>
      </c>
      <c r="C63" s="238">
        <f>C57+C41</f>
        <v>417.67999999999995</v>
      </c>
      <c r="D63" s="238">
        <f t="shared" si="13"/>
        <v>335.45</v>
      </c>
      <c r="E63" s="238">
        <f t="shared" si="13"/>
        <v>335.45</v>
      </c>
      <c r="F63" s="238">
        <f t="shared" si="7"/>
        <v>76.955723789860059</v>
      </c>
      <c r="G63" s="238">
        <f t="shared" si="8"/>
        <v>80.312679563302055</v>
      </c>
      <c r="H63" s="239">
        <f t="shared" si="14"/>
        <v>0</v>
      </c>
      <c r="I63" s="239">
        <f t="shared" si="14"/>
        <v>0</v>
      </c>
      <c r="J63" s="239">
        <f t="shared" si="14"/>
        <v>0.9</v>
      </c>
      <c r="K63" s="239">
        <f t="shared" si="14"/>
        <v>0</v>
      </c>
      <c r="L63" s="239">
        <f t="shared" si="14"/>
        <v>0.9</v>
      </c>
      <c r="M63" s="239">
        <f t="shared" si="14"/>
        <v>0</v>
      </c>
      <c r="N63" s="239">
        <f t="shared" si="14"/>
        <v>0.9</v>
      </c>
      <c r="O63" s="239">
        <f t="shared" si="14"/>
        <v>0</v>
      </c>
      <c r="P63" s="239">
        <f t="shared" si="14"/>
        <v>0.9</v>
      </c>
      <c r="Q63" s="239">
        <f t="shared" si="14"/>
        <v>0</v>
      </c>
      <c r="R63" s="239">
        <f t="shared" si="14"/>
        <v>0.9</v>
      </c>
      <c r="S63" s="239">
        <f t="shared" si="14"/>
        <v>0.25</v>
      </c>
      <c r="T63" s="239">
        <f t="shared" si="14"/>
        <v>0.9</v>
      </c>
      <c r="U63" s="239">
        <f t="shared" si="14"/>
        <v>0.27</v>
      </c>
      <c r="V63" s="239">
        <f t="shared" si="14"/>
        <v>334.48</v>
      </c>
      <c r="W63" s="239">
        <f t="shared" si="14"/>
        <v>0.54</v>
      </c>
      <c r="X63" s="239">
        <f t="shared" si="14"/>
        <v>0.9</v>
      </c>
      <c r="Y63" s="239">
        <f t="shared" si="14"/>
        <v>333.85</v>
      </c>
      <c r="Z63" s="239">
        <f t="shared" si="14"/>
        <v>0.9</v>
      </c>
      <c r="AA63" s="239">
        <f t="shared" si="14"/>
        <v>0.27</v>
      </c>
      <c r="AB63" s="239">
        <f t="shared" si="14"/>
        <v>76</v>
      </c>
      <c r="AC63" s="239">
        <f t="shared" si="14"/>
        <v>0.27</v>
      </c>
      <c r="AD63" s="239">
        <f t="shared" si="14"/>
        <v>18.22</v>
      </c>
      <c r="AE63" s="239">
        <f t="shared" si="14"/>
        <v>0</v>
      </c>
      <c r="AF63" s="1233"/>
    </row>
    <row r="64" spans="1:32" ht="33" x14ac:dyDescent="0.25">
      <c r="A64" s="240" t="s">
        <v>174</v>
      </c>
      <c r="B64" s="238"/>
      <c r="C64" s="239"/>
      <c r="D64" s="239"/>
      <c r="E64" s="239"/>
      <c r="F64" s="238"/>
      <c r="G64" s="238"/>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1233"/>
    </row>
    <row r="65" spans="1:32" ht="16.5" x14ac:dyDescent="0.25">
      <c r="A65" s="243" t="s">
        <v>374</v>
      </c>
      <c r="B65" s="238"/>
      <c r="C65" s="239"/>
      <c r="D65" s="239"/>
      <c r="E65" s="239"/>
      <c r="F65" s="238"/>
      <c r="G65" s="238"/>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1233"/>
    </row>
    <row r="66" spans="1:32" ht="18.75" x14ac:dyDescent="0.25">
      <c r="A66" s="1237" t="s">
        <v>380</v>
      </c>
      <c r="B66" s="1238"/>
      <c r="C66" s="1238"/>
      <c r="D66" s="1238"/>
      <c r="E66" s="1238"/>
      <c r="F66" s="1238"/>
      <c r="G66" s="1238"/>
      <c r="H66" s="1238"/>
      <c r="I66" s="1238"/>
      <c r="J66" s="1238"/>
      <c r="K66" s="1238"/>
      <c r="L66" s="1238"/>
      <c r="M66" s="1238"/>
      <c r="N66" s="1238"/>
      <c r="O66" s="1238"/>
      <c r="P66" s="1238"/>
      <c r="Q66" s="1238"/>
      <c r="R66" s="1238"/>
      <c r="S66" s="1238"/>
      <c r="T66" s="1238"/>
      <c r="U66" s="1238"/>
      <c r="V66" s="1238"/>
      <c r="W66" s="1238"/>
      <c r="X66" s="1238"/>
      <c r="Y66" s="1238"/>
      <c r="Z66" s="1238"/>
      <c r="AA66" s="1238"/>
      <c r="AB66" s="1238"/>
      <c r="AC66" s="1238"/>
      <c r="AD66" s="1238"/>
      <c r="AE66" s="1238"/>
      <c r="AF66" s="986"/>
    </row>
    <row r="67" spans="1:32" ht="16.5" x14ac:dyDescent="0.25">
      <c r="A67" s="254" t="s">
        <v>31</v>
      </c>
      <c r="B67" s="236">
        <f>B68+B69+B70+B72</f>
        <v>0</v>
      </c>
      <c r="C67" s="236">
        <f t="shared" ref="C67:AE67" si="15">C68+C69+C70+C72</f>
        <v>0</v>
      </c>
      <c r="D67" s="236">
        <f t="shared" si="15"/>
        <v>0</v>
      </c>
      <c r="E67" s="236">
        <f t="shared" si="15"/>
        <v>0</v>
      </c>
      <c r="F67" s="236">
        <f>IFERROR(E67/B67*100,0)</f>
        <v>0</v>
      </c>
      <c r="G67" s="236">
        <f>IFERROR(E67/C67*100,0)</f>
        <v>0</v>
      </c>
      <c r="H67" s="236">
        <f t="shared" si="15"/>
        <v>0</v>
      </c>
      <c r="I67" s="236">
        <f t="shared" si="15"/>
        <v>0</v>
      </c>
      <c r="J67" s="236">
        <f t="shared" si="15"/>
        <v>0</v>
      </c>
      <c r="K67" s="236">
        <f t="shared" si="15"/>
        <v>0</v>
      </c>
      <c r="L67" s="236">
        <f t="shared" si="15"/>
        <v>0</v>
      </c>
      <c r="M67" s="236">
        <f t="shared" si="15"/>
        <v>0</v>
      </c>
      <c r="N67" s="236">
        <f t="shared" si="15"/>
        <v>0</v>
      </c>
      <c r="O67" s="236">
        <f t="shared" si="15"/>
        <v>0</v>
      </c>
      <c r="P67" s="236">
        <f t="shared" si="15"/>
        <v>0</v>
      </c>
      <c r="Q67" s="236">
        <f t="shared" si="15"/>
        <v>0</v>
      </c>
      <c r="R67" s="236">
        <f t="shared" si="15"/>
        <v>0</v>
      </c>
      <c r="S67" s="236">
        <f t="shared" si="15"/>
        <v>0</v>
      </c>
      <c r="T67" s="236">
        <f t="shared" si="15"/>
        <v>0</v>
      </c>
      <c r="U67" s="236">
        <f t="shared" si="15"/>
        <v>0</v>
      </c>
      <c r="V67" s="236">
        <f t="shared" si="15"/>
        <v>0</v>
      </c>
      <c r="W67" s="236">
        <f t="shared" si="15"/>
        <v>0</v>
      </c>
      <c r="X67" s="236">
        <f t="shared" si="15"/>
        <v>0</v>
      </c>
      <c r="Y67" s="236">
        <f t="shared" si="15"/>
        <v>0</v>
      </c>
      <c r="Z67" s="236">
        <f t="shared" si="15"/>
        <v>0</v>
      </c>
      <c r="AA67" s="236">
        <f t="shared" si="15"/>
        <v>0</v>
      </c>
      <c r="AB67" s="236">
        <f t="shared" si="15"/>
        <v>0</v>
      </c>
      <c r="AC67" s="236">
        <f t="shared" si="15"/>
        <v>0</v>
      </c>
      <c r="AD67" s="236">
        <f t="shared" si="15"/>
        <v>0</v>
      </c>
      <c r="AE67" s="236">
        <f t="shared" si="15"/>
        <v>0</v>
      </c>
      <c r="AF67" s="986"/>
    </row>
    <row r="68" spans="1:32" ht="16.5" x14ac:dyDescent="0.25">
      <c r="A68" s="244" t="s">
        <v>169</v>
      </c>
      <c r="B68" s="238"/>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987"/>
    </row>
    <row r="69" spans="1:32" ht="16.5" x14ac:dyDescent="0.25">
      <c r="A69" s="244" t="s">
        <v>32</v>
      </c>
      <c r="B69" s="238"/>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238"/>
      <c r="AF69" s="987"/>
    </row>
    <row r="70" spans="1:32" ht="16.5" x14ac:dyDescent="0.25">
      <c r="A70" s="244" t="s">
        <v>33</v>
      </c>
      <c r="B70" s="238"/>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987"/>
    </row>
    <row r="71" spans="1:32" ht="33" x14ac:dyDescent="0.25">
      <c r="A71" s="240" t="s">
        <v>174</v>
      </c>
      <c r="B71" s="238"/>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987"/>
    </row>
    <row r="72" spans="1:32" ht="16.5" x14ac:dyDescent="0.25">
      <c r="A72" s="243" t="s">
        <v>374</v>
      </c>
      <c r="B72" s="238"/>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987"/>
    </row>
    <row r="73" spans="1:32" ht="18.75" x14ac:dyDescent="0.25">
      <c r="A73" s="1237" t="s">
        <v>381</v>
      </c>
      <c r="B73" s="1238"/>
      <c r="C73" s="1238"/>
      <c r="D73" s="1238"/>
      <c r="E73" s="1238"/>
      <c r="F73" s="1238"/>
      <c r="G73" s="1238"/>
      <c r="H73" s="1238"/>
      <c r="I73" s="1238"/>
      <c r="J73" s="1238"/>
      <c r="K73" s="1238"/>
      <c r="L73" s="1238"/>
      <c r="M73" s="1238"/>
      <c r="N73" s="1238"/>
      <c r="O73" s="1238"/>
      <c r="P73" s="1238"/>
      <c r="Q73" s="1238"/>
      <c r="R73" s="1238"/>
      <c r="S73" s="1238"/>
      <c r="T73" s="1238"/>
      <c r="U73" s="1238"/>
      <c r="V73" s="1238"/>
      <c r="W73" s="1238"/>
      <c r="X73" s="1238"/>
      <c r="Y73" s="1238"/>
      <c r="Z73" s="1238"/>
      <c r="AA73" s="1238"/>
      <c r="AB73" s="1238"/>
      <c r="AC73" s="1238"/>
      <c r="AD73" s="1238"/>
      <c r="AE73" s="1238"/>
      <c r="AF73" s="988"/>
    </row>
    <row r="74" spans="1:32" ht="18.75" x14ac:dyDescent="0.25">
      <c r="A74" s="254" t="s">
        <v>31</v>
      </c>
      <c r="B74" s="223">
        <f>B75+B76+B77+B79</f>
        <v>595.79999999999995</v>
      </c>
      <c r="C74" s="257">
        <f>C75+C76+C77+C79</f>
        <v>518.44999999999993</v>
      </c>
      <c r="D74" s="257">
        <f>D75+D76+D77+D79</f>
        <v>459.60685000000001</v>
      </c>
      <c r="E74" s="257">
        <f>E75+E76+E77+E79</f>
        <v>459.60685000000001</v>
      </c>
      <c r="F74" s="257">
        <f>IFERROR(E74/B74*100,0)</f>
        <v>77.141129573682448</v>
      </c>
      <c r="G74" s="257">
        <f>IFERROR(E74/C74*100,0)</f>
        <v>88.650178416433619</v>
      </c>
      <c r="H74" s="223">
        <f t="shared" ref="H74:AE74" si="16">H75+H76+H77+H79</f>
        <v>0</v>
      </c>
      <c r="I74" s="223">
        <f t="shared" si="16"/>
        <v>0</v>
      </c>
      <c r="J74" s="223">
        <f t="shared" si="16"/>
        <v>13.5</v>
      </c>
      <c r="K74" s="223">
        <f t="shared" si="16"/>
        <v>12.6</v>
      </c>
      <c r="L74" s="223">
        <f t="shared" si="16"/>
        <v>13.49</v>
      </c>
      <c r="M74" s="223">
        <f t="shared" si="16"/>
        <v>11.33</v>
      </c>
      <c r="N74" s="223">
        <f t="shared" si="16"/>
        <v>13.5</v>
      </c>
      <c r="O74" s="223">
        <f t="shared" si="16"/>
        <v>12.6</v>
      </c>
      <c r="P74" s="223">
        <f t="shared" si="16"/>
        <v>13.5</v>
      </c>
      <c r="Q74" s="223">
        <f t="shared" si="16"/>
        <v>12.6</v>
      </c>
      <c r="R74" s="223">
        <f t="shared" si="16"/>
        <v>13.49</v>
      </c>
      <c r="S74" s="223">
        <f t="shared" si="16"/>
        <v>12.84</v>
      </c>
      <c r="T74" s="223">
        <f t="shared" si="16"/>
        <v>13.5</v>
      </c>
      <c r="U74" s="223">
        <f t="shared" si="16"/>
        <v>12.87</v>
      </c>
      <c r="V74" s="223">
        <f t="shared" si="16"/>
        <v>347.08000000000004</v>
      </c>
      <c r="W74" s="223">
        <f t="shared" si="16"/>
        <v>13.136849999999999</v>
      </c>
      <c r="X74" s="223">
        <f t="shared" si="16"/>
        <v>13.49</v>
      </c>
      <c r="Y74" s="223">
        <f t="shared" si="16"/>
        <v>346.45000000000005</v>
      </c>
      <c r="Z74" s="223">
        <f t="shared" si="16"/>
        <v>21.5</v>
      </c>
      <c r="AA74" s="223">
        <f t="shared" si="16"/>
        <v>20.849999999999998</v>
      </c>
      <c r="AB74" s="223">
        <f t="shared" si="16"/>
        <v>80.599999999999994</v>
      </c>
      <c r="AC74" s="223">
        <f t="shared" si="16"/>
        <v>0.27</v>
      </c>
      <c r="AD74" s="223">
        <f t="shared" si="16"/>
        <v>52.15</v>
      </c>
      <c r="AE74" s="258">
        <f t="shared" si="16"/>
        <v>0</v>
      </c>
      <c r="AF74" s="988"/>
    </row>
    <row r="75" spans="1:32" ht="18.75" x14ac:dyDescent="0.25">
      <c r="A75" s="244" t="s">
        <v>169</v>
      </c>
      <c r="B75" s="259"/>
      <c r="C75" s="259"/>
      <c r="D75" s="259"/>
      <c r="E75" s="259"/>
      <c r="F75" s="259"/>
      <c r="G75" s="259"/>
      <c r="H75" s="259"/>
      <c r="I75" s="259"/>
      <c r="J75" s="259"/>
      <c r="K75" s="259"/>
      <c r="L75" s="259"/>
      <c r="M75" s="259"/>
      <c r="N75" s="259"/>
      <c r="O75" s="259"/>
      <c r="P75" s="259"/>
      <c r="Q75" s="259"/>
      <c r="R75" s="259"/>
      <c r="S75" s="259"/>
      <c r="T75" s="259"/>
      <c r="U75" s="259"/>
      <c r="V75" s="259"/>
      <c r="W75" s="259"/>
      <c r="X75" s="259"/>
      <c r="Y75" s="259"/>
      <c r="Z75" s="259"/>
      <c r="AA75" s="259"/>
      <c r="AB75" s="259"/>
      <c r="AC75" s="259"/>
      <c r="AD75" s="259"/>
      <c r="AE75" s="260"/>
      <c r="AF75" s="988"/>
    </row>
    <row r="76" spans="1:32" ht="18.75" x14ac:dyDescent="0.25">
      <c r="A76" s="244" t="s">
        <v>32</v>
      </c>
      <c r="B76" s="259">
        <f t="shared" ref="B76:E77" si="17">B62</f>
        <v>159.9</v>
      </c>
      <c r="C76" s="259">
        <f t="shared" si="17"/>
        <v>100.77</v>
      </c>
      <c r="D76" s="259">
        <f t="shared" si="17"/>
        <v>124.15684999999999</v>
      </c>
      <c r="E76" s="259">
        <f t="shared" si="17"/>
        <v>124.15684999999999</v>
      </c>
      <c r="F76" s="259">
        <f>IFERROR(E76/B76*100,0)</f>
        <v>77.646560350218877</v>
      </c>
      <c r="G76" s="259">
        <f>IFERROR(E76/C76*100,0)</f>
        <v>123.2081472660514</v>
      </c>
      <c r="H76" s="259">
        <f t="shared" ref="H76:AE77" si="18">H62</f>
        <v>0</v>
      </c>
      <c r="I76" s="259">
        <f t="shared" si="18"/>
        <v>0</v>
      </c>
      <c r="J76" s="259">
        <f t="shared" si="18"/>
        <v>12.6</v>
      </c>
      <c r="K76" s="259">
        <f t="shared" si="18"/>
        <v>12.6</v>
      </c>
      <c r="L76" s="259">
        <f t="shared" si="18"/>
        <v>12.59</v>
      </c>
      <c r="M76" s="259">
        <f t="shared" si="18"/>
        <v>11.33</v>
      </c>
      <c r="N76" s="259">
        <f t="shared" si="18"/>
        <v>12.6</v>
      </c>
      <c r="O76" s="259">
        <f t="shared" si="18"/>
        <v>12.6</v>
      </c>
      <c r="P76" s="259">
        <f t="shared" si="18"/>
        <v>12.6</v>
      </c>
      <c r="Q76" s="259">
        <f t="shared" si="18"/>
        <v>12.6</v>
      </c>
      <c r="R76" s="259">
        <f t="shared" si="18"/>
        <v>12.59</v>
      </c>
      <c r="S76" s="259">
        <f t="shared" si="18"/>
        <v>12.59</v>
      </c>
      <c r="T76" s="259">
        <f t="shared" si="18"/>
        <v>12.6</v>
      </c>
      <c r="U76" s="259">
        <f t="shared" si="18"/>
        <v>12.6</v>
      </c>
      <c r="V76" s="259">
        <f t="shared" si="18"/>
        <v>12.6</v>
      </c>
      <c r="W76" s="259">
        <f t="shared" si="18"/>
        <v>12.59685</v>
      </c>
      <c r="X76" s="259">
        <f t="shared" si="18"/>
        <v>12.59</v>
      </c>
      <c r="Y76" s="259">
        <f t="shared" si="18"/>
        <v>12.6</v>
      </c>
      <c r="Z76" s="259">
        <f t="shared" si="18"/>
        <v>20.6</v>
      </c>
      <c r="AA76" s="259">
        <f t="shared" si="18"/>
        <v>20.58</v>
      </c>
      <c r="AB76" s="259">
        <f t="shared" si="18"/>
        <v>4.5999999999999996</v>
      </c>
      <c r="AC76" s="259">
        <f t="shared" si="18"/>
        <v>0</v>
      </c>
      <c r="AD76" s="259">
        <f t="shared" si="18"/>
        <v>33.93</v>
      </c>
      <c r="AE76" s="260">
        <f t="shared" si="18"/>
        <v>0</v>
      </c>
      <c r="AF76" s="988"/>
    </row>
    <row r="77" spans="1:32" ht="18.75" x14ac:dyDescent="0.25">
      <c r="A77" s="244" t="s">
        <v>33</v>
      </c>
      <c r="B77" s="259">
        <f t="shared" si="17"/>
        <v>435.9</v>
      </c>
      <c r="C77" s="259">
        <f t="shared" si="17"/>
        <v>417.67999999999995</v>
      </c>
      <c r="D77" s="259">
        <f t="shared" si="17"/>
        <v>335.45</v>
      </c>
      <c r="E77" s="259">
        <f t="shared" si="17"/>
        <v>335.45</v>
      </c>
      <c r="F77" s="259">
        <f>IFERROR(E77/B77*100,0)</f>
        <v>76.955723789860059</v>
      </c>
      <c r="G77" s="259">
        <f>IFERROR(E77/C77*100,0)</f>
        <v>80.312679563302055</v>
      </c>
      <c r="H77" s="259">
        <f t="shared" si="18"/>
        <v>0</v>
      </c>
      <c r="I77" s="259">
        <f t="shared" si="18"/>
        <v>0</v>
      </c>
      <c r="J77" s="259">
        <f t="shared" si="18"/>
        <v>0.9</v>
      </c>
      <c r="K77" s="259">
        <f t="shared" si="18"/>
        <v>0</v>
      </c>
      <c r="L77" s="259">
        <f t="shared" si="18"/>
        <v>0.9</v>
      </c>
      <c r="M77" s="259">
        <f t="shared" si="18"/>
        <v>0</v>
      </c>
      <c r="N77" s="259">
        <f t="shared" si="18"/>
        <v>0.9</v>
      </c>
      <c r="O77" s="259">
        <f t="shared" si="18"/>
        <v>0</v>
      </c>
      <c r="P77" s="259">
        <f t="shared" si="18"/>
        <v>0.9</v>
      </c>
      <c r="Q77" s="259">
        <f t="shared" si="18"/>
        <v>0</v>
      </c>
      <c r="R77" s="259">
        <f t="shared" si="18"/>
        <v>0.9</v>
      </c>
      <c r="S77" s="259">
        <f t="shared" si="18"/>
        <v>0.25</v>
      </c>
      <c r="T77" s="259">
        <f t="shared" si="18"/>
        <v>0.9</v>
      </c>
      <c r="U77" s="259">
        <f t="shared" si="18"/>
        <v>0.27</v>
      </c>
      <c r="V77" s="259">
        <f t="shared" si="18"/>
        <v>334.48</v>
      </c>
      <c r="W77" s="259">
        <f t="shared" si="18"/>
        <v>0.54</v>
      </c>
      <c r="X77" s="259">
        <f t="shared" si="18"/>
        <v>0.9</v>
      </c>
      <c r="Y77" s="259">
        <f t="shared" si="18"/>
        <v>333.85</v>
      </c>
      <c r="Z77" s="259">
        <f t="shared" si="18"/>
        <v>0.9</v>
      </c>
      <c r="AA77" s="259">
        <f t="shared" si="18"/>
        <v>0.27</v>
      </c>
      <c r="AB77" s="259">
        <f t="shared" si="18"/>
        <v>76</v>
      </c>
      <c r="AC77" s="259">
        <f t="shared" si="18"/>
        <v>0.27</v>
      </c>
      <c r="AD77" s="259">
        <f t="shared" si="18"/>
        <v>18.22</v>
      </c>
      <c r="AE77" s="260">
        <f t="shared" si="18"/>
        <v>0</v>
      </c>
      <c r="AF77" s="988"/>
    </row>
    <row r="78" spans="1:32" ht="33" x14ac:dyDescent="0.25">
      <c r="A78" s="240" t="s">
        <v>174</v>
      </c>
      <c r="B78" s="259"/>
      <c r="C78" s="259"/>
      <c r="D78" s="259"/>
      <c r="E78" s="259"/>
      <c r="F78" s="259"/>
      <c r="G78" s="259"/>
      <c r="H78" s="259"/>
      <c r="I78" s="259"/>
      <c r="J78" s="259"/>
      <c r="K78" s="259"/>
      <c r="L78" s="259"/>
      <c r="M78" s="259"/>
      <c r="N78" s="259"/>
      <c r="O78" s="259"/>
      <c r="P78" s="259"/>
      <c r="Q78" s="259"/>
      <c r="R78" s="259"/>
      <c r="S78" s="259"/>
      <c r="T78" s="259"/>
      <c r="U78" s="259"/>
      <c r="V78" s="259"/>
      <c r="W78" s="259"/>
      <c r="X78" s="259"/>
      <c r="Y78" s="259"/>
      <c r="Z78" s="259"/>
      <c r="AA78" s="259"/>
      <c r="AB78" s="259"/>
      <c r="AC78" s="259"/>
      <c r="AD78" s="259"/>
      <c r="AE78" s="260"/>
      <c r="AF78" s="988"/>
    </row>
    <row r="79" spans="1:32" ht="18.75" x14ac:dyDescent="0.25">
      <c r="A79" s="243" t="s">
        <v>374</v>
      </c>
      <c r="B79" s="259"/>
      <c r="C79" s="259"/>
      <c r="D79" s="259"/>
      <c r="E79" s="259"/>
      <c r="F79" s="259"/>
      <c r="G79" s="259"/>
      <c r="H79" s="259"/>
      <c r="I79" s="259"/>
      <c r="J79" s="259"/>
      <c r="K79" s="259"/>
      <c r="L79" s="259"/>
      <c r="M79" s="259"/>
      <c r="N79" s="259"/>
      <c r="O79" s="259"/>
      <c r="P79" s="259"/>
      <c r="Q79" s="259"/>
      <c r="R79" s="259"/>
      <c r="S79" s="259"/>
      <c r="T79" s="259"/>
      <c r="U79" s="259"/>
      <c r="V79" s="259"/>
      <c r="W79" s="259"/>
      <c r="X79" s="259"/>
      <c r="Y79" s="259"/>
      <c r="Z79" s="259"/>
      <c r="AA79" s="259"/>
      <c r="AB79" s="259"/>
      <c r="AC79" s="259"/>
      <c r="AD79" s="259"/>
      <c r="AE79" s="260"/>
      <c r="AF79" s="988"/>
    </row>
  </sheetData>
  <customSheetViews>
    <customSheetView guid="{7C130984-112A-4861-AA43-E2940708E3DC}" state="hidden">
      <pane ySplit="5" topLeftCell="A51" activePane="bottomLeft" state="frozen"/>
      <selection pane="bottomLeft" activeCell="J49" sqref="J49:AE49"/>
      <pageMargins left="0.7" right="0.7" top="0.75" bottom="0.75" header="0.3" footer="0.3"/>
      <pageSetup paperSize="9" orientation="portrait" r:id="rId1"/>
    </customSheetView>
    <customSheetView guid="{533DC55B-6AD4-4674-9488-685EF2039F3E}" state="hidden">
      <pane ySplit="5" topLeftCell="A51" activePane="bottomLeft" state="frozen"/>
      <selection pane="bottomLeft" activeCell="J49" sqref="J49:AE49"/>
      <pageMargins left="0.7" right="0.7" top="0.75" bottom="0.75" header="0.3" footer="0.3"/>
      <pageSetup paperSize="9" orientation="portrait" r:id="rId2"/>
    </customSheetView>
    <customSheetView guid="{09C3E205-981E-4A4E-BE89-8B7044192060}">
      <pane ySplit="5" topLeftCell="A51" activePane="bottomLeft" state="frozen"/>
      <selection pane="bottomLeft" activeCell="J49" sqref="J49:AE49"/>
      <pageMargins left="0.7" right="0.7" top="0.75" bottom="0.75" header="0.3" footer="0.3"/>
      <pageSetup paperSize="9" orientation="portrait" r:id="rId3"/>
    </customSheetView>
    <customSheetView guid="{B1BF08D1-D416-4B47-ADD0-4F59132DC9E8}">
      <pane ySplit="5" topLeftCell="A51" activePane="bottomLeft" state="frozen"/>
      <selection pane="bottomLeft" activeCell="J49" sqref="J49:AE49"/>
      <pageMargins left="0.7" right="0.7" top="0.75" bottom="0.75" header="0.3" footer="0.3"/>
      <pageSetup paperSize="9" orientation="portrait" r:id="rId4"/>
    </customSheetView>
    <customSheetView guid="{4F41B9CC-959D-442C-80B0-1F0DB2C76D27}">
      <pane ySplit="5" topLeftCell="A51" activePane="bottomLeft" state="frozen"/>
      <selection pane="bottomLeft" activeCell="J49" sqref="J49:AE49"/>
      <pageMargins left="0.7" right="0.7" top="0.75" bottom="0.75" header="0.3" footer="0.3"/>
      <pageSetup paperSize="9" orientation="portrait" r:id="rId5"/>
    </customSheetView>
    <customSheetView guid="{84867370-1F3E-4368-AF79-FBCE46FFFE92}" topLeftCell="N1">
      <pane ySplit="5" topLeftCell="A51" activePane="bottomLeft" state="frozen"/>
      <selection pane="bottomLeft" activeCell="J49" sqref="J49:AE49"/>
      <pageMargins left="0.7" right="0.7" top="0.75" bottom="0.75" header="0.3" footer="0.3"/>
      <pageSetup paperSize="9" orientation="portrait" r:id="rId6"/>
    </customSheetView>
    <customSheetView guid="{E508E171-4ED9-4B07-84DF-DA28C60E1969}" topLeftCell="N1">
      <pane ySplit="5" topLeftCell="A51" activePane="bottomLeft" state="frozen"/>
      <selection pane="bottomLeft" activeCell="J49" sqref="J49:AE49"/>
      <pageMargins left="0.7" right="0.7" top="0.75" bottom="0.75" header="0.3" footer="0.3"/>
      <pageSetup paperSize="9" orientation="portrait" r:id="rId7"/>
    </customSheetView>
    <customSheetView guid="{602C8EDB-B9EF-4C85-B0D5-0558C3A0ABAB}" topLeftCell="N1">
      <pane ySplit="5" topLeftCell="A51" activePane="bottomLeft" state="frozen"/>
      <selection pane="bottomLeft" activeCell="J49" sqref="J49:AE49"/>
      <pageMargins left="0.7" right="0.7" top="0.75" bottom="0.75" header="0.3" footer="0.3"/>
      <pageSetup paperSize="9" orientation="portrait" r:id="rId8"/>
    </customSheetView>
    <customSheetView guid="{84B3377A-1CDD-4881-99FA-112F8B470D6F}" topLeftCell="N1">
      <pane ySplit="5" topLeftCell="A51" activePane="bottomLeft" state="frozen"/>
      <selection pane="bottomLeft" activeCell="J49" sqref="J49:AE49"/>
      <pageMargins left="0.7" right="0.7" top="0.75" bottom="0.75" header="0.3" footer="0.3"/>
      <pageSetup paperSize="9" orientation="portrait" r:id="rId9"/>
    </customSheetView>
    <customSheetView guid="{87218168-6C8E-4D5B-A5E5-DCCC26803AA3}" scale="60">
      <pane ySplit="5" topLeftCell="A6" activePane="bottomLeft" state="frozen"/>
      <selection pane="bottomLeft" activeCell="A2" sqref="A2:AD2"/>
      <pageMargins left="0.7" right="0.7" top="0.75" bottom="0.75" header="0.3" footer="0.3"/>
      <pageSetup paperSize="9" orientation="portrait" r:id="rId10"/>
    </customSheetView>
    <customSheetView guid="{6A602CB8-B24C-4ED4-B378-B27354BE0A1A}" scale="60">
      <pane ySplit="5" topLeftCell="A6" activePane="bottomLeft" state="frozen"/>
      <selection pane="bottomLeft" activeCell="A2" sqref="A2:AD2"/>
      <pageMargins left="0.7" right="0.7" top="0.75" bottom="0.75" header="0.3" footer="0.3"/>
      <pageSetup paperSize="9" orientation="portrait" r:id="rId11"/>
    </customSheetView>
    <customSheetView guid="{D01FA037-9AEC-4167-ADB8-2F327C01ECE6}" scale="60">
      <pane ySplit="5" topLeftCell="A6" activePane="bottomLeft" state="frozen"/>
      <selection pane="bottomLeft" activeCell="A2" sqref="A2:AD2"/>
      <pageMargins left="0.7" right="0.7" top="0.75" bottom="0.75" header="0.3" footer="0.3"/>
      <pageSetup paperSize="9" orientation="portrait" r:id="rId12"/>
    </customSheetView>
    <customSheetView guid="{74870EE6-26B9-40F7-9DC9-260EF16D8959}" scale="60">
      <pane ySplit="5" topLeftCell="A6" activePane="bottomLeft" state="frozen"/>
      <selection pane="bottomLeft" activeCell="A2" sqref="A2:AD2"/>
      <pageMargins left="0.7" right="0.7" top="0.75" bottom="0.75" header="0.3" footer="0.3"/>
      <pageSetup paperSize="9" orientation="portrait" r:id="rId13"/>
    </customSheetView>
    <customSheetView guid="{7226EA2B-7866-416F-9240-410CC1BF0336}" scale="60">
      <pane ySplit="5" topLeftCell="A6" activePane="bottomLeft" state="frozen"/>
      <selection pane="bottomLeft" activeCell="A2" sqref="A2:AD2"/>
      <pageMargins left="0.7" right="0.7" top="0.75" bottom="0.75" header="0.3" footer="0.3"/>
      <pageSetup paperSize="9" orientation="portrait" r:id="rId14"/>
    </customSheetView>
    <customSheetView guid="{F8CAB90F-9980-4EC7-B30B-1637EB515304}" scale="60" topLeftCell="D1">
      <pane ySplit="5" topLeftCell="A33" activePane="bottomLeft" state="frozen"/>
      <selection pane="bottomLeft" activeCell="AF47" sqref="AF47:AF52"/>
      <pageMargins left="0.7" right="0.7" top="0.75" bottom="0.75" header="0.3" footer="0.3"/>
      <pageSetup paperSize="9" orientation="portrait" r:id="rId15"/>
    </customSheetView>
    <customSheetView guid="{415078CD-EB99-432D-90BA-2F3D5A746E20}" scale="80">
      <pane ySplit="5" topLeftCell="A6" activePane="bottomLeft" state="frozen"/>
      <selection pane="bottomLeft" sqref="A1:XFD1048576"/>
      <pageMargins left="0.7" right="0.7" top="0.75" bottom="0.75" header="0.3" footer="0.3"/>
      <pageSetup paperSize="9" orientation="portrait" r:id="rId16"/>
    </customSheetView>
    <customSheetView guid="{CB4792DB-A624-4844-AEB6-A6ADA80946BB}" scale="80">
      <pane ySplit="5" topLeftCell="A6" activePane="bottomLeft" state="frozen"/>
      <selection pane="bottomLeft" activeCell="A22" sqref="A22:AE22"/>
      <pageMargins left="0.7" right="0.7" top="0.75" bottom="0.75" header="0.3" footer="0.3"/>
    </customSheetView>
    <customSheetView guid="{0C2B9C2A-7B94-41EF-A2E6-F8AC9A67DE25}" scale="80">
      <pane ySplit="5" topLeftCell="A6" activePane="bottomLeft" state="frozen"/>
      <selection pane="bottomLeft" activeCell="A22" sqref="A22:AE22"/>
      <pageMargins left="0.7" right="0.7" top="0.75" bottom="0.75" header="0.3" footer="0.3"/>
    </customSheetView>
    <customSheetView guid="{391AB76E-B386-49C1-800F-016A48AA1A46}" scale="80">
      <pane ySplit="5" topLeftCell="A6" activePane="bottomLeft" state="frozen"/>
      <selection pane="bottomLeft" activeCell="A22" sqref="A22:AE22"/>
      <pageMargins left="0.7" right="0.7" top="0.75" bottom="0.75" header="0.3" footer="0.3"/>
    </customSheetView>
    <customSheetView guid="{959E901C-5DDE-42EE-AE94-AB8976B5E00B}" scale="80">
      <pane ySplit="5" topLeftCell="A57" activePane="bottomLeft" state="frozen"/>
      <selection pane="bottomLeft" activeCell="D58" sqref="D58"/>
      <pageMargins left="0.7" right="0.7" top="0.75" bottom="0.75" header="0.3" footer="0.3"/>
    </customSheetView>
    <customSheetView guid="{F679EF4A-C5FD-4B86-B87B-D85968E0F2CA}" scale="80">
      <pane ySplit="5" topLeftCell="A57" activePane="bottomLeft" state="frozen"/>
      <selection pane="bottomLeft" activeCell="D58" sqref="D58"/>
      <pageMargins left="0.7" right="0.7" top="0.75" bottom="0.75" header="0.3" footer="0.3"/>
    </customSheetView>
    <customSheetView guid="{009B3074-D8EC-4952-BF50-43CD64449612}" scale="80">
      <pane ySplit="5" topLeftCell="A57" activePane="bottomLeft" state="frozen"/>
      <selection pane="bottomLeft" activeCell="D58" sqref="D58"/>
      <pageMargins left="0.7" right="0.7" top="0.75" bottom="0.75" header="0.3" footer="0.3"/>
    </customSheetView>
    <customSheetView guid="{770624BF-07F3-44B6-94C3-4CC447CDD45C}" scale="80">
      <pane ySplit="5" topLeftCell="A57" activePane="bottomLeft" state="frozen"/>
      <selection pane="bottomLeft" activeCell="D58" sqref="D58"/>
      <pageMargins left="0.7" right="0.7" top="0.75" bottom="0.75" header="0.3" footer="0.3"/>
    </customSheetView>
    <customSheetView guid="{B82BA08A-1A30-4F4D-A478-74A6BD09EA97}" scale="80">
      <selection activeCell="AF47" sqref="AF47:AF52"/>
      <pageMargins left="0.7" right="0.7" top="0.75" bottom="0.75" header="0.3" footer="0.3"/>
    </customSheetView>
    <customSheetView guid="{874882D1-E741-4CCA-BF0D-E72FA60B771D}" scale="80" showPageBreaks="1" topLeftCell="A52">
      <selection activeCell="M87" sqref="M87"/>
      <pageMargins left="0.7" right="0.7" top="0.75" bottom="0.75" header="0.3" footer="0.3"/>
      <pageSetup paperSize="9" orientation="landscape" horizontalDpi="0" verticalDpi="0" r:id="rId17"/>
    </customSheetView>
    <customSheetView guid="{C236B307-BD63-48C4-A75F-B3F3717BF55C}" scale="80">
      <selection activeCell="AF47" sqref="AF47:AF52"/>
      <pageMargins left="0.7" right="0.7" top="0.75" bottom="0.75" header="0.3" footer="0.3"/>
    </customSheetView>
    <customSheetView guid="{BCD82A82-B724-4763-8580-D765356E09BA}" scale="70">
      <selection activeCell="A2" sqref="A2:AD2"/>
      <pageMargins left="0.7" right="0.7" top="0.75" bottom="0.75" header="0.3" footer="0.3"/>
    </customSheetView>
    <customSheetView guid="{85F4575B-DBC5-482A-9916-255D8F0BC94E}" scale="80">
      <pane ySplit="5" topLeftCell="A57" activePane="bottomLeft" state="frozen"/>
      <selection pane="bottomLeft" activeCell="A23" sqref="A23:AF23"/>
      <pageMargins left="0.7" right="0.7" top="0.75" bottom="0.75" header="0.3" footer="0.3"/>
    </customSheetView>
    <customSheetView guid="{4D0DFB57-2CBA-42F2-9A97-C453A6851FBA}" scale="80" topLeftCell="O1">
      <pane ySplit="5" topLeftCell="A15" activePane="bottomLeft" state="frozen"/>
      <selection pane="bottomLeft" activeCell="A4" sqref="A4:AF79"/>
      <pageMargins left="0.7" right="0.7" top="0.75" bottom="0.75" header="0.3" footer="0.3"/>
    </customSheetView>
    <customSheetView guid="{CE1CCA00-200D-4EAA-9FBE-F8EE7C5F82FE}" scale="80">
      <pane ySplit="5" topLeftCell="A6" activePane="bottomLeft" state="frozen"/>
      <selection pane="bottomLeft" activeCell="A22" sqref="A22:AE22"/>
      <pageMargins left="0.7" right="0.7" top="0.75" bottom="0.75" header="0.3" footer="0.3"/>
    </customSheetView>
    <customSheetView guid="{AC2D5927-4079-4C74-AF69-1BFAC505648F}" scale="80">
      <pane ySplit="5" topLeftCell="A6" activePane="bottomLeft" state="frozen"/>
      <selection pane="bottomLeft" activeCell="A22" sqref="A22:AE22"/>
      <pageMargins left="0.7" right="0.7" top="0.75" bottom="0.75" header="0.3" footer="0.3"/>
    </customSheetView>
    <customSheetView guid="{3C3F523F-5F34-4CF7-831E-F1ABC4278CEB}" scale="80">
      <pane ySplit="5" topLeftCell="A6" activePane="bottomLeft" state="frozen"/>
      <selection pane="bottomLeft" sqref="A1:XFD1048576"/>
      <pageMargins left="0.7" right="0.7" top="0.75" bottom="0.75" header="0.3" footer="0.3"/>
      <pageSetup paperSize="9" orientation="portrait" r:id="rId18"/>
    </customSheetView>
    <customSheetView guid="{69DABE6F-6182-4403-A4A2-969F10F1C13A}" scale="60">
      <pane ySplit="5" topLeftCell="A6" activePane="bottomLeft" state="frozen"/>
      <selection pane="bottomLeft" activeCell="A2" sqref="A2:AD2"/>
      <pageMargins left="0.7" right="0.7" top="0.75" bottom="0.75" header="0.3" footer="0.3"/>
      <pageSetup paperSize="9" orientation="portrait" r:id="rId19"/>
    </customSheetView>
    <customSheetView guid="{DAA8A688-7558-4B5B-8DBD-E2629BD9E9A8}" topLeftCell="N1">
      <pane ySplit="5" topLeftCell="A51" activePane="bottomLeft" state="frozen"/>
      <selection pane="bottomLeft" activeCell="J49" sqref="J49:AE49"/>
      <pageMargins left="0.7" right="0.7" top="0.75" bottom="0.75" header="0.3" footer="0.3"/>
      <pageSetup paperSize="9" orientation="portrait" r:id="rId20"/>
    </customSheetView>
    <customSheetView guid="{47B983AB-FE5F-4725-860C-A2F29420596D}" topLeftCell="N1">
      <pane ySplit="5" topLeftCell="A51" activePane="bottomLeft" state="frozen"/>
      <selection pane="bottomLeft" activeCell="J49" sqref="J49:AE49"/>
      <pageMargins left="0.7" right="0.7" top="0.75" bottom="0.75" header="0.3" footer="0.3"/>
      <pageSetup paperSize="9" orientation="portrait" r:id="rId21"/>
    </customSheetView>
    <customSheetView guid="{442F2C94-DD1B-4A01-8694-513D4D6F3BD9}" topLeftCell="N1">
      <pane ySplit="5" topLeftCell="A51" activePane="bottomLeft" state="frozen"/>
      <selection pane="bottomLeft" activeCell="J49" sqref="J49:AE49"/>
      <pageMargins left="0.7" right="0.7" top="0.75" bottom="0.75" header="0.3" footer="0.3"/>
      <pageSetup paperSize="9" orientation="portrait" r:id="rId22"/>
    </customSheetView>
    <customSheetView guid="{472DFAFE-DC7C-463D-92A0-F6A14555FDD6}">
      <pane ySplit="5" topLeftCell="A51" activePane="bottomLeft" state="frozen"/>
      <selection pane="bottomLeft" activeCell="J49" sqref="J49:AE49"/>
      <pageMargins left="0.7" right="0.7" top="0.75" bottom="0.75" header="0.3" footer="0.3"/>
      <pageSetup paperSize="9" orientation="portrait" r:id="rId23"/>
    </customSheetView>
    <customSheetView guid="{B43381A8-767B-4F49-BD2E-0056691293F3}">
      <pane ySplit="5" topLeftCell="A51" activePane="bottomLeft" state="frozen"/>
      <selection pane="bottomLeft" activeCell="J49" sqref="J49:AE49"/>
      <pageMargins left="0.7" right="0.7" top="0.75" bottom="0.75" header="0.3" footer="0.3"/>
      <pageSetup paperSize="9" orientation="portrait" r:id="rId24"/>
    </customSheetView>
  </customSheetViews>
  <mergeCells count="39">
    <mergeCell ref="AF47:AF52"/>
    <mergeCell ref="AF54:AF59"/>
    <mergeCell ref="AF60:AF65"/>
    <mergeCell ref="A66:AE66"/>
    <mergeCell ref="A73:AE73"/>
    <mergeCell ref="A46:AF46"/>
    <mergeCell ref="A8:AF8"/>
    <mergeCell ref="AF9:AF14"/>
    <mergeCell ref="A15:AF15"/>
    <mergeCell ref="AF16:AF21"/>
    <mergeCell ref="A22:AE22"/>
    <mergeCell ref="A23:AF23"/>
    <mergeCell ref="AF24:AF29"/>
    <mergeCell ref="A30:AF30"/>
    <mergeCell ref="AF38:AF43"/>
    <mergeCell ref="A44:AF44"/>
    <mergeCell ref="A45:AE45"/>
    <mergeCell ref="A7:AF7"/>
    <mergeCell ref="L4:M4"/>
    <mergeCell ref="N4:O4"/>
    <mergeCell ref="P4:Q4"/>
    <mergeCell ref="R4:S4"/>
    <mergeCell ref="T4:U4"/>
    <mergeCell ref="V4:W4"/>
    <mergeCell ref="X4:Y4"/>
    <mergeCell ref="Z4:AA4"/>
    <mergeCell ref="AB4:AC4"/>
    <mergeCell ref="AD4:AE4"/>
    <mergeCell ref="A6:AF6"/>
    <mergeCell ref="A1:AD1"/>
    <mergeCell ref="A2:AD2"/>
    <mergeCell ref="A4:A5"/>
    <mergeCell ref="B4:B5"/>
    <mergeCell ref="C4:C5"/>
    <mergeCell ref="D4:D5"/>
    <mergeCell ref="E4:E5"/>
    <mergeCell ref="F4:G4"/>
    <mergeCell ref="H4:I4"/>
    <mergeCell ref="J4:K4"/>
  </mergeCells>
  <hyperlinks>
    <hyperlink ref="A2:AD2" location="Оглавление!A1" display="«Экологическая безопасность города Когалыма» "/>
  </hyperlinks>
  <pageMargins left="0.7" right="0.7" top="0.75" bottom="0.75" header="0.3" footer="0.3"/>
  <pageSetup paperSize="9" orientation="portrait"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2"/>
  <sheetViews>
    <sheetView zoomScale="85" zoomScaleNormal="85" workbookViewId="0">
      <pane xSplit="1" ySplit="6" topLeftCell="B24" activePane="bottomRight" state="frozen"/>
      <selection pane="topRight" activeCell="B1" sqref="B1"/>
      <selection pane="bottomLeft" activeCell="A7" sqref="A7"/>
      <selection pane="bottomRight" activeCell="D55" sqref="D55"/>
    </sheetView>
  </sheetViews>
  <sheetFormatPr defaultColWidth="9.140625" defaultRowHeight="21" x14ac:dyDescent="0.35"/>
  <cols>
    <col min="1" max="1" width="46.140625" style="373" customWidth="1"/>
    <col min="2" max="2" width="17.42578125" style="373" customWidth="1"/>
    <col min="3" max="3" width="17.140625" style="373" customWidth="1"/>
    <col min="4" max="4" width="17" style="373" customWidth="1"/>
    <col min="5" max="5" width="19.42578125" style="373" customWidth="1"/>
    <col min="6" max="6" width="16.5703125" style="373" bestFit="1" customWidth="1"/>
    <col min="7" max="8" width="13.42578125" style="373" bestFit="1" customWidth="1"/>
    <col min="9" max="9" width="13.5703125" style="373" bestFit="1" customWidth="1"/>
    <col min="10" max="10" width="17.28515625" style="373" bestFit="1" customWidth="1"/>
    <col min="11" max="11" width="16.7109375" style="373" customWidth="1"/>
    <col min="12" max="12" width="14.85546875" style="373" bestFit="1" customWidth="1"/>
    <col min="13" max="13" width="13.5703125" style="373" bestFit="1" customWidth="1"/>
    <col min="14" max="14" width="17.28515625" style="373" bestFit="1" customWidth="1"/>
    <col min="15" max="15" width="15.7109375" style="373" customWidth="1"/>
    <col min="16" max="16" width="17.28515625" style="373" bestFit="1" customWidth="1"/>
    <col min="17" max="17" width="15.5703125" style="373" customWidth="1"/>
    <col min="18" max="18" width="17.28515625" style="373" bestFit="1" customWidth="1"/>
    <col min="19" max="19" width="14.7109375" style="373" bestFit="1" customWidth="1"/>
    <col min="20" max="20" width="17.28515625" style="373" bestFit="1" customWidth="1"/>
    <col min="21" max="21" width="14.7109375" style="373" bestFit="1" customWidth="1"/>
    <col min="22" max="22" width="17.28515625" style="373" bestFit="1" customWidth="1"/>
    <col min="23" max="23" width="14.7109375" style="373" bestFit="1" customWidth="1"/>
    <col min="24" max="24" width="13.28515625" style="373" customWidth="1"/>
    <col min="25" max="25" width="14.7109375" style="373" bestFit="1" customWidth="1"/>
    <col min="26" max="26" width="15.5703125" style="373" bestFit="1" customWidth="1"/>
    <col min="27" max="27" width="13.5703125" style="373" bestFit="1" customWidth="1"/>
    <col min="28" max="28" width="15.5703125" style="373" bestFit="1" customWidth="1"/>
    <col min="29" max="29" width="13.5703125" style="373" bestFit="1" customWidth="1"/>
    <col min="30" max="30" width="13.42578125" style="373" bestFit="1" customWidth="1"/>
    <col min="31" max="31" width="13.5703125" style="373" bestFit="1" customWidth="1"/>
    <col min="32" max="32" width="36.140625" style="373" customWidth="1"/>
    <col min="33" max="33" width="21" style="543" customWidth="1"/>
    <col min="34" max="16384" width="9.140625" style="373"/>
  </cols>
  <sheetData>
    <row r="1" spans="1:33" x14ac:dyDescent="0.35">
      <c r="A1" s="1122" t="s">
        <v>0</v>
      </c>
      <c r="B1" s="1122"/>
      <c r="C1" s="1122"/>
      <c r="D1" s="1122"/>
      <c r="E1" s="1122"/>
      <c r="F1" s="1122"/>
      <c r="G1" s="1122"/>
      <c r="H1" s="1122"/>
      <c r="I1" s="1122"/>
      <c r="J1" s="1122"/>
      <c r="K1" s="1122"/>
      <c r="L1" s="1122"/>
      <c r="M1" s="1122"/>
      <c r="N1" s="1122"/>
      <c r="O1" s="1122"/>
      <c r="P1" s="1122"/>
      <c r="Q1" s="1122"/>
      <c r="R1" s="1122"/>
      <c r="S1" s="1122"/>
      <c r="T1" s="1122"/>
      <c r="U1" s="1122"/>
      <c r="V1" s="1122"/>
      <c r="W1" s="1122"/>
      <c r="X1" s="1122"/>
      <c r="Y1" s="1122"/>
      <c r="Z1" s="1122"/>
      <c r="AA1" s="1122"/>
      <c r="AB1" s="1122"/>
      <c r="AC1" s="1122"/>
      <c r="AD1" s="1122"/>
      <c r="AE1" s="1122"/>
      <c r="AF1" s="1122"/>
    </row>
    <row r="2" spans="1:33" ht="27.75" customHeight="1" x14ac:dyDescent="0.35">
      <c r="A2" s="1123" t="s">
        <v>40</v>
      </c>
      <c r="B2" s="1123"/>
      <c r="C2" s="1123"/>
      <c r="D2" s="1123"/>
      <c r="E2" s="1123"/>
      <c r="F2" s="1123"/>
      <c r="G2" s="1123"/>
      <c r="H2" s="1123"/>
      <c r="I2" s="1123"/>
      <c r="J2" s="1123"/>
      <c r="K2" s="1123"/>
      <c r="L2" s="1123"/>
      <c r="M2" s="1123"/>
      <c r="N2" s="1123"/>
      <c r="O2" s="1123"/>
      <c r="P2" s="1123"/>
      <c r="Q2" s="1123"/>
      <c r="R2" s="1123"/>
      <c r="S2" s="1123"/>
      <c r="T2" s="1123"/>
      <c r="U2" s="1123"/>
      <c r="V2" s="1123"/>
      <c r="W2" s="1123"/>
      <c r="X2" s="1123"/>
      <c r="Y2" s="1123"/>
      <c r="Z2" s="1123"/>
      <c r="AA2" s="1123"/>
      <c r="AB2" s="1123"/>
      <c r="AC2" s="1123"/>
      <c r="AD2" s="1123"/>
      <c r="AE2" s="1123"/>
      <c r="AF2" s="374" t="s">
        <v>1</v>
      </c>
    </row>
    <row r="3" spans="1:33" ht="75" customHeight="1" x14ac:dyDescent="0.35">
      <c r="A3" s="1124" t="s">
        <v>2</v>
      </c>
      <c r="B3" s="1131" t="s">
        <v>3</v>
      </c>
      <c r="C3" s="1131" t="s">
        <v>3</v>
      </c>
      <c r="D3" s="1131" t="s">
        <v>4</v>
      </c>
      <c r="E3" s="1131" t="s">
        <v>5</v>
      </c>
      <c r="F3" s="1127" t="s">
        <v>6</v>
      </c>
      <c r="G3" s="1128"/>
      <c r="H3" s="1127" t="s">
        <v>7</v>
      </c>
      <c r="I3" s="1128"/>
      <c r="J3" s="1127" t="s">
        <v>8</v>
      </c>
      <c r="K3" s="1128"/>
      <c r="L3" s="1127" t="s">
        <v>9</v>
      </c>
      <c r="M3" s="1128"/>
      <c r="N3" s="1127" t="s">
        <v>10</v>
      </c>
      <c r="O3" s="1128"/>
      <c r="P3" s="1127" t="s">
        <v>11</v>
      </c>
      <c r="Q3" s="1128"/>
      <c r="R3" s="1127" t="s">
        <v>12</v>
      </c>
      <c r="S3" s="1128"/>
      <c r="T3" s="1127" t="s">
        <v>13</v>
      </c>
      <c r="U3" s="1128"/>
      <c r="V3" s="1127" t="s">
        <v>14</v>
      </c>
      <c r="W3" s="1128"/>
      <c r="X3" s="1127" t="s">
        <v>15</v>
      </c>
      <c r="Y3" s="1128"/>
      <c r="Z3" s="1127" t="s">
        <v>16</v>
      </c>
      <c r="AA3" s="1128"/>
      <c r="AB3" s="1127" t="s">
        <v>17</v>
      </c>
      <c r="AC3" s="1128"/>
      <c r="AD3" s="1127" t="s">
        <v>18</v>
      </c>
      <c r="AE3" s="1128"/>
      <c r="AF3" s="1124" t="s">
        <v>19</v>
      </c>
    </row>
    <row r="4" spans="1:33" ht="18.75" customHeight="1" x14ac:dyDescent="0.35">
      <c r="A4" s="1125"/>
      <c r="B4" s="1132"/>
      <c r="C4" s="1132"/>
      <c r="D4" s="1132"/>
      <c r="E4" s="1132"/>
      <c r="F4" s="1129"/>
      <c r="G4" s="1130"/>
      <c r="H4" s="1129"/>
      <c r="I4" s="1130"/>
      <c r="J4" s="1129"/>
      <c r="K4" s="1130"/>
      <c r="L4" s="1129"/>
      <c r="M4" s="1130"/>
      <c r="N4" s="1129"/>
      <c r="O4" s="1130"/>
      <c r="P4" s="1129"/>
      <c r="Q4" s="1130"/>
      <c r="R4" s="1129"/>
      <c r="S4" s="1130"/>
      <c r="T4" s="1129"/>
      <c r="U4" s="1130"/>
      <c r="V4" s="1129"/>
      <c r="W4" s="1130"/>
      <c r="X4" s="1129"/>
      <c r="Y4" s="1130"/>
      <c r="Z4" s="1129"/>
      <c r="AA4" s="1130"/>
      <c r="AB4" s="1129"/>
      <c r="AC4" s="1130"/>
      <c r="AD4" s="1129"/>
      <c r="AE4" s="1130"/>
      <c r="AF4" s="1125"/>
    </row>
    <row r="5" spans="1:33" ht="56.25" x14ac:dyDescent="0.35">
      <c r="A5" s="375"/>
      <c r="B5" s="376">
        <v>2024</v>
      </c>
      <c r="C5" s="404">
        <v>45658</v>
      </c>
      <c r="D5" s="377">
        <f>C5</f>
        <v>45658</v>
      </c>
      <c r="E5" s="377">
        <f>C5</f>
        <v>45658</v>
      </c>
      <c r="F5" s="378" t="s">
        <v>20</v>
      </c>
      <c r="G5" s="378" t="s">
        <v>21</v>
      </c>
      <c r="H5" s="378" t="s">
        <v>22</v>
      </c>
      <c r="I5" s="378" t="s">
        <v>23</v>
      </c>
      <c r="J5" s="378" t="s">
        <v>22</v>
      </c>
      <c r="K5" s="378" t="s">
        <v>23</v>
      </c>
      <c r="L5" s="378" t="s">
        <v>22</v>
      </c>
      <c r="M5" s="378" t="s">
        <v>23</v>
      </c>
      <c r="N5" s="378" t="s">
        <v>22</v>
      </c>
      <c r="O5" s="378" t="s">
        <v>23</v>
      </c>
      <c r="P5" s="378" t="s">
        <v>22</v>
      </c>
      <c r="Q5" s="378" t="s">
        <v>23</v>
      </c>
      <c r="R5" s="378" t="s">
        <v>22</v>
      </c>
      <c r="S5" s="378" t="s">
        <v>23</v>
      </c>
      <c r="T5" s="378" t="s">
        <v>22</v>
      </c>
      <c r="U5" s="378" t="s">
        <v>23</v>
      </c>
      <c r="V5" s="378" t="s">
        <v>22</v>
      </c>
      <c r="W5" s="378" t="s">
        <v>23</v>
      </c>
      <c r="X5" s="378" t="s">
        <v>22</v>
      </c>
      <c r="Y5" s="378" t="s">
        <v>23</v>
      </c>
      <c r="Z5" s="378" t="s">
        <v>22</v>
      </c>
      <c r="AA5" s="378" t="s">
        <v>23</v>
      </c>
      <c r="AB5" s="378" t="s">
        <v>22</v>
      </c>
      <c r="AC5" s="378" t="s">
        <v>23</v>
      </c>
      <c r="AD5" s="378" t="s">
        <v>22</v>
      </c>
      <c r="AE5" s="378" t="s">
        <v>23</v>
      </c>
      <c r="AF5" s="1126"/>
    </row>
    <row r="6" spans="1:33" x14ac:dyDescent="0.35">
      <c r="A6" s="379">
        <v>1</v>
      </c>
      <c r="B6" s="379">
        <v>2</v>
      </c>
      <c r="C6" s="379">
        <v>3</v>
      </c>
      <c r="D6" s="379">
        <v>4</v>
      </c>
      <c r="E6" s="379">
        <v>5</v>
      </c>
      <c r="F6" s="379">
        <v>6</v>
      </c>
      <c r="G6" s="379">
        <v>7</v>
      </c>
      <c r="H6" s="379">
        <v>8</v>
      </c>
      <c r="I6" s="379">
        <v>9</v>
      </c>
      <c r="J6" s="379">
        <v>10</v>
      </c>
      <c r="K6" s="379">
        <v>11</v>
      </c>
      <c r="L6" s="379">
        <v>12</v>
      </c>
      <c r="M6" s="379">
        <v>13</v>
      </c>
      <c r="N6" s="379">
        <v>14</v>
      </c>
      <c r="O6" s="379">
        <v>15</v>
      </c>
      <c r="P6" s="379">
        <v>16</v>
      </c>
      <c r="Q6" s="379">
        <v>17</v>
      </c>
      <c r="R6" s="379">
        <v>18</v>
      </c>
      <c r="S6" s="379">
        <v>19</v>
      </c>
      <c r="T6" s="379">
        <v>20</v>
      </c>
      <c r="U6" s="379">
        <v>21</v>
      </c>
      <c r="V6" s="379">
        <v>22</v>
      </c>
      <c r="W6" s="379">
        <v>23</v>
      </c>
      <c r="X6" s="379">
        <v>24</v>
      </c>
      <c r="Y6" s="379">
        <v>25</v>
      </c>
      <c r="Z6" s="379">
        <v>26</v>
      </c>
      <c r="AA6" s="379">
        <v>27</v>
      </c>
      <c r="AB6" s="379">
        <v>28</v>
      </c>
      <c r="AC6" s="379">
        <v>29</v>
      </c>
      <c r="AD6" s="379">
        <v>30</v>
      </c>
      <c r="AE6" s="379">
        <v>31</v>
      </c>
      <c r="AF6" s="380">
        <v>32</v>
      </c>
    </row>
    <row r="7" spans="1:33" ht="56.25" customHeight="1" x14ac:dyDescent="0.35">
      <c r="A7" s="518" t="s">
        <v>36</v>
      </c>
      <c r="B7" s="519"/>
      <c r="C7" s="519"/>
      <c r="D7" s="519"/>
      <c r="E7" s="519"/>
      <c r="F7" s="519"/>
      <c r="G7" s="519"/>
      <c r="H7" s="520"/>
      <c r="I7" s="520"/>
      <c r="J7" s="520"/>
      <c r="K7" s="520"/>
      <c r="L7" s="520"/>
      <c r="M7" s="520"/>
      <c r="N7" s="520"/>
      <c r="O7" s="520"/>
      <c r="P7" s="520"/>
      <c r="Q7" s="520"/>
      <c r="R7" s="520"/>
      <c r="S7" s="520"/>
      <c r="T7" s="520"/>
      <c r="U7" s="520"/>
      <c r="V7" s="520"/>
      <c r="W7" s="520"/>
      <c r="X7" s="520"/>
      <c r="Y7" s="520"/>
      <c r="Z7" s="520"/>
      <c r="AA7" s="520"/>
      <c r="AB7" s="520"/>
      <c r="AC7" s="520"/>
      <c r="AD7" s="520"/>
      <c r="AE7" s="520"/>
      <c r="AF7" s="401"/>
    </row>
    <row r="8" spans="1:33" x14ac:dyDescent="0.35">
      <c r="A8" s="382" t="s">
        <v>54</v>
      </c>
      <c r="B8" s="381"/>
      <c r="C8" s="381"/>
      <c r="D8" s="381"/>
      <c r="E8" s="381"/>
      <c r="F8" s="381"/>
      <c r="G8" s="381"/>
      <c r="H8" s="397"/>
      <c r="I8" s="397"/>
      <c r="J8" s="397"/>
      <c r="K8" s="397"/>
      <c r="L8" s="397"/>
      <c r="M8" s="397"/>
      <c r="N8" s="397"/>
      <c r="O8" s="397"/>
      <c r="P8" s="397"/>
      <c r="Q8" s="397"/>
      <c r="R8" s="397"/>
      <c r="S8" s="397"/>
      <c r="T8" s="397"/>
      <c r="U8" s="397"/>
      <c r="V8" s="397"/>
      <c r="W8" s="397"/>
      <c r="X8" s="397"/>
      <c r="Y8" s="397"/>
      <c r="Z8" s="397"/>
      <c r="AA8" s="397"/>
      <c r="AB8" s="397"/>
      <c r="AC8" s="397"/>
      <c r="AD8" s="397"/>
      <c r="AE8" s="397"/>
      <c r="AF8" s="401"/>
    </row>
    <row r="9" spans="1:33" ht="57" x14ac:dyDescent="0.35">
      <c r="A9" s="388" t="s">
        <v>24</v>
      </c>
      <c r="B9" s="509"/>
      <c r="C9" s="509"/>
      <c r="D9" s="509"/>
      <c r="E9" s="509"/>
      <c r="F9" s="510"/>
      <c r="G9" s="510"/>
      <c r="H9" s="507"/>
      <c r="I9" s="507"/>
      <c r="J9" s="507"/>
      <c r="K9" s="507"/>
      <c r="L9" s="507"/>
      <c r="M9" s="507"/>
      <c r="N9" s="507"/>
      <c r="O9" s="507"/>
      <c r="P9" s="507"/>
      <c r="Q9" s="507"/>
      <c r="R9" s="507"/>
      <c r="S9" s="507"/>
      <c r="T9" s="507"/>
      <c r="U9" s="507"/>
      <c r="V9" s="507"/>
      <c r="W9" s="507"/>
      <c r="X9" s="507"/>
      <c r="Y9" s="507"/>
      <c r="Z9" s="507"/>
      <c r="AA9" s="507"/>
      <c r="AB9" s="507"/>
      <c r="AC9" s="507"/>
      <c r="AD9" s="507"/>
      <c r="AE9" s="507"/>
      <c r="AF9" s="402"/>
    </row>
    <row r="10" spans="1:33" x14ac:dyDescent="0.35">
      <c r="A10" s="524" t="s">
        <v>65</v>
      </c>
      <c r="B10" s="530">
        <f>B11+B12</f>
        <v>27391.752800000002</v>
      </c>
      <c r="C10" s="530">
        <f>C11+C12</f>
        <v>27391.752800000002</v>
      </c>
      <c r="D10" s="530">
        <f>D11+D12</f>
        <v>27306.897970000002</v>
      </c>
      <c r="E10" s="530">
        <f>E11+E12</f>
        <v>27248.921129999995</v>
      </c>
      <c r="F10" s="541">
        <f>E10/B10</f>
        <v>0.99478559583087334</v>
      </c>
      <c r="G10" s="541">
        <f>E10/C10</f>
        <v>0.99478559583087334</v>
      </c>
      <c r="H10" s="531">
        <f t="shared" ref="H10:AE10" si="0">H11+H12</f>
        <v>46.614999999999995</v>
      </c>
      <c r="I10" s="531">
        <f t="shared" si="0"/>
        <v>13</v>
      </c>
      <c r="J10" s="531">
        <f t="shared" si="0"/>
        <v>1205.8049000000001</v>
      </c>
      <c r="K10" s="531">
        <f t="shared" si="0"/>
        <v>814.41613000000007</v>
      </c>
      <c r="L10" s="531">
        <f t="shared" si="0"/>
        <v>739.73930000000007</v>
      </c>
      <c r="M10" s="531">
        <f t="shared" si="0"/>
        <v>742.18499999999995</v>
      </c>
      <c r="N10" s="531">
        <f t="shared" si="0"/>
        <v>1094.5126</v>
      </c>
      <c r="O10" s="531">
        <f t="shared" si="0"/>
        <v>774.31</v>
      </c>
      <c r="P10" s="531">
        <f t="shared" si="0"/>
        <v>758.47430000000008</v>
      </c>
      <c r="Q10" s="531">
        <f t="shared" si="0"/>
        <v>864.43000000000006</v>
      </c>
      <c r="R10" s="531">
        <f t="shared" si="0"/>
        <v>10585.351700000001</v>
      </c>
      <c r="S10" s="531">
        <f t="shared" si="0"/>
        <v>8345.19</v>
      </c>
      <c r="T10" s="531">
        <f t="shared" si="0"/>
        <v>7379.9979000000003</v>
      </c>
      <c r="U10" s="531">
        <f t="shared" si="0"/>
        <v>6175.74</v>
      </c>
      <c r="V10" s="531">
        <f t="shared" si="0"/>
        <v>3591.6242000000002</v>
      </c>
      <c r="W10" s="531">
        <f t="shared" si="0"/>
        <v>7263.27</v>
      </c>
      <c r="X10" s="531">
        <f t="shared" si="0"/>
        <v>631.52430000000004</v>
      </c>
      <c r="Y10" s="531">
        <f t="shared" si="0"/>
        <v>595.32999999999993</v>
      </c>
      <c r="Z10" s="531">
        <f t="shared" si="0"/>
        <v>647.20429999999999</v>
      </c>
      <c r="AA10" s="531">
        <f t="shared" si="0"/>
        <v>669.93</v>
      </c>
      <c r="AB10" s="531">
        <f t="shared" si="0"/>
        <v>589.90429999999992</v>
      </c>
      <c r="AC10" s="531">
        <f t="shared" si="0"/>
        <v>760.59</v>
      </c>
      <c r="AD10" s="531">
        <f t="shared" si="0"/>
        <v>121</v>
      </c>
      <c r="AE10" s="531">
        <f t="shared" si="0"/>
        <v>230.53</v>
      </c>
      <c r="AF10" s="402"/>
    </row>
    <row r="11" spans="1:33" x14ac:dyDescent="0.35">
      <c r="A11" s="385" t="s">
        <v>32</v>
      </c>
      <c r="B11" s="504">
        <f>B15+B19+B34</f>
        <v>8605.6</v>
      </c>
      <c r="C11" s="504">
        <f>C15+C19+C34</f>
        <v>8605.6</v>
      </c>
      <c r="D11" s="504">
        <f>D15+D19+D34</f>
        <v>8567.5751700000001</v>
      </c>
      <c r="E11" s="504">
        <f>E15+E19+E34</f>
        <v>8567.5831299999991</v>
      </c>
      <c r="F11" s="542">
        <f>E11/B11</f>
        <v>0.99558231035604705</v>
      </c>
      <c r="G11" s="542">
        <f>E11/C11</f>
        <v>0.99558231035604705</v>
      </c>
      <c r="H11" s="399">
        <f>H15+H19+H34</f>
        <v>15</v>
      </c>
      <c r="I11" s="399">
        <f t="shared" ref="I11:AE11" si="1">I15+I19+I34</f>
        <v>0</v>
      </c>
      <c r="J11" s="399">
        <f t="shared" si="1"/>
        <v>276.39999999999998</v>
      </c>
      <c r="K11" s="399">
        <f t="shared" si="1"/>
        <v>270.55313000000001</v>
      </c>
      <c r="L11" s="399">
        <f t="shared" si="1"/>
        <v>265.10000000000002</v>
      </c>
      <c r="M11" s="399">
        <f t="shared" si="1"/>
        <v>259.33</v>
      </c>
      <c r="N11" s="399">
        <f t="shared" si="1"/>
        <v>265.10000000000002</v>
      </c>
      <c r="O11" s="399">
        <f t="shared" si="1"/>
        <v>267.95</v>
      </c>
      <c r="P11" s="399">
        <f t="shared" si="1"/>
        <v>265.10000000000002</v>
      </c>
      <c r="Q11" s="399">
        <f t="shared" si="1"/>
        <v>253.93</v>
      </c>
      <c r="R11" s="399">
        <f t="shared" si="1"/>
        <v>2515.1</v>
      </c>
      <c r="S11" s="399">
        <f t="shared" si="1"/>
        <v>2497.69</v>
      </c>
      <c r="T11" s="399">
        <f t="shared" si="1"/>
        <v>2115.1</v>
      </c>
      <c r="U11" s="399">
        <f t="shared" si="1"/>
        <v>2112.83</v>
      </c>
      <c r="V11" s="399">
        <f t="shared" si="1"/>
        <v>2057</v>
      </c>
      <c r="W11" s="399">
        <f t="shared" si="1"/>
        <v>2050</v>
      </c>
      <c r="X11" s="399">
        <f t="shared" si="1"/>
        <v>223.7</v>
      </c>
      <c r="Y11" s="399">
        <f t="shared" si="1"/>
        <v>200</v>
      </c>
      <c r="Z11" s="399">
        <f t="shared" si="1"/>
        <v>221.6</v>
      </c>
      <c r="AA11" s="399">
        <f t="shared" si="1"/>
        <v>219.52</v>
      </c>
      <c r="AB11" s="399">
        <f t="shared" si="1"/>
        <v>265.39999999999998</v>
      </c>
      <c r="AC11" s="399">
        <f t="shared" si="1"/>
        <v>283.35000000000002</v>
      </c>
      <c r="AD11" s="399">
        <f t="shared" si="1"/>
        <v>121</v>
      </c>
      <c r="AE11" s="399">
        <f t="shared" si="1"/>
        <v>152.43</v>
      </c>
      <c r="AF11" s="402"/>
    </row>
    <row r="12" spans="1:33" x14ac:dyDescent="0.35">
      <c r="A12" s="385" t="s">
        <v>33</v>
      </c>
      <c r="B12" s="504">
        <f>B16+B20</f>
        <v>18786.152800000003</v>
      </c>
      <c r="C12" s="504">
        <f>C16+C20</f>
        <v>18786.152800000003</v>
      </c>
      <c r="D12" s="504">
        <f>D16+D20</f>
        <v>18739.322800000002</v>
      </c>
      <c r="E12" s="504">
        <f>E16+E20</f>
        <v>18681.337999999996</v>
      </c>
      <c r="F12" s="542">
        <f>E12/B12</f>
        <v>0.99442063518188739</v>
      </c>
      <c r="G12" s="542">
        <f>E12/C12</f>
        <v>0.99442063518188739</v>
      </c>
      <c r="H12" s="399">
        <f>H16+H20</f>
        <v>31.614999999999998</v>
      </c>
      <c r="I12" s="399">
        <f t="shared" ref="I12:AE12" si="2">I16+I20</f>
        <v>13</v>
      </c>
      <c r="J12" s="399">
        <f t="shared" si="2"/>
        <v>929.4049</v>
      </c>
      <c r="K12" s="399">
        <f t="shared" si="2"/>
        <v>543.86300000000006</v>
      </c>
      <c r="L12" s="399">
        <f t="shared" si="2"/>
        <v>474.63930000000005</v>
      </c>
      <c r="M12" s="399">
        <f t="shared" si="2"/>
        <v>482.85500000000002</v>
      </c>
      <c r="N12" s="399">
        <f t="shared" si="2"/>
        <v>829.41260000000011</v>
      </c>
      <c r="O12" s="399">
        <f t="shared" si="2"/>
        <v>506.36</v>
      </c>
      <c r="P12" s="399">
        <f t="shared" si="2"/>
        <v>493.37430000000006</v>
      </c>
      <c r="Q12" s="399">
        <f t="shared" si="2"/>
        <v>610.5</v>
      </c>
      <c r="R12" s="399">
        <f t="shared" si="2"/>
        <v>8070.2517000000007</v>
      </c>
      <c r="S12" s="399">
        <f t="shared" si="2"/>
        <v>5847.5</v>
      </c>
      <c r="T12" s="399">
        <f t="shared" si="2"/>
        <v>5264.8978999999999</v>
      </c>
      <c r="U12" s="399">
        <f t="shared" si="2"/>
        <v>4062.91</v>
      </c>
      <c r="V12" s="399">
        <f t="shared" si="2"/>
        <v>1534.6242</v>
      </c>
      <c r="W12" s="399">
        <f t="shared" si="2"/>
        <v>5213.2700000000004</v>
      </c>
      <c r="X12" s="399">
        <f t="shared" si="2"/>
        <v>407.82430000000005</v>
      </c>
      <c r="Y12" s="399">
        <f t="shared" si="2"/>
        <v>395.33</v>
      </c>
      <c r="Z12" s="399">
        <f t="shared" si="2"/>
        <v>425.60429999999997</v>
      </c>
      <c r="AA12" s="399">
        <f t="shared" si="2"/>
        <v>450.40999999999997</v>
      </c>
      <c r="AB12" s="399">
        <f t="shared" si="2"/>
        <v>324.5043</v>
      </c>
      <c r="AC12" s="399">
        <f t="shared" si="2"/>
        <v>477.24</v>
      </c>
      <c r="AD12" s="399">
        <f t="shared" si="2"/>
        <v>0</v>
      </c>
      <c r="AE12" s="399">
        <f t="shared" si="2"/>
        <v>78.099999999999994</v>
      </c>
      <c r="AF12" s="402"/>
    </row>
    <row r="13" spans="1:33" ht="345" x14ac:dyDescent="0.35">
      <c r="A13" s="549" t="s">
        <v>25</v>
      </c>
      <c r="B13" s="534"/>
      <c r="C13" s="534"/>
      <c r="D13" s="534"/>
      <c r="E13" s="534"/>
      <c r="F13" s="535"/>
      <c r="G13" s="535"/>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537"/>
      <c r="AF13" s="1041" t="s">
        <v>680</v>
      </c>
    </row>
    <row r="14" spans="1:33" x14ac:dyDescent="0.35">
      <c r="A14" s="524" t="s">
        <v>65</v>
      </c>
      <c r="B14" s="530">
        <f>B15+B16</f>
        <v>1506.6</v>
      </c>
      <c r="C14" s="530">
        <f>C15+C16</f>
        <v>1506.6</v>
      </c>
      <c r="D14" s="530">
        <f>D15+D16</f>
        <v>1421.7451699999999</v>
      </c>
      <c r="E14" s="530">
        <f>E15+E16</f>
        <v>1421.7531299999998</v>
      </c>
      <c r="F14" s="541">
        <f>E14/B14</f>
        <v>0.94368321385902021</v>
      </c>
      <c r="G14" s="541">
        <f>E14/C14</f>
        <v>0.94368321385902021</v>
      </c>
      <c r="H14" s="531">
        <f>H15+H16</f>
        <v>46.614999999999995</v>
      </c>
      <c r="I14" s="531">
        <f t="shared" ref="I14:AE14" si="3">I15+I16</f>
        <v>13</v>
      </c>
      <c r="J14" s="531">
        <f t="shared" si="3"/>
        <v>249.8</v>
      </c>
      <c r="K14" s="531">
        <f t="shared" si="3"/>
        <v>217.31313</v>
      </c>
      <c r="L14" s="531">
        <f t="shared" si="3"/>
        <v>180.01499999999999</v>
      </c>
      <c r="M14" s="531">
        <f t="shared" si="3"/>
        <v>150.26</v>
      </c>
      <c r="N14" s="531">
        <f t="shared" si="3"/>
        <v>153.1</v>
      </c>
      <c r="O14" s="531">
        <f t="shared" si="3"/>
        <v>191.21</v>
      </c>
      <c r="P14" s="531">
        <f t="shared" si="3"/>
        <v>198.75</v>
      </c>
      <c r="Q14" s="531">
        <f t="shared" si="3"/>
        <v>140.69999999999999</v>
      </c>
      <c r="R14" s="531">
        <f t="shared" si="3"/>
        <v>175.2</v>
      </c>
      <c r="S14" s="531">
        <f t="shared" si="3"/>
        <v>160.66</v>
      </c>
      <c r="T14" s="531">
        <f t="shared" si="3"/>
        <v>191.6</v>
      </c>
      <c r="U14" s="531">
        <f t="shared" si="3"/>
        <v>129.38</v>
      </c>
      <c r="V14" s="531">
        <f t="shared" si="3"/>
        <v>31.3</v>
      </c>
      <c r="W14" s="531">
        <f t="shared" si="3"/>
        <v>11.02</v>
      </c>
      <c r="X14" s="531">
        <f t="shared" si="3"/>
        <v>71.8</v>
      </c>
      <c r="Y14" s="531">
        <f t="shared" si="3"/>
        <v>0</v>
      </c>
      <c r="Z14" s="531">
        <f t="shared" si="3"/>
        <v>119.99000000000001</v>
      </c>
      <c r="AA14" s="531">
        <f t="shared" si="3"/>
        <v>107.39999999999999</v>
      </c>
      <c r="AB14" s="531">
        <f t="shared" si="3"/>
        <v>67.430000000000007</v>
      </c>
      <c r="AC14" s="531">
        <f t="shared" si="3"/>
        <v>170.28</v>
      </c>
      <c r="AD14" s="531">
        <f t="shared" si="3"/>
        <v>21</v>
      </c>
      <c r="AE14" s="531">
        <f t="shared" si="3"/>
        <v>130.53</v>
      </c>
      <c r="AF14" s="402"/>
      <c r="AG14" s="546">
        <f>C14-E14</f>
        <v>84.846870000000081</v>
      </c>
    </row>
    <row r="15" spans="1:33" x14ac:dyDescent="0.35">
      <c r="A15" s="385" t="s">
        <v>32</v>
      </c>
      <c r="B15" s="504">
        <f>H15+J15+L15+N15+P15+R15+T15+V15+X15+Z15+AB15+AD15</f>
        <v>555.6</v>
      </c>
      <c r="C15" s="383">
        <f>H15+J15+L15+N15+P15+R15+T15+V15+X15+Z15+AB15+AD15</f>
        <v>555.6</v>
      </c>
      <c r="D15" s="384">
        <v>517.57516999999996</v>
      </c>
      <c r="E15" s="504">
        <f>I15+K15+M15+O15+Q15+S15+U15+W15+Y15+AA15+AC15+AE15</f>
        <v>517.58312999999987</v>
      </c>
      <c r="F15" s="542">
        <f>E15/B15</f>
        <v>0.93157510799136045</v>
      </c>
      <c r="G15" s="542">
        <f>E15/C15</f>
        <v>0.93157510799136045</v>
      </c>
      <c r="H15" s="399">
        <v>15</v>
      </c>
      <c r="I15" s="399"/>
      <c r="J15" s="399">
        <v>76.400000000000006</v>
      </c>
      <c r="K15" s="399">
        <v>70.553129999999996</v>
      </c>
      <c r="L15" s="399">
        <v>65.099999999999994</v>
      </c>
      <c r="M15" s="399">
        <v>59.33</v>
      </c>
      <c r="N15" s="399">
        <v>65.099999999999994</v>
      </c>
      <c r="O15" s="399">
        <v>67.95</v>
      </c>
      <c r="P15" s="399">
        <v>65.099999999999994</v>
      </c>
      <c r="Q15" s="399">
        <v>53.93</v>
      </c>
      <c r="R15" s="399">
        <v>65.099999999999994</v>
      </c>
      <c r="S15" s="399">
        <v>47.69</v>
      </c>
      <c r="T15" s="399">
        <v>65.099999999999994</v>
      </c>
      <c r="U15" s="399">
        <v>62.83</v>
      </c>
      <c r="V15" s="399">
        <v>7</v>
      </c>
      <c r="W15" s="399"/>
      <c r="X15" s="399">
        <v>23.7</v>
      </c>
      <c r="Y15" s="399"/>
      <c r="Z15" s="399">
        <v>21.6</v>
      </c>
      <c r="AA15" s="399">
        <v>19.52</v>
      </c>
      <c r="AB15" s="399">
        <v>65.400000000000006</v>
      </c>
      <c r="AC15" s="399">
        <v>83.35</v>
      </c>
      <c r="AD15" s="399">
        <v>21</v>
      </c>
      <c r="AE15" s="399">
        <v>52.43</v>
      </c>
      <c r="AF15" s="402"/>
      <c r="AG15" s="544">
        <f t="shared" ref="AG15:AG38" si="4">C15-E15</f>
        <v>38.016870000000154</v>
      </c>
    </row>
    <row r="16" spans="1:33" x14ac:dyDescent="0.35">
      <c r="A16" s="385" t="s">
        <v>33</v>
      </c>
      <c r="B16" s="504">
        <f>H16+J16+L16+N16+P16+R16+T16+V16+X16+Z16+AB16+AD16</f>
        <v>951</v>
      </c>
      <c r="C16" s="383">
        <f>H16+J16+L16+N16+P16+R16+T16+V16+X16+Z16+AB16+AD16</f>
        <v>951</v>
      </c>
      <c r="D16" s="383">
        <f>E16</f>
        <v>904.17</v>
      </c>
      <c r="E16" s="504">
        <f>I16+K16+M16+O16+Q16+S16+U16+W16+Y16+AA16+AC16+AE16</f>
        <v>904.17</v>
      </c>
      <c r="F16" s="542">
        <f>E16/B16</f>
        <v>0.95075709779179807</v>
      </c>
      <c r="G16" s="542">
        <f>E16/C16</f>
        <v>0.95075709779179807</v>
      </c>
      <c r="H16" s="399">
        <v>31.614999999999998</v>
      </c>
      <c r="I16" s="399">
        <v>13</v>
      </c>
      <c r="J16" s="399">
        <v>173.4</v>
      </c>
      <c r="K16" s="399">
        <v>146.76</v>
      </c>
      <c r="L16" s="399">
        <v>114.91500000000001</v>
      </c>
      <c r="M16" s="399">
        <v>90.93</v>
      </c>
      <c r="N16" s="399">
        <v>88</v>
      </c>
      <c r="O16" s="399">
        <v>123.26</v>
      </c>
      <c r="P16" s="399">
        <v>133.65</v>
      </c>
      <c r="Q16" s="399">
        <v>86.77</v>
      </c>
      <c r="R16" s="399">
        <v>110.1</v>
      </c>
      <c r="S16" s="399">
        <v>112.97</v>
      </c>
      <c r="T16" s="399">
        <v>126.5</v>
      </c>
      <c r="U16" s="399">
        <v>66.55</v>
      </c>
      <c r="V16" s="399">
        <v>24.3</v>
      </c>
      <c r="W16" s="399">
        <v>11.02</v>
      </c>
      <c r="X16" s="399">
        <v>48.1</v>
      </c>
      <c r="Y16" s="399"/>
      <c r="Z16" s="399">
        <v>98.39</v>
      </c>
      <c r="AA16" s="399">
        <v>87.88</v>
      </c>
      <c r="AB16" s="399">
        <v>2.0299999999999998</v>
      </c>
      <c r="AC16" s="399">
        <v>86.93</v>
      </c>
      <c r="AD16" s="399">
        <v>0</v>
      </c>
      <c r="AE16" s="399">
        <v>78.099999999999994</v>
      </c>
      <c r="AF16" s="402"/>
      <c r="AG16" s="544">
        <f t="shared" si="4"/>
        <v>46.830000000000041</v>
      </c>
    </row>
    <row r="17" spans="1:33" ht="38.25" x14ac:dyDescent="0.35">
      <c r="A17" s="533" t="s">
        <v>26</v>
      </c>
      <c r="B17" s="534"/>
      <c r="C17" s="534"/>
      <c r="D17" s="534"/>
      <c r="E17" s="534"/>
      <c r="F17" s="535"/>
      <c r="G17" s="535"/>
      <c r="H17" s="536"/>
      <c r="I17" s="536"/>
      <c r="J17" s="536"/>
      <c r="K17" s="536"/>
      <c r="L17" s="536"/>
      <c r="M17" s="536"/>
      <c r="N17" s="536"/>
      <c r="O17" s="536"/>
      <c r="P17" s="536"/>
      <c r="Q17" s="536"/>
      <c r="R17" s="536"/>
      <c r="S17" s="536"/>
      <c r="T17" s="536"/>
      <c r="U17" s="536"/>
      <c r="V17" s="536"/>
      <c r="W17" s="536"/>
      <c r="X17" s="536"/>
      <c r="Y17" s="536"/>
      <c r="Z17" s="536"/>
      <c r="AA17" s="536"/>
      <c r="AB17" s="536"/>
      <c r="AC17" s="536"/>
      <c r="AD17" s="536"/>
      <c r="AE17" s="536"/>
      <c r="AF17" s="402"/>
    </row>
    <row r="18" spans="1:33" x14ac:dyDescent="0.35">
      <c r="A18" s="524" t="s">
        <v>65</v>
      </c>
      <c r="B18" s="530">
        <f>B19+B20</f>
        <v>25785.152800000003</v>
      </c>
      <c r="C18" s="530">
        <f>C19+C20</f>
        <v>25785.152800000003</v>
      </c>
      <c r="D18" s="530">
        <f>D19+D20</f>
        <v>25785.152800000003</v>
      </c>
      <c r="E18" s="530">
        <f>E19+E20</f>
        <v>25727.167999999998</v>
      </c>
      <c r="F18" s="541">
        <f>E18/B18</f>
        <v>0.99775123302740309</v>
      </c>
      <c r="G18" s="541">
        <f>E18/C18</f>
        <v>0.99775123302740309</v>
      </c>
      <c r="H18" s="531">
        <f>H19+H20</f>
        <v>0</v>
      </c>
      <c r="I18" s="531">
        <f t="shared" ref="I18:AE18" si="5">I19+I20</f>
        <v>0</v>
      </c>
      <c r="J18" s="531">
        <f>J19+J20</f>
        <v>956.00490000000002</v>
      </c>
      <c r="K18" s="531">
        <f t="shared" si="5"/>
        <v>597.10300000000007</v>
      </c>
      <c r="L18" s="531">
        <f t="shared" si="5"/>
        <v>559.72430000000008</v>
      </c>
      <c r="M18" s="531">
        <f t="shared" si="5"/>
        <v>591.92499999999995</v>
      </c>
      <c r="N18" s="531">
        <f t="shared" si="5"/>
        <v>941.41260000000011</v>
      </c>
      <c r="O18" s="531">
        <f t="shared" si="5"/>
        <v>583.1</v>
      </c>
      <c r="P18" s="531">
        <f t="shared" si="5"/>
        <v>559.72430000000008</v>
      </c>
      <c r="Q18" s="531">
        <f t="shared" si="5"/>
        <v>723.73</v>
      </c>
      <c r="R18" s="531">
        <f t="shared" si="5"/>
        <v>10410.1517</v>
      </c>
      <c r="S18" s="531">
        <f t="shared" si="5"/>
        <v>8184.53</v>
      </c>
      <c r="T18" s="531">
        <f t="shared" si="5"/>
        <v>7188.3978999999999</v>
      </c>
      <c r="U18" s="531">
        <f t="shared" si="5"/>
        <v>6046.36</v>
      </c>
      <c r="V18" s="531">
        <f t="shared" si="5"/>
        <v>3560.3242</v>
      </c>
      <c r="W18" s="531">
        <f t="shared" si="5"/>
        <v>7252.25</v>
      </c>
      <c r="X18" s="531">
        <f t="shared" si="5"/>
        <v>559.72430000000008</v>
      </c>
      <c r="Y18" s="531">
        <f t="shared" si="5"/>
        <v>595.32999999999993</v>
      </c>
      <c r="Z18" s="531">
        <f t="shared" si="5"/>
        <v>527.21429999999998</v>
      </c>
      <c r="AA18" s="531">
        <f t="shared" si="5"/>
        <v>562.53</v>
      </c>
      <c r="AB18" s="531">
        <f t="shared" si="5"/>
        <v>522.47430000000008</v>
      </c>
      <c r="AC18" s="531">
        <f t="shared" si="5"/>
        <v>590.30999999999995</v>
      </c>
      <c r="AD18" s="531">
        <f t="shared" si="5"/>
        <v>0</v>
      </c>
      <c r="AE18" s="531">
        <f t="shared" si="5"/>
        <v>0</v>
      </c>
      <c r="AF18" s="402"/>
      <c r="AG18" s="544">
        <f t="shared" si="4"/>
        <v>57.984800000005635</v>
      </c>
    </row>
    <row r="19" spans="1:33" x14ac:dyDescent="0.35">
      <c r="A19" s="385" t="s">
        <v>32</v>
      </c>
      <c r="B19" s="504">
        <f>B23+B27</f>
        <v>7950</v>
      </c>
      <c r="C19" s="504">
        <f>C23+C27</f>
        <v>7950</v>
      </c>
      <c r="D19" s="504">
        <f>D23+D27</f>
        <v>7950</v>
      </c>
      <c r="E19" s="504">
        <f>E23+E27</f>
        <v>7950</v>
      </c>
      <c r="F19" s="542">
        <f>E19/B19</f>
        <v>1</v>
      </c>
      <c r="G19" s="542">
        <f>E19/C19</f>
        <v>1</v>
      </c>
      <c r="H19" s="531">
        <f>H23+H27</f>
        <v>0</v>
      </c>
      <c r="I19" s="531">
        <f t="shared" ref="I19:AE19" si="6">I23+I27</f>
        <v>0</v>
      </c>
      <c r="J19" s="531">
        <f t="shared" si="6"/>
        <v>200</v>
      </c>
      <c r="K19" s="531">
        <f t="shared" si="6"/>
        <v>200</v>
      </c>
      <c r="L19" s="531">
        <f t="shared" si="6"/>
        <v>200</v>
      </c>
      <c r="M19" s="531">
        <f t="shared" si="6"/>
        <v>200</v>
      </c>
      <c r="N19" s="531">
        <f t="shared" si="6"/>
        <v>200</v>
      </c>
      <c r="O19" s="531">
        <f t="shared" si="6"/>
        <v>200</v>
      </c>
      <c r="P19" s="531">
        <f t="shared" si="6"/>
        <v>200</v>
      </c>
      <c r="Q19" s="531">
        <f t="shared" si="6"/>
        <v>200</v>
      </c>
      <c r="R19" s="531">
        <f t="shared" si="6"/>
        <v>2450</v>
      </c>
      <c r="S19" s="531">
        <f t="shared" si="6"/>
        <v>2450</v>
      </c>
      <c r="T19" s="531">
        <f t="shared" si="6"/>
        <v>2050</v>
      </c>
      <c r="U19" s="531">
        <f t="shared" si="6"/>
        <v>2050</v>
      </c>
      <c r="V19" s="531">
        <f t="shared" si="6"/>
        <v>2050</v>
      </c>
      <c r="W19" s="531">
        <f t="shared" si="6"/>
        <v>2050</v>
      </c>
      <c r="X19" s="531">
        <f t="shared" si="6"/>
        <v>200</v>
      </c>
      <c r="Y19" s="531">
        <f t="shared" si="6"/>
        <v>200</v>
      </c>
      <c r="Z19" s="531">
        <f t="shared" si="6"/>
        <v>200</v>
      </c>
      <c r="AA19" s="531">
        <f t="shared" si="6"/>
        <v>200</v>
      </c>
      <c r="AB19" s="531">
        <f t="shared" si="6"/>
        <v>200</v>
      </c>
      <c r="AC19" s="531">
        <f t="shared" si="6"/>
        <v>200</v>
      </c>
      <c r="AD19" s="531">
        <f t="shared" si="6"/>
        <v>0</v>
      </c>
      <c r="AE19" s="531">
        <f t="shared" si="6"/>
        <v>0</v>
      </c>
      <c r="AF19" s="402"/>
      <c r="AG19" s="544">
        <f t="shared" si="4"/>
        <v>0</v>
      </c>
    </row>
    <row r="20" spans="1:33" x14ac:dyDescent="0.35">
      <c r="A20" s="385" t="s">
        <v>33</v>
      </c>
      <c r="B20" s="504">
        <f>B24+B28+B31</f>
        <v>17835.152800000003</v>
      </c>
      <c r="C20" s="504">
        <f>C24+C28+C31</f>
        <v>17835.152800000003</v>
      </c>
      <c r="D20" s="504">
        <f>D24+D28+D31</f>
        <v>17835.152800000003</v>
      </c>
      <c r="E20" s="504">
        <f>E24+E28+E31</f>
        <v>17777.167999999998</v>
      </c>
      <c r="F20" s="542">
        <f>E20/B20</f>
        <v>0.99674884759047278</v>
      </c>
      <c r="G20" s="542">
        <f>E20/C20</f>
        <v>0.99674884759047278</v>
      </c>
      <c r="H20" s="531">
        <f>H24+H28+H31</f>
        <v>0</v>
      </c>
      <c r="I20" s="531">
        <f t="shared" ref="I20:AE20" si="7">I24+I28+I31</f>
        <v>0</v>
      </c>
      <c r="J20" s="531">
        <f t="shared" si="7"/>
        <v>756.00490000000002</v>
      </c>
      <c r="K20" s="531">
        <f t="shared" si="7"/>
        <v>397.10300000000001</v>
      </c>
      <c r="L20" s="531">
        <f t="shared" si="7"/>
        <v>359.72430000000003</v>
      </c>
      <c r="M20" s="531">
        <f t="shared" si="7"/>
        <v>391.92500000000001</v>
      </c>
      <c r="N20" s="531">
        <f t="shared" si="7"/>
        <v>741.41260000000011</v>
      </c>
      <c r="O20" s="531">
        <f t="shared" si="7"/>
        <v>383.1</v>
      </c>
      <c r="P20" s="531">
        <f>P24+P28+P31</f>
        <v>359.72430000000003</v>
      </c>
      <c r="Q20" s="531">
        <f t="shared" si="7"/>
        <v>523.73</v>
      </c>
      <c r="R20" s="531">
        <f t="shared" si="7"/>
        <v>7960.1517000000003</v>
      </c>
      <c r="S20" s="531">
        <f t="shared" si="7"/>
        <v>5734.53</v>
      </c>
      <c r="T20" s="531">
        <f t="shared" si="7"/>
        <v>5138.3978999999999</v>
      </c>
      <c r="U20" s="531">
        <f t="shared" si="7"/>
        <v>3996.3599999999997</v>
      </c>
      <c r="V20" s="531">
        <f t="shared" si="7"/>
        <v>1510.3242</v>
      </c>
      <c r="W20" s="531">
        <f t="shared" si="7"/>
        <v>5202.25</v>
      </c>
      <c r="X20" s="531">
        <f t="shared" si="7"/>
        <v>359.72430000000003</v>
      </c>
      <c r="Y20" s="531">
        <f t="shared" si="7"/>
        <v>395.33</v>
      </c>
      <c r="Z20" s="531">
        <f t="shared" si="7"/>
        <v>327.21429999999998</v>
      </c>
      <c r="AA20" s="531">
        <f t="shared" si="7"/>
        <v>362.53</v>
      </c>
      <c r="AB20" s="531">
        <f t="shared" si="7"/>
        <v>322.47430000000003</v>
      </c>
      <c r="AC20" s="531">
        <f t="shared" si="7"/>
        <v>390.31</v>
      </c>
      <c r="AD20" s="531">
        <f t="shared" si="7"/>
        <v>0</v>
      </c>
      <c r="AE20" s="531">
        <f t="shared" si="7"/>
        <v>0</v>
      </c>
      <c r="AF20" s="402"/>
      <c r="AG20" s="544">
        <f t="shared" si="4"/>
        <v>57.984800000005635</v>
      </c>
    </row>
    <row r="21" spans="1:33" ht="93.75" x14ac:dyDescent="0.35">
      <c r="A21" s="550" t="s">
        <v>27</v>
      </c>
      <c r="B21" s="509"/>
      <c r="C21" s="509"/>
      <c r="D21" s="509"/>
      <c r="E21" s="509"/>
      <c r="F21" s="510"/>
      <c r="G21" s="510"/>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48"/>
    </row>
    <row r="22" spans="1:33" x14ac:dyDescent="0.35">
      <c r="A22" s="524" t="s">
        <v>65</v>
      </c>
      <c r="B22" s="530">
        <f>B23+B24</f>
        <v>19141.493900000001</v>
      </c>
      <c r="C22" s="530">
        <f>C23+C24</f>
        <v>19141.493900000001</v>
      </c>
      <c r="D22" s="530">
        <f>D23+D24</f>
        <v>19141.493900000001</v>
      </c>
      <c r="E22" s="530">
        <f>E23+E24</f>
        <v>19141.489999999998</v>
      </c>
      <c r="F22" s="541">
        <f>E22/B22</f>
        <v>0.99999979625414692</v>
      </c>
      <c r="G22" s="541">
        <f>E22/C22</f>
        <v>0.99999979625414692</v>
      </c>
      <c r="H22" s="531">
        <f>H23+H24</f>
        <v>0</v>
      </c>
      <c r="I22" s="531">
        <f t="shared" ref="I22:AE22" si="8">I23+I24</f>
        <v>0</v>
      </c>
      <c r="J22" s="531">
        <f t="shared" si="8"/>
        <v>77.190600000000003</v>
      </c>
      <c r="K22" s="531">
        <f t="shared" si="8"/>
        <v>0</v>
      </c>
      <c r="L22" s="531">
        <f t="shared" si="8"/>
        <v>0</v>
      </c>
      <c r="M22" s="531">
        <f t="shared" si="8"/>
        <v>0</v>
      </c>
      <c r="N22" s="531">
        <f t="shared" si="8"/>
        <v>381.68830000000003</v>
      </c>
      <c r="O22" s="531">
        <f t="shared" si="8"/>
        <v>77.19</v>
      </c>
      <c r="P22" s="531">
        <f t="shared" si="8"/>
        <v>0</v>
      </c>
      <c r="Q22" s="531">
        <f t="shared" si="8"/>
        <v>57.42</v>
      </c>
      <c r="R22" s="531">
        <f t="shared" si="8"/>
        <v>9419.2250000000004</v>
      </c>
      <c r="S22" s="531">
        <f t="shared" si="8"/>
        <v>7291.58</v>
      </c>
      <c r="T22" s="531">
        <f t="shared" si="8"/>
        <v>6222.0011999999997</v>
      </c>
      <c r="U22" s="531">
        <f t="shared" si="8"/>
        <v>5211.8099999999995</v>
      </c>
      <c r="V22" s="531">
        <f t="shared" si="8"/>
        <v>3041.3887999999997</v>
      </c>
      <c r="W22" s="531">
        <f t="shared" si="8"/>
        <v>6503.49</v>
      </c>
      <c r="X22" s="531">
        <f t="shared" si="8"/>
        <v>0</v>
      </c>
      <c r="Y22" s="531">
        <f t="shared" si="8"/>
        <v>0</v>
      </c>
      <c r="Z22" s="531">
        <f t="shared" si="8"/>
        <v>0</v>
      </c>
      <c r="AA22" s="531">
        <f t="shared" si="8"/>
        <v>0</v>
      </c>
      <c r="AB22" s="531">
        <f t="shared" si="8"/>
        <v>0</v>
      </c>
      <c r="AC22" s="531">
        <f t="shared" si="8"/>
        <v>0</v>
      </c>
      <c r="AD22" s="531">
        <f t="shared" si="8"/>
        <v>0</v>
      </c>
      <c r="AE22" s="531">
        <f t="shared" si="8"/>
        <v>0</v>
      </c>
      <c r="AF22" s="402"/>
      <c r="AG22" s="544">
        <f t="shared" si="4"/>
        <v>3.9000000033411197E-3</v>
      </c>
    </row>
    <row r="23" spans="1:33" x14ac:dyDescent="0.35">
      <c r="A23" s="385" t="s">
        <v>32</v>
      </c>
      <c r="B23" s="504">
        <f>H23+J23+L23+N23+P23+R23+T23+V23+X23+Z23+AB23+AD23</f>
        <v>6550</v>
      </c>
      <c r="C23" s="384">
        <f>H23+J23+L23+N23+P23+R23+T23+V23+X23+Z23+AB23+AD23</f>
        <v>6550</v>
      </c>
      <c r="D23" s="384">
        <v>6550</v>
      </c>
      <c r="E23" s="504">
        <f>I23+K23+M23+O23+Q23+S23+U23+W23+Y23+AA23+AC23+AE23</f>
        <v>6550</v>
      </c>
      <c r="F23" s="542">
        <f>E23/B23</f>
        <v>1</v>
      </c>
      <c r="G23" s="542">
        <f>E23/C23</f>
        <v>1</v>
      </c>
      <c r="H23" s="399"/>
      <c r="I23" s="399"/>
      <c r="J23" s="399"/>
      <c r="K23" s="399"/>
      <c r="L23" s="399"/>
      <c r="M23" s="399"/>
      <c r="N23" s="399"/>
      <c r="O23" s="399"/>
      <c r="P23" s="399"/>
      <c r="Q23" s="399"/>
      <c r="R23" s="399">
        <v>2450</v>
      </c>
      <c r="S23" s="399">
        <v>2450</v>
      </c>
      <c r="T23" s="399">
        <v>2050</v>
      </c>
      <c r="U23" s="399">
        <v>2050</v>
      </c>
      <c r="V23" s="399">
        <v>2050</v>
      </c>
      <c r="W23" s="399">
        <v>2050</v>
      </c>
      <c r="X23" s="399"/>
      <c r="Y23" s="399"/>
      <c r="Z23" s="399"/>
      <c r="AA23" s="399"/>
      <c r="AB23" s="399"/>
      <c r="AC23" s="399"/>
      <c r="AD23" s="399"/>
      <c r="AE23" s="399"/>
      <c r="AF23" s="402"/>
      <c r="AG23" s="544">
        <f t="shared" si="4"/>
        <v>0</v>
      </c>
    </row>
    <row r="24" spans="1:33" x14ac:dyDescent="0.35">
      <c r="A24" s="385" t="s">
        <v>33</v>
      </c>
      <c r="B24" s="504">
        <f>H24+J24+L24+N24+P24+R24+T24+V24+X24+Z24+AB24+AD24</f>
        <v>12591.493900000001</v>
      </c>
      <c r="C24" s="384">
        <f>H24+J24+L24+N24+P24+R24+T24+V24+X24+Z24+AB24+AD24</f>
        <v>12591.493900000001</v>
      </c>
      <c r="D24" s="384">
        <f>C24</f>
        <v>12591.493900000001</v>
      </c>
      <c r="E24" s="504">
        <f>I24+K24+M24+O24+Q24+S24+U24+W24+Y24+AA24+AC24+AE24</f>
        <v>12591.49</v>
      </c>
      <c r="F24" s="542">
        <f>E24/B24</f>
        <v>0.99999969026709357</v>
      </c>
      <c r="G24" s="542">
        <f>E24/C24</f>
        <v>0.99999969026709357</v>
      </c>
      <c r="H24" s="399"/>
      <c r="I24" s="399"/>
      <c r="J24" s="399">
        <v>77.190600000000003</v>
      </c>
      <c r="K24" s="399"/>
      <c r="L24" s="399"/>
      <c r="M24" s="399"/>
      <c r="N24" s="399">
        <v>381.68830000000003</v>
      </c>
      <c r="O24" s="399">
        <v>77.19</v>
      </c>
      <c r="P24" s="399"/>
      <c r="Q24" s="399">
        <v>57.42</v>
      </c>
      <c r="R24" s="399">
        <v>6969.2250000000004</v>
      </c>
      <c r="S24" s="399">
        <v>4841.58</v>
      </c>
      <c r="T24" s="399">
        <v>4172.0011999999997</v>
      </c>
      <c r="U24" s="399">
        <v>3161.81</v>
      </c>
      <c r="V24" s="399">
        <v>991.38879999999995</v>
      </c>
      <c r="W24" s="399">
        <v>4453.49</v>
      </c>
      <c r="X24" s="399"/>
      <c r="Y24" s="399"/>
      <c r="Z24" s="399"/>
      <c r="AA24" s="399"/>
      <c r="AB24" s="399"/>
      <c r="AC24" s="399"/>
      <c r="AD24" s="399"/>
      <c r="AE24" s="399"/>
      <c r="AF24" s="402"/>
      <c r="AG24" s="544">
        <f t="shared" si="4"/>
        <v>3.9000000015221303E-3</v>
      </c>
    </row>
    <row r="25" spans="1:33" ht="93.75" x14ac:dyDescent="0.35">
      <c r="A25" s="550" t="s">
        <v>28</v>
      </c>
      <c r="B25" s="509"/>
      <c r="C25" s="509"/>
      <c r="D25" s="509"/>
      <c r="E25" s="509"/>
      <c r="F25" s="510"/>
      <c r="G25" s="510"/>
      <c r="H25" s="508"/>
      <c r="I25" s="508"/>
      <c r="J25" s="508"/>
      <c r="K25" s="508"/>
      <c r="L25" s="508"/>
      <c r="M25" s="508"/>
      <c r="N25" s="508"/>
      <c r="O25" s="508"/>
      <c r="P25" s="508"/>
      <c r="Q25" s="508"/>
      <c r="R25" s="508"/>
      <c r="S25" s="508"/>
      <c r="T25" s="508"/>
      <c r="U25" s="508"/>
      <c r="V25" s="508"/>
      <c r="W25" s="508"/>
      <c r="X25" s="508"/>
      <c r="Y25" s="508"/>
      <c r="Z25" s="508"/>
      <c r="AA25" s="508"/>
      <c r="AB25" s="508"/>
      <c r="AC25" s="508"/>
      <c r="AD25" s="508"/>
      <c r="AE25" s="508"/>
      <c r="AF25" s="1041" t="s">
        <v>681</v>
      </c>
    </row>
    <row r="26" spans="1:33" x14ac:dyDescent="0.35">
      <c r="A26" s="524" t="s">
        <v>65</v>
      </c>
      <c r="B26" s="530">
        <f>B27+B28</f>
        <v>4167.4001000000007</v>
      </c>
      <c r="C26" s="530">
        <f>C27+C28</f>
        <v>4167.4001000000007</v>
      </c>
      <c r="D26" s="530">
        <f>D27+D28</f>
        <v>4167.4001000000007</v>
      </c>
      <c r="E26" s="530">
        <f>E27+E28</f>
        <v>4109.4179999999997</v>
      </c>
      <c r="F26" s="541">
        <f>E26/B26</f>
        <v>0.98608674506678606</v>
      </c>
      <c r="G26" s="541">
        <f>E26/C26</f>
        <v>0.98608674506678606</v>
      </c>
      <c r="H26" s="531">
        <f>H27+H28</f>
        <v>0</v>
      </c>
      <c r="I26" s="531">
        <f t="shared" ref="I26:AE26" si="9">I27+I28</f>
        <v>0</v>
      </c>
      <c r="J26" s="531">
        <f t="shared" si="9"/>
        <v>878.8143</v>
      </c>
      <c r="K26" s="531">
        <f t="shared" si="9"/>
        <v>597.10300000000007</v>
      </c>
      <c r="L26" s="531">
        <f t="shared" si="9"/>
        <v>559.72430000000008</v>
      </c>
      <c r="M26" s="531">
        <f t="shared" si="9"/>
        <v>591.92499999999995</v>
      </c>
      <c r="N26" s="531">
        <f t="shared" si="9"/>
        <v>559.72430000000008</v>
      </c>
      <c r="O26" s="531">
        <f t="shared" si="9"/>
        <v>505.91</v>
      </c>
      <c r="P26" s="531">
        <f t="shared" si="9"/>
        <v>559.72430000000008</v>
      </c>
      <c r="Q26" s="531">
        <f t="shared" si="9"/>
        <v>666.31</v>
      </c>
      <c r="R26" s="531">
        <f ca="1">R27+R28+R26</f>
        <v>0</v>
      </c>
      <c r="S26" s="531">
        <f t="shared" si="9"/>
        <v>0</v>
      </c>
      <c r="T26" s="531">
        <f t="shared" si="9"/>
        <v>0</v>
      </c>
      <c r="U26" s="531">
        <f t="shared" si="9"/>
        <v>0</v>
      </c>
      <c r="V26" s="531">
        <f t="shared" si="9"/>
        <v>0</v>
      </c>
      <c r="W26" s="531">
        <f t="shared" si="9"/>
        <v>0</v>
      </c>
      <c r="X26" s="531">
        <f t="shared" si="9"/>
        <v>559.72430000000008</v>
      </c>
      <c r="Y26" s="531">
        <f t="shared" si="9"/>
        <v>595.32999999999993</v>
      </c>
      <c r="Z26" s="531">
        <f t="shared" si="9"/>
        <v>527.21429999999998</v>
      </c>
      <c r="AA26" s="531">
        <f t="shared" si="9"/>
        <v>562.53</v>
      </c>
      <c r="AB26" s="531">
        <f t="shared" si="9"/>
        <v>522.47430000000008</v>
      </c>
      <c r="AC26" s="531">
        <f t="shared" si="9"/>
        <v>590.30999999999995</v>
      </c>
      <c r="AD26" s="531">
        <f t="shared" si="9"/>
        <v>0</v>
      </c>
      <c r="AE26" s="531">
        <f t="shared" si="9"/>
        <v>0</v>
      </c>
      <c r="AF26" s="402"/>
      <c r="AG26" s="544">
        <f t="shared" si="4"/>
        <v>57.982100000001083</v>
      </c>
    </row>
    <row r="27" spans="1:33" x14ac:dyDescent="0.35">
      <c r="A27" s="385" t="s">
        <v>32</v>
      </c>
      <c r="B27" s="504">
        <f>H27+J27+L27+N27+P27+R27+T27+V27+X27+Z27+AB27+AD27</f>
        <v>1400</v>
      </c>
      <c r="C27" s="384">
        <f>H27+J27+L27+N27+P27+R27+T27+V27+X27+Z27+AB27+AD27</f>
        <v>1400</v>
      </c>
      <c r="D27" s="384">
        <v>1400</v>
      </c>
      <c r="E27" s="504">
        <f>I27+K27+M27+O27+Q27+S27+U27+W27+Y27+AA27+AC27+AE27</f>
        <v>1400</v>
      </c>
      <c r="F27" s="542">
        <f>E27/B27</f>
        <v>1</v>
      </c>
      <c r="G27" s="542">
        <f>E27/C27</f>
        <v>1</v>
      </c>
      <c r="H27" s="399"/>
      <c r="I27" s="399"/>
      <c r="J27" s="399">
        <v>200</v>
      </c>
      <c r="K27" s="399">
        <v>200</v>
      </c>
      <c r="L27" s="399">
        <v>200</v>
      </c>
      <c r="M27" s="399">
        <v>200</v>
      </c>
      <c r="N27" s="399">
        <v>200</v>
      </c>
      <c r="O27" s="399">
        <v>200</v>
      </c>
      <c r="P27" s="399">
        <v>200</v>
      </c>
      <c r="Q27" s="399">
        <v>200</v>
      </c>
      <c r="R27" s="399"/>
      <c r="S27" s="399"/>
      <c r="T27" s="399"/>
      <c r="U27" s="399"/>
      <c r="V27" s="399"/>
      <c r="W27" s="399"/>
      <c r="X27" s="399">
        <v>200</v>
      </c>
      <c r="Y27" s="399">
        <v>200</v>
      </c>
      <c r="Z27" s="399">
        <v>200</v>
      </c>
      <c r="AA27" s="399">
        <v>200</v>
      </c>
      <c r="AB27" s="399">
        <v>200</v>
      </c>
      <c r="AC27" s="399">
        <v>200</v>
      </c>
      <c r="AD27" s="399"/>
      <c r="AE27" s="399"/>
      <c r="AF27" s="402"/>
      <c r="AG27" s="544">
        <f t="shared" si="4"/>
        <v>0</v>
      </c>
    </row>
    <row r="28" spans="1:33" x14ac:dyDescent="0.35">
      <c r="A28" s="385" t="s">
        <v>33</v>
      </c>
      <c r="B28" s="504">
        <f>H28+J28+L28+N28+P28+R28+T28+V28+X28+Z28+AB28+AD28</f>
        <v>2767.4001000000003</v>
      </c>
      <c r="C28" s="384">
        <f>H28+J28+L28+N28+P28+R28+T28+V28+X28+Z28+AB28+AD28</f>
        <v>2767.4001000000003</v>
      </c>
      <c r="D28" s="384">
        <f>C28</f>
        <v>2767.4001000000003</v>
      </c>
      <c r="E28" s="504">
        <f>I28+K28+M28+O28+Q28+S28+U28+W28+Y28+AA28+AC28+AE28</f>
        <v>2709.4180000000001</v>
      </c>
      <c r="F28" s="542">
        <f>E28/B28</f>
        <v>0.97904816871257605</v>
      </c>
      <c r="G28" s="542">
        <f>E28/C28</f>
        <v>0.97904816871257605</v>
      </c>
      <c r="H28" s="399"/>
      <c r="I28" s="399"/>
      <c r="J28" s="399">
        <v>678.8143</v>
      </c>
      <c r="K28" s="399">
        <v>397.10300000000001</v>
      </c>
      <c r="L28" s="399">
        <v>359.72430000000003</v>
      </c>
      <c r="M28" s="399">
        <v>391.92500000000001</v>
      </c>
      <c r="N28" s="399">
        <v>359.72430000000003</v>
      </c>
      <c r="O28" s="399">
        <v>305.91000000000003</v>
      </c>
      <c r="P28" s="399">
        <v>359.72430000000003</v>
      </c>
      <c r="Q28" s="399">
        <v>466.31</v>
      </c>
      <c r="R28" s="399"/>
      <c r="S28" s="399"/>
      <c r="T28" s="399"/>
      <c r="U28" s="399"/>
      <c r="V28" s="399"/>
      <c r="W28" s="399"/>
      <c r="X28" s="399">
        <v>359.72430000000003</v>
      </c>
      <c r="Y28" s="399">
        <v>395.33</v>
      </c>
      <c r="Z28" s="399">
        <v>327.21429999999998</v>
      </c>
      <c r="AA28" s="399">
        <v>362.53</v>
      </c>
      <c r="AB28" s="399">
        <v>322.47430000000003</v>
      </c>
      <c r="AC28" s="399">
        <v>390.31</v>
      </c>
      <c r="AD28" s="399"/>
      <c r="AE28" s="399"/>
      <c r="AF28" s="402"/>
      <c r="AG28" s="544">
        <f t="shared" si="4"/>
        <v>57.982100000000173</v>
      </c>
    </row>
    <row r="29" spans="1:33" ht="75" x14ac:dyDescent="0.35">
      <c r="A29" s="550" t="s">
        <v>29</v>
      </c>
      <c r="B29" s="509"/>
      <c r="C29" s="509"/>
      <c r="D29" s="509"/>
      <c r="E29" s="509"/>
      <c r="F29" s="510"/>
      <c r="G29" s="510"/>
      <c r="H29" s="508"/>
      <c r="I29" s="508"/>
      <c r="J29" s="508"/>
      <c r="K29" s="508"/>
      <c r="L29" s="508"/>
      <c r="M29" s="508"/>
      <c r="N29" s="508"/>
      <c r="O29" s="508"/>
      <c r="P29" s="508"/>
      <c r="Q29" s="508"/>
      <c r="R29" s="508"/>
      <c r="S29" s="508"/>
      <c r="T29" s="508"/>
      <c r="U29" s="508"/>
      <c r="V29" s="508"/>
      <c r="W29" s="508"/>
      <c r="X29" s="508"/>
      <c r="Y29" s="508"/>
      <c r="Z29" s="508"/>
      <c r="AA29" s="508"/>
      <c r="AB29" s="508"/>
      <c r="AC29" s="508"/>
      <c r="AD29" s="508"/>
      <c r="AE29" s="508"/>
      <c r="AF29" s="547"/>
    </row>
    <row r="30" spans="1:33" x14ac:dyDescent="0.35">
      <c r="A30" s="524" t="s">
        <v>65</v>
      </c>
      <c r="B30" s="530">
        <f>B31</f>
        <v>2476.2588000000001</v>
      </c>
      <c r="C30" s="530">
        <f>C31</f>
        <v>2476.2588000000001</v>
      </c>
      <c r="D30" s="530">
        <f>D31</f>
        <v>2476.2588000000001</v>
      </c>
      <c r="E30" s="530">
        <f>E31</f>
        <v>2476.2600000000002</v>
      </c>
      <c r="F30" s="541">
        <f>E30/B30</f>
        <v>1.0000004846020134</v>
      </c>
      <c r="G30" s="541">
        <f>E30/C30</f>
        <v>1.0000004846020134</v>
      </c>
      <c r="H30" s="531">
        <f>H31</f>
        <v>0</v>
      </c>
      <c r="I30" s="531">
        <f t="shared" ref="I30:AE30" si="10">I31</f>
        <v>0</v>
      </c>
      <c r="J30" s="531">
        <f t="shared" si="10"/>
        <v>0</v>
      </c>
      <c r="K30" s="531">
        <f t="shared" si="10"/>
        <v>0</v>
      </c>
      <c r="L30" s="531">
        <f t="shared" si="10"/>
        <v>0</v>
      </c>
      <c r="M30" s="531">
        <f t="shared" si="10"/>
        <v>0</v>
      </c>
      <c r="N30" s="531">
        <f t="shared" si="10"/>
        <v>0</v>
      </c>
      <c r="O30" s="531">
        <f t="shared" si="10"/>
        <v>0</v>
      </c>
      <c r="P30" s="531">
        <f t="shared" si="10"/>
        <v>0</v>
      </c>
      <c r="Q30" s="531">
        <f t="shared" si="10"/>
        <v>0</v>
      </c>
      <c r="R30" s="531">
        <f t="shared" si="10"/>
        <v>990.92669999999998</v>
      </c>
      <c r="S30" s="531">
        <f t="shared" si="10"/>
        <v>892.95</v>
      </c>
      <c r="T30" s="531">
        <f t="shared" si="10"/>
        <v>966.39670000000001</v>
      </c>
      <c r="U30" s="531">
        <f t="shared" si="10"/>
        <v>834.55</v>
      </c>
      <c r="V30" s="531">
        <f t="shared" si="10"/>
        <v>518.93539999999996</v>
      </c>
      <c r="W30" s="531">
        <f t="shared" si="10"/>
        <v>748.76</v>
      </c>
      <c r="X30" s="531">
        <f t="shared" si="10"/>
        <v>0</v>
      </c>
      <c r="Y30" s="531">
        <f t="shared" si="10"/>
        <v>0</v>
      </c>
      <c r="Z30" s="531">
        <f t="shared" si="10"/>
        <v>0</v>
      </c>
      <c r="AA30" s="531">
        <f t="shared" si="10"/>
        <v>0</v>
      </c>
      <c r="AB30" s="531">
        <f t="shared" si="10"/>
        <v>0</v>
      </c>
      <c r="AC30" s="531">
        <f t="shared" si="10"/>
        <v>0</v>
      </c>
      <c r="AD30" s="531">
        <f t="shared" si="10"/>
        <v>0</v>
      </c>
      <c r="AE30" s="531">
        <f t="shared" si="10"/>
        <v>0</v>
      </c>
      <c r="AF30" s="402"/>
      <c r="AG30" s="544">
        <f t="shared" si="4"/>
        <v>-1.2000000001535227E-3</v>
      </c>
    </row>
    <row r="31" spans="1:33" x14ac:dyDescent="0.35">
      <c r="A31" s="385" t="s">
        <v>33</v>
      </c>
      <c r="B31" s="504">
        <f>H31+J31+L31+N31+P31+R31+T31+V31+X31+Z31+AB31+AD31</f>
        <v>2476.2588000000001</v>
      </c>
      <c r="C31" s="384">
        <f>H31+J31+L31+N31+P31+R31+T31+V31+X31+Z31+AB31+AD31</f>
        <v>2476.2588000000001</v>
      </c>
      <c r="D31" s="384">
        <f>C31</f>
        <v>2476.2588000000001</v>
      </c>
      <c r="E31" s="504">
        <f>I31+K31+M31+O31+Q31+S31+U31+W31+Y31+AA31+AC31+AE31</f>
        <v>2476.2600000000002</v>
      </c>
      <c r="F31" s="542">
        <f>E31/B31</f>
        <v>1.0000004846020134</v>
      </c>
      <c r="G31" s="542">
        <f>E31/C31</f>
        <v>1.0000004846020134</v>
      </c>
      <c r="H31" s="399"/>
      <c r="I31" s="399"/>
      <c r="J31" s="399"/>
      <c r="K31" s="399"/>
      <c r="L31" s="399"/>
      <c r="M31" s="399"/>
      <c r="N31" s="399"/>
      <c r="O31" s="399"/>
      <c r="P31" s="399"/>
      <c r="Q31" s="399"/>
      <c r="R31" s="399">
        <v>990.92669999999998</v>
      </c>
      <c r="S31" s="399">
        <v>892.95</v>
      </c>
      <c r="T31" s="399">
        <v>966.39670000000001</v>
      </c>
      <c r="U31" s="399">
        <v>834.55</v>
      </c>
      <c r="V31" s="399">
        <v>518.93539999999996</v>
      </c>
      <c r="W31" s="399">
        <v>748.76</v>
      </c>
      <c r="X31" s="399"/>
      <c r="Y31" s="399"/>
      <c r="Z31" s="399"/>
      <c r="AA31" s="399"/>
      <c r="AB31" s="399"/>
      <c r="AC31" s="399"/>
      <c r="AD31" s="399"/>
      <c r="AE31" s="399"/>
      <c r="AF31" s="402"/>
      <c r="AG31" s="544">
        <f t="shared" si="4"/>
        <v>-1.2000000001535227E-3</v>
      </c>
    </row>
    <row r="32" spans="1:33" ht="112.5" x14ac:dyDescent="0.35">
      <c r="A32" s="549" t="s">
        <v>30</v>
      </c>
      <c r="B32" s="534"/>
      <c r="C32" s="534"/>
      <c r="D32" s="534"/>
      <c r="E32" s="534"/>
      <c r="F32" s="535"/>
      <c r="G32" s="535"/>
      <c r="H32" s="537"/>
      <c r="I32" s="537"/>
      <c r="J32" s="537"/>
      <c r="K32" s="537"/>
      <c r="L32" s="537"/>
      <c r="M32" s="537"/>
      <c r="N32" s="537"/>
      <c r="O32" s="537"/>
      <c r="P32" s="537"/>
      <c r="Q32" s="537"/>
      <c r="R32" s="537"/>
      <c r="S32" s="537"/>
      <c r="T32" s="537"/>
      <c r="U32" s="537"/>
      <c r="V32" s="537"/>
      <c r="W32" s="537"/>
      <c r="X32" s="537"/>
      <c r="Y32" s="537"/>
      <c r="Z32" s="537"/>
      <c r="AA32" s="537"/>
      <c r="AB32" s="537"/>
      <c r="AC32" s="537"/>
      <c r="AD32" s="537"/>
      <c r="AE32" s="537"/>
      <c r="AF32" s="402"/>
    </row>
    <row r="33" spans="1:33" x14ac:dyDescent="0.35">
      <c r="A33" s="524" t="s">
        <v>65</v>
      </c>
      <c r="B33" s="530">
        <f>B34</f>
        <v>100</v>
      </c>
      <c r="C33" s="530">
        <f>C34</f>
        <v>100</v>
      </c>
      <c r="D33" s="530">
        <f>D34</f>
        <v>100</v>
      </c>
      <c r="E33" s="530">
        <f>E34</f>
        <v>100</v>
      </c>
      <c r="F33" s="541">
        <f>E33/B33</f>
        <v>1</v>
      </c>
      <c r="G33" s="541">
        <f>E33/C33</f>
        <v>1</v>
      </c>
      <c r="H33" s="531">
        <f>H34</f>
        <v>0</v>
      </c>
      <c r="I33" s="531">
        <f t="shared" ref="I33:AE33" si="11">I34</f>
        <v>0</v>
      </c>
      <c r="J33" s="531">
        <f t="shared" si="11"/>
        <v>0</v>
      </c>
      <c r="K33" s="531">
        <f t="shared" si="11"/>
        <v>0</v>
      </c>
      <c r="L33" s="531">
        <f t="shared" si="11"/>
        <v>0</v>
      </c>
      <c r="M33" s="531">
        <f t="shared" si="11"/>
        <v>0</v>
      </c>
      <c r="N33" s="531">
        <f t="shared" si="11"/>
        <v>0</v>
      </c>
      <c r="O33" s="531">
        <f t="shared" si="11"/>
        <v>0</v>
      </c>
      <c r="P33" s="531">
        <f t="shared" si="11"/>
        <v>0</v>
      </c>
      <c r="Q33" s="531">
        <f t="shared" si="11"/>
        <v>0</v>
      </c>
      <c r="R33" s="531">
        <f t="shared" si="11"/>
        <v>0</v>
      </c>
      <c r="S33" s="531">
        <f t="shared" si="11"/>
        <v>0</v>
      </c>
      <c r="T33" s="531">
        <f t="shared" si="11"/>
        <v>0</v>
      </c>
      <c r="U33" s="531">
        <f t="shared" si="11"/>
        <v>0</v>
      </c>
      <c r="V33" s="531">
        <f t="shared" si="11"/>
        <v>0</v>
      </c>
      <c r="W33" s="531">
        <f t="shared" si="11"/>
        <v>0</v>
      </c>
      <c r="X33" s="531">
        <f t="shared" si="11"/>
        <v>0</v>
      </c>
      <c r="Y33" s="531">
        <f t="shared" si="11"/>
        <v>0</v>
      </c>
      <c r="Z33" s="531">
        <f t="shared" si="11"/>
        <v>0</v>
      </c>
      <c r="AA33" s="531">
        <f t="shared" si="11"/>
        <v>0</v>
      </c>
      <c r="AB33" s="531">
        <f t="shared" si="11"/>
        <v>0</v>
      </c>
      <c r="AC33" s="531">
        <f t="shared" si="11"/>
        <v>0</v>
      </c>
      <c r="AD33" s="531">
        <f t="shared" si="11"/>
        <v>100</v>
      </c>
      <c r="AE33" s="531">
        <f t="shared" si="11"/>
        <v>100</v>
      </c>
      <c r="AF33" s="402"/>
      <c r="AG33" s="544">
        <f t="shared" si="4"/>
        <v>0</v>
      </c>
    </row>
    <row r="34" spans="1:33" x14ac:dyDescent="0.35">
      <c r="A34" s="385" t="s">
        <v>32</v>
      </c>
      <c r="B34" s="504">
        <f>H34+J34+L34+N34+P34+R34+T34+V34+X34+Z34+AB34+AD34</f>
        <v>100</v>
      </c>
      <c r="C34" s="384">
        <f>H34+J34+L34+N34+P34+R34+T34+V34+X34+Z34+AB34+AD34</f>
        <v>100</v>
      </c>
      <c r="D34" s="384">
        <v>100</v>
      </c>
      <c r="E34" s="504">
        <f>I34+K34+M34+O34+Q34+S34+U34+W34+Y34+AA34+AC34+AE34</f>
        <v>100</v>
      </c>
      <c r="F34" s="542">
        <f>E34/B34</f>
        <v>1</v>
      </c>
      <c r="G34" s="542">
        <f>E34/C34</f>
        <v>1</v>
      </c>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v>100</v>
      </c>
      <c r="AE34" s="399">
        <v>100</v>
      </c>
      <c r="AF34" s="402"/>
      <c r="AG34" s="544">
        <f t="shared" si="4"/>
        <v>0</v>
      </c>
    </row>
    <row r="35" spans="1:33" x14ac:dyDescent="0.35">
      <c r="A35" s="386" t="s">
        <v>53</v>
      </c>
      <c r="B35" s="515"/>
      <c r="C35" s="515"/>
      <c r="D35" s="515"/>
      <c r="E35" s="515"/>
      <c r="F35" s="515"/>
      <c r="G35" s="515"/>
      <c r="H35" s="516"/>
      <c r="I35" s="516"/>
      <c r="J35" s="516"/>
      <c r="K35" s="516"/>
      <c r="L35" s="516"/>
      <c r="M35" s="516"/>
      <c r="N35" s="516"/>
      <c r="O35" s="516"/>
      <c r="P35" s="516"/>
      <c r="Q35" s="516"/>
      <c r="R35" s="516"/>
      <c r="S35" s="516"/>
      <c r="T35" s="516"/>
      <c r="U35" s="516"/>
      <c r="V35" s="516"/>
      <c r="W35" s="516"/>
      <c r="X35" s="516"/>
      <c r="Y35" s="516"/>
      <c r="Z35" s="516"/>
      <c r="AA35" s="516"/>
      <c r="AB35" s="516"/>
      <c r="AC35" s="516"/>
      <c r="AD35" s="516"/>
      <c r="AE35" s="516"/>
      <c r="AF35" s="402"/>
    </row>
    <row r="36" spans="1:33" x14ac:dyDescent="0.35">
      <c r="A36" s="517" t="s">
        <v>31</v>
      </c>
      <c r="B36" s="530">
        <f>B37+B38</f>
        <v>27391.752800000002</v>
      </c>
      <c r="C36" s="530">
        <f>C37+C38</f>
        <v>27391.752800000002</v>
      </c>
      <c r="D36" s="530">
        <f>D37+D38</f>
        <v>27306.897970000002</v>
      </c>
      <c r="E36" s="530">
        <f>E37+E38</f>
        <v>27248.921129999995</v>
      </c>
      <c r="F36" s="541">
        <f>E36/B36</f>
        <v>0.99478559583087334</v>
      </c>
      <c r="G36" s="541">
        <f>E36/C36</f>
        <v>0.99478559583087334</v>
      </c>
      <c r="H36" s="531">
        <f>H37+H38</f>
        <v>46.614999999999995</v>
      </c>
      <c r="I36" s="531">
        <f t="shared" ref="I36:AE36" si="12">I37+I38</f>
        <v>13</v>
      </c>
      <c r="J36" s="531">
        <f t="shared" si="12"/>
        <v>1205.8049000000001</v>
      </c>
      <c r="K36" s="531">
        <f t="shared" si="12"/>
        <v>814.41613000000007</v>
      </c>
      <c r="L36" s="531">
        <f t="shared" si="12"/>
        <v>739.73930000000007</v>
      </c>
      <c r="M36" s="531">
        <f t="shared" si="12"/>
        <v>742.18499999999995</v>
      </c>
      <c r="N36" s="531">
        <f t="shared" si="12"/>
        <v>1094.5126</v>
      </c>
      <c r="O36" s="531">
        <f t="shared" si="12"/>
        <v>774.31</v>
      </c>
      <c r="P36" s="531">
        <f t="shared" si="12"/>
        <v>758.47430000000008</v>
      </c>
      <c r="Q36" s="531">
        <f t="shared" si="12"/>
        <v>864.43000000000006</v>
      </c>
      <c r="R36" s="531">
        <f t="shared" si="12"/>
        <v>10585.351700000001</v>
      </c>
      <c r="S36" s="531">
        <f t="shared" si="12"/>
        <v>8345.19</v>
      </c>
      <c r="T36" s="531">
        <f t="shared" si="12"/>
        <v>7379.9979000000003</v>
      </c>
      <c r="U36" s="531">
        <f t="shared" si="12"/>
        <v>6175.74</v>
      </c>
      <c r="V36" s="531">
        <f t="shared" si="12"/>
        <v>3591.6242000000002</v>
      </c>
      <c r="W36" s="531">
        <f t="shared" si="12"/>
        <v>7263.27</v>
      </c>
      <c r="X36" s="531">
        <f t="shared" si="12"/>
        <v>631.52430000000004</v>
      </c>
      <c r="Y36" s="531">
        <f t="shared" si="12"/>
        <v>595.32999999999993</v>
      </c>
      <c r="Z36" s="531">
        <f t="shared" si="12"/>
        <v>647.20429999999999</v>
      </c>
      <c r="AA36" s="531">
        <f t="shared" si="12"/>
        <v>669.93</v>
      </c>
      <c r="AB36" s="531">
        <f t="shared" si="12"/>
        <v>589.90429999999992</v>
      </c>
      <c r="AC36" s="531">
        <f t="shared" si="12"/>
        <v>760.59</v>
      </c>
      <c r="AD36" s="531">
        <f t="shared" si="12"/>
        <v>121</v>
      </c>
      <c r="AE36" s="531">
        <f t="shared" si="12"/>
        <v>230.53</v>
      </c>
      <c r="AF36" s="402"/>
      <c r="AG36" s="546">
        <f t="shared" si="4"/>
        <v>142.83167000000685</v>
      </c>
    </row>
    <row r="37" spans="1:33" x14ac:dyDescent="0.35">
      <c r="A37" s="503" t="s">
        <v>32</v>
      </c>
      <c r="B37" s="504">
        <f>B15+B19+B34</f>
        <v>8605.6</v>
      </c>
      <c r="C37" s="504">
        <f>C15+C19+C34</f>
        <v>8605.6</v>
      </c>
      <c r="D37" s="504">
        <f>D15+D19+D34</f>
        <v>8567.5751700000001</v>
      </c>
      <c r="E37" s="504">
        <f>E15+E19+E34</f>
        <v>8567.5831299999991</v>
      </c>
      <c r="F37" s="542">
        <f>E37/B37</f>
        <v>0.99558231035604705</v>
      </c>
      <c r="G37" s="542">
        <f>E37/C37</f>
        <v>0.99558231035604705</v>
      </c>
      <c r="H37" s="506">
        <f>H15+H19+H34</f>
        <v>15</v>
      </c>
      <c r="I37" s="506">
        <f t="shared" ref="I37:AE37" si="13">I15+I19+I34</f>
        <v>0</v>
      </c>
      <c r="J37" s="506">
        <f t="shared" si="13"/>
        <v>276.39999999999998</v>
      </c>
      <c r="K37" s="506">
        <f t="shared" si="13"/>
        <v>270.55313000000001</v>
      </c>
      <c r="L37" s="506">
        <f t="shared" si="13"/>
        <v>265.10000000000002</v>
      </c>
      <c r="M37" s="506">
        <f t="shared" si="13"/>
        <v>259.33</v>
      </c>
      <c r="N37" s="506">
        <f t="shared" si="13"/>
        <v>265.10000000000002</v>
      </c>
      <c r="O37" s="506">
        <f t="shared" si="13"/>
        <v>267.95</v>
      </c>
      <c r="P37" s="506">
        <f t="shared" si="13"/>
        <v>265.10000000000002</v>
      </c>
      <c r="Q37" s="506">
        <f t="shared" si="13"/>
        <v>253.93</v>
      </c>
      <c r="R37" s="506">
        <f t="shared" si="13"/>
        <v>2515.1</v>
      </c>
      <c r="S37" s="506">
        <f t="shared" si="13"/>
        <v>2497.69</v>
      </c>
      <c r="T37" s="506">
        <f t="shared" si="13"/>
        <v>2115.1</v>
      </c>
      <c r="U37" s="506">
        <f t="shared" si="13"/>
        <v>2112.83</v>
      </c>
      <c r="V37" s="506">
        <f t="shared" si="13"/>
        <v>2057</v>
      </c>
      <c r="W37" s="506">
        <f t="shared" si="13"/>
        <v>2050</v>
      </c>
      <c r="X37" s="506">
        <f t="shared" si="13"/>
        <v>223.7</v>
      </c>
      <c r="Y37" s="506">
        <f t="shared" si="13"/>
        <v>200</v>
      </c>
      <c r="Z37" s="506">
        <f t="shared" si="13"/>
        <v>221.6</v>
      </c>
      <c r="AA37" s="506">
        <f t="shared" si="13"/>
        <v>219.52</v>
      </c>
      <c r="AB37" s="506">
        <f t="shared" si="13"/>
        <v>265.39999999999998</v>
      </c>
      <c r="AC37" s="506">
        <f t="shared" si="13"/>
        <v>283.35000000000002</v>
      </c>
      <c r="AD37" s="506">
        <f t="shared" si="13"/>
        <v>121</v>
      </c>
      <c r="AE37" s="506">
        <f t="shared" si="13"/>
        <v>152.43</v>
      </c>
      <c r="AF37" s="402"/>
      <c r="AG37" s="544">
        <f t="shared" si="4"/>
        <v>38.01687000000129</v>
      </c>
    </row>
    <row r="38" spans="1:33" x14ac:dyDescent="0.35">
      <c r="A38" s="503" t="s">
        <v>33</v>
      </c>
      <c r="B38" s="504">
        <f>B16+B20</f>
        <v>18786.152800000003</v>
      </c>
      <c r="C38" s="504">
        <f>C16+C20</f>
        <v>18786.152800000003</v>
      </c>
      <c r="D38" s="504">
        <f>D16+D20</f>
        <v>18739.322800000002</v>
      </c>
      <c r="E38" s="504">
        <f>E16+E20</f>
        <v>18681.337999999996</v>
      </c>
      <c r="F38" s="542">
        <f>E38/B38</f>
        <v>0.99442063518188739</v>
      </c>
      <c r="G38" s="542">
        <f>E38/C38</f>
        <v>0.99442063518188739</v>
      </c>
      <c r="H38" s="506">
        <f>H16+H20</f>
        <v>31.614999999999998</v>
      </c>
      <c r="I38" s="506">
        <f t="shared" ref="I38:AE38" si="14">I16+I20</f>
        <v>13</v>
      </c>
      <c r="J38" s="506">
        <f t="shared" si="14"/>
        <v>929.4049</v>
      </c>
      <c r="K38" s="506">
        <f t="shared" si="14"/>
        <v>543.86300000000006</v>
      </c>
      <c r="L38" s="506">
        <f t="shared" si="14"/>
        <v>474.63930000000005</v>
      </c>
      <c r="M38" s="506">
        <f t="shared" si="14"/>
        <v>482.85500000000002</v>
      </c>
      <c r="N38" s="506">
        <f t="shared" si="14"/>
        <v>829.41260000000011</v>
      </c>
      <c r="O38" s="506">
        <f t="shared" si="14"/>
        <v>506.36</v>
      </c>
      <c r="P38" s="506">
        <f t="shared" si="14"/>
        <v>493.37430000000006</v>
      </c>
      <c r="Q38" s="506">
        <f t="shared" si="14"/>
        <v>610.5</v>
      </c>
      <c r="R38" s="506">
        <f t="shared" si="14"/>
        <v>8070.2517000000007</v>
      </c>
      <c r="S38" s="506">
        <f t="shared" si="14"/>
        <v>5847.5</v>
      </c>
      <c r="T38" s="506">
        <f t="shared" si="14"/>
        <v>5264.8978999999999</v>
      </c>
      <c r="U38" s="506">
        <f t="shared" si="14"/>
        <v>4062.91</v>
      </c>
      <c r="V38" s="506">
        <f t="shared" si="14"/>
        <v>1534.6242</v>
      </c>
      <c r="W38" s="506">
        <f t="shared" si="14"/>
        <v>5213.2700000000004</v>
      </c>
      <c r="X38" s="506">
        <f t="shared" si="14"/>
        <v>407.82430000000005</v>
      </c>
      <c r="Y38" s="506">
        <f t="shared" si="14"/>
        <v>395.33</v>
      </c>
      <c r="Z38" s="506">
        <f t="shared" si="14"/>
        <v>425.60429999999997</v>
      </c>
      <c r="AA38" s="506">
        <f t="shared" si="14"/>
        <v>450.40999999999997</v>
      </c>
      <c r="AB38" s="506">
        <f t="shared" si="14"/>
        <v>324.5043</v>
      </c>
      <c r="AC38" s="506">
        <f t="shared" si="14"/>
        <v>477.24</v>
      </c>
      <c r="AD38" s="506">
        <f t="shared" si="14"/>
        <v>0</v>
      </c>
      <c r="AE38" s="506">
        <f t="shared" si="14"/>
        <v>78.099999999999994</v>
      </c>
      <c r="AF38" s="402"/>
      <c r="AG38" s="544">
        <f t="shared" si="4"/>
        <v>104.81480000000738</v>
      </c>
    </row>
    <row r="39" spans="1:33" ht="38.25" x14ac:dyDescent="0.35">
      <c r="A39" s="503" t="s">
        <v>72</v>
      </c>
      <c r="B39" s="504"/>
      <c r="C39" s="504"/>
      <c r="D39" s="504"/>
      <c r="E39" s="504"/>
      <c r="F39" s="505"/>
      <c r="G39" s="505"/>
      <c r="H39" s="506"/>
      <c r="I39" s="506"/>
      <c r="J39" s="506"/>
      <c r="K39" s="506"/>
      <c r="L39" s="506"/>
      <c r="M39" s="506"/>
      <c r="N39" s="506"/>
      <c r="O39" s="506"/>
      <c r="P39" s="506"/>
      <c r="Q39" s="506"/>
      <c r="R39" s="506"/>
      <c r="S39" s="506"/>
      <c r="T39" s="506"/>
      <c r="U39" s="506"/>
      <c r="V39" s="506"/>
      <c r="W39" s="506"/>
      <c r="X39" s="506"/>
      <c r="Y39" s="506"/>
      <c r="Z39" s="506"/>
      <c r="AA39" s="506"/>
      <c r="AB39" s="506"/>
      <c r="AC39" s="506"/>
      <c r="AD39" s="506"/>
      <c r="AE39" s="506"/>
      <c r="AF39" s="402"/>
    </row>
    <row r="40" spans="1:33" x14ac:dyDescent="0.35">
      <c r="A40" s="517" t="s">
        <v>31</v>
      </c>
      <c r="B40" s="530">
        <f>B41+B42</f>
        <v>27391.752800000002</v>
      </c>
      <c r="C40" s="530">
        <f>C41+C42</f>
        <v>27391.752800000002</v>
      </c>
      <c r="D40" s="530">
        <f>D41+D42</f>
        <v>27306.897970000002</v>
      </c>
      <c r="E40" s="530">
        <f>E41+E42</f>
        <v>27248.921129999995</v>
      </c>
      <c r="F40" s="541">
        <f>E40/B40</f>
        <v>0.99478559583087334</v>
      </c>
      <c r="G40" s="541">
        <f>E40/C40</f>
        <v>0.99478559583087334</v>
      </c>
      <c r="H40" s="531">
        <f>H41+H42</f>
        <v>46.614999999999995</v>
      </c>
      <c r="I40" s="531">
        <f t="shared" ref="I40:AE40" si="15">I41+I42</f>
        <v>13</v>
      </c>
      <c r="J40" s="531">
        <f t="shared" si="15"/>
        <v>1205.8049000000001</v>
      </c>
      <c r="K40" s="531">
        <f t="shared" si="15"/>
        <v>814.41613000000007</v>
      </c>
      <c r="L40" s="531">
        <f t="shared" si="15"/>
        <v>739.73930000000007</v>
      </c>
      <c r="M40" s="531">
        <f t="shared" si="15"/>
        <v>742.18499999999995</v>
      </c>
      <c r="N40" s="531">
        <f t="shared" si="15"/>
        <v>1094.5126</v>
      </c>
      <c r="O40" s="531">
        <f t="shared" si="15"/>
        <v>774.31</v>
      </c>
      <c r="P40" s="531">
        <f t="shared" si="15"/>
        <v>758.47430000000008</v>
      </c>
      <c r="Q40" s="531">
        <f t="shared" si="15"/>
        <v>864.43000000000006</v>
      </c>
      <c r="R40" s="531">
        <f t="shared" si="15"/>
        <v>10585.351700000001</v>
      </c>
      <c r="S40" s="531">
        <f t="shared" si="15"/>
        <v>8345.19</v>
      </c>
      <c r="T40" s="531">
        <f t="shared" si="15"/>
        <v>7379.9979000000003</v>
      </c>
      <c r="U40" s="531">
        <f t="shared" si="15"/>
        <v>6175.74</v>
      </c>
      <c r="V40" s="531">
        <f t="shared" si="15"/>
        <v>3591.6242000000002</v>
      </c>
      <c r="W40" s="531">
        <f t="shared" si="15"/>
        <v>7263.27</v>
      </c>
      <c r="X40" s="531">
        <f t="shared" si="15"/>
        <v>631.52430000000004</v>
      </c>
      <c r="Y40" s="531">
        <f t="shared" si="15"/>
        <v>595.32999999999993</v>
      </c>
      <c r="Z40" s="531">
        <f t="shared" si="15"/>
        <v>647.20429999999999</v>
      </c>
      <c r="AA40" s="531">
        <f t="shared" si="15"/>
        <v>669.93</v>
      </c>
      <c r="AB40" s="531">
        <f t="shared" si="15"/>
        <v>589.90429999999992</v>
      </c>
      <c r="AC40" s="531">
        <f t="shared" si="15"/>
        <v>760.59</v>
      </c>
      <c r="AD40" s="531">
        <f t="shared" si="15"/>
        <v>121</v>
      </c>
      <c r="AE40" s="531">
        <f t="shared" si="15"/>
        <v>230.53</v>
      </c>
      <c r="AF40" s="402"/>
      <c r="AG40" s="546"/>
    </row>
    <row r="41" spans="1:33" x14ac:dyDescent="0.35">
      <c r="A41" s="503" t="s">
        <v>32</v>
      </c>
      <c r="B41" s="504">
        <f t="shared" ref="B41:E42" si="16">B37</f>
        <v>8605.6</v>
      </c>
      <c r="C41" s="504">
        <f t="shared" si="16"/>
        <v>8605.6</v>
      </c>
      <c r="D41" s="504">
        <f t="shared" si="16"/>
        <v>8567.5751700000001</v>
      </c>
      <c r="E41" s="504">
        <f t="shared" si="16"/>
        <v>8567.5831299999991</v>
      </c>
      <c r="F41" s="542">
        <f>E41/B41</f>
        <v>0.99558231035604705</v>
      </c>
      <c r="G41" s="542">
        <f>E41/C41</f>
        <v>0.99558231035604705</v>
      </c>
      <c r="H41" s="506">
        <f>H37</f>
        <v>15</v>
      </c>
      <c r="I41" s="506">
        <f t="shared" ref="I41:AE41" si="17">I37</f>
        <v>0</v>
      </c>
      <c r="J41" s="506">
        <f t="shared" si="17"/>
        <v>276.39999999999998</v>
      </c>
      <c r="K41" s="506">
        <f t="shared" si="17"/>
        <v>270.55313000000001</v>
      </c>
      <c r="L41" s="506">
        <f t="shared" si="17"/>
        <v>265.10000000000002</v>
      </c>
      <c r="M41" s="506">
        <f t="shared" si="17"/>
        <v>259.33</v>
      </c>
      <c r="N41" s="506">
        <f t="shared" si="17"/>
        <v>265.10000000000002</v>
      </c>
      <c r="O41" s="506">
        <f t="shared" si="17"/>
        <v>267.95</v>
      </c>
      <c r="P41" s="506">
        <f t="shared" si="17"/>
        <v>265.10000000000002</v>
      </c>
      <c r="Q41" s="506">
        <f t="shared" si="17"/>
        <v>253.93</v>
      </c>
      <c r="R41" s="506">
        <f t="shared" si="17"/>
        <v>2515.1</v>
      </c>
      <c r="S41" s="506">
        <f t="shared" si="17"/>
        <v>2497.69</v>
      </c>
      <c r="T41" s="506">
        <f t="shared" si="17"/>
        <v>2115.1</v>
      </c>
      <c r="U41" s="506">
        <f t="shared" si="17"/>
        <v>2112.83</v>
      </c>
      <c r="V41" s="506">
        <f t="shared" si="17"/>
        <v>2057</v>
      </c>
      <c r="W41" s="506">
        <f t="shared" si="17"/>
        <v>2050</v>
      </c>
      <c r="X41" s="506">
        <f t="shared" si="17"/>
        <v>223.7</v>
      </c>
      <c r="Y41" s="506">
        <f t="shared" si="17"/>
        <v>200</v>
      </c>
      <c r="Z41" s="506">
        <f t="shared" si="17"/>
        <v>221.6</v>
      </c>
      <c r="AA41" s="506">
        <f t="shared" si="17"/>
        <v>219.52</v>
      </c>
      <c r="AB41" s="506">
        <f t="shared" si="17"/>
        <v>265.39999999999998</v>
      </c>
      <c r="AC41" s="506">
        <f t="shared" si="17"/>
        <v>283.35000000000002</v>
      </c>
      <c r="AD41" s="506">
        <f t="shared" si="17"/>
        <v>121</v>
      </c>
      <c r="AE41" s="506">
        <f t="shared" si="17"/>
        <v>152.43</v>
      </c>
      <c r="AF41" s="402"/>
      <c r="AG41" s="544"/>
    </row>
    <row r="42" spans="1:33" x14ac:dyDescent="0.35">
      <c r="A42" s="503" t="s">
        <v>33</v>
      </c>
      <c r="B42" s="504">
        <f t="shared" si="16"/>
        <v>18786.152800000003</v>
      </c>
      <c r="C42" s="504">
        <f t="shared" si="16"/>
        <v>18786.152800000003</v>
      </c>
      <c r="D42" s="504">
        <f t="shared" si="16"/>
        <v>18739.322800000002</v>
      </c>
      <c r="E42" s="504">
        <f t="shared" si="16"/>
        <v>18681.337999999996</v>
      </c>
      <c r="F42" s="542">
        <f>E42/B42</f>
        <v>0.99442063518188739</v>
      </c>
      <c r="G42" s="542">
        <f>E42/C42</f>
        <v>0.99442063518188739</v>
      </c>
      <c r="H42" s="506">
        <f>H38</f>
        <v>31.614999999999998</v>
      </c>
      <c r="I42" s="506">
        <f t="shared" ref="I42:AE42" si="18">I38</f>
        <v>13</v>
      </c>
      <c r="J42" s="506">
        <f t="shared" si="18"/>
        <v>929.4049</v>
      </c>
      <c r="K42" s="506">
        <f t="shared" si="18"/>
        <v>543.86300000000006</v>
      </c>
      <c r="L42" s="506">
        <f t="shared" si="18"/>
        <v>474.63930000000005</v>
      </c>
      <c r="M42" s="506">
        <f t="shared" si="18"/>
        <v>482.85500000000002</v>
      </c>
      <c r="N42" s="506">
        <f t="shared" si="18"/>
        <v>829.41260000000011</v>
      </c>
      <c r="O42" s="506">
        <f t="shared" si="18"/>
        <v>506.36</v>
      </c>
      <c r="P42" s="506">
        <f t="shared" si="18"/>
        <v>493.37430000000006</v>
      </c>
      <c r="Q42" s="506">
        <f t="shared" si="18"/>
        <v>610.5</v>
      </c>
      <c r="R42" s="506">
        <f t="shared" si="18"/>
        <v>8070.2517000000007</v>
      </c>
      <c r="S42" s="506">
        <f t="shared" si="18"/>
        <v>5847.5</v>
      </c>
      <c r="T42" s="506">
        <f t="shared" si="18"/>
        <v>5264.8978999999999</v>
      </c>
      <c r="U42" s="506">
        <f t="shared" si="18"/>
        <v>4062.91</v>
      </c>
      <c r="V42" s="506">
        <f t="shared" si="18"/>
        <v>1534.6242</v>
      </c>
      <c r="W42" s="506">
        <f t="shared" si="18"/>
        <v>5213.2700000000004</v>
      </c>
      <c r="X42" s="506">
        <f t="shared" si="18"/>
        <v>407.82430000000005</v>
      </c>
      <c r="Y42" s="506">
        <f t="shared" si="18"/>
        <v>395.33</v>
      </c>
      <c r="Z42" s="506">
        <f t="shared" si="18"/>
        <v>425.60429999999997</v>
      </c>
      <c r="AA42" s="506">
        <f t="shared" si="18"/>
        <v>450.40999999999997</v>
      </c>
      <c r="AB42" s="506">
        <f t="shared" si="18"/>
        <v>324.5043</v>
      </c>
      <c r="AC42" s="506">
        <f t="shared" si="18"/>
        <v>477.24</v>
      </c>
      <c r="AD42" s="506">
        <f t="shared" si="18"/>
        <v>0</v>
      </c>
      <c r="AE42" s="506">
        <f t="shared" si="18"/>
        <v>78.099999999999994</v>
      </c>
      <c r="AF42" s="402"/>
      <c r="AG42" s="544"/>
    </row>
    <row r="43" spans="1:33" ht="57" x14ac:dyDescent="0.35">
      <c r="A43" s="521" t="s">
        <v>37</v>
      </c>
      <c r="B43" s="522"/>
      <c r="C43" s="522"/>
      <c r="D43" s="522"/>
      <c r="E43" s="522"/>
      <c r="F43" s="522"/>
      <c r="G43" s="522"/>
      <c r="H43" s="523"/>
      <c r="I43" s="523"/>
      <c r="J43" s="523"/>
      <c r="K43" s="523"/>
      <c r="L43" s="523"/>
      <c r="M43" s="523"/>
      <c r="N43" s="523"/>
      <c r="O43" s="523"/>
      <c r="P43" s="523"/>
      <c r="Q43" s="523"/>
      <c r="R43" s="523"/>
      <c r="S43" s="523"/>
      <c r="T43" s="523"/>
      <c r="U43" s="523"/>
      <c r="V43" s="523"/>
      <c r="W43" s="523"/>
      <c r="X43" s="523"/>
      <c r="Y43" s="523"/>
      <c r="Z43" s="523"/>
      <c r="AA43" s="523"/>
      <c r="AB43" s="523"/>
      <c r="AC43" s="523"/>
      <c r="AD43" s="523"/>
      <c r="AE43" s="523"/>
      <c r="AF43" s="402"/>
    </row>
    <row r="44" spans="1:33" x14ac:dyDescent="0.35">
      <c r="A44" s="503" t="s">
        <v>54</v>
      </c>
      <c r="B44" s="505"/>
      <c r="C44" s="505"/>
      <c r="D44" s="505"/>
      <c r="E44" s="505"/>
      <c r="F44" s="505"/>
      <c r="G44" s="505"/>
      <c r="H44" s="529"/>
      <c r="I44" s="529"/>
      <c r="J44" s="529"/>
      <c r="K44" s="529"/>
      <c r="L44" s="529"/>
      <c r="M44" s="529"/>
      <c r="N44" s="529"/>
      <c r="O44" s="529"/>
      <c r="P44" s="529"/>
      <c r="Q44" s="529"/>
      <c r="R44" s="529"/>
      <c r="S44" s="529"/>
      <c r="T44" s="529"/>
      <c r="U44" s="529"/>
      <c r="V44" s="529"/>
      <c r="W44" s="529"/>
      <c r="X44" s="529"/>
      <c r="Y44" s="529"/>
      <c r="Z44" s="529"/>
      <c r="AA44" s="529"/>
      <c r="AB44" s="529"/>
      <c r="AC44" s="529"/>
      <c r="AD44" s="529"/>
      <c r="AE44" s="529"/>
      <c r="AF44" s="402"/>
    </row>
    <row r="45" spans="1:33" x14ac:dyDescent="0.35">
      <c r="A45" s="388" t="s">
        <v>34</v>
      </c>
      <c r="B45" s="510"/>
      <c r="C45" s="510"/>
      <c r="D45" s="510"/>
      <c r="E45" s="510"/>
      <c r="F45" s="510"/>
      <c r="G45" s="510"/>
      <c r="H45" s="507"/>
      <c r="I45" s="507"/>
      <c r="J45" s="507"/>
      <c r="K45" s="507"/>
      <c r="L45" s="507"/>
      <c r="M45" s="507"/>
      <c r="N45" s="507"/>
      <c r="O45" s="507"/>
      <c r="P45" s="507"/>
      <c r="Q45" s="507"/>
      <c r="R45" s="507"/>
      <c r="S45" s="507"/>
      <c r="T45" s="507"/>
      <c r="U45" s="507"/>
      <c r="V45" s="507"/>
      <c r="W45" s="507"/>
      <c r="X45" s="507"/>
      <c r="Y45" s="507"/>
      <c r="Z45" s="507"/>
      <c r="AA45" s="507"/>
      <c r="AB45" s="507"/>
      <c r="AC45" s="507"/>
      <c r="AD45" s="507"/>
      <c r="AE45" s="507"/>
      <c r="AF45" s="402"/>
    </row>
    <row r="46" spans="1:33" ht="259.5" customHeight="1" x14ac:dyDescent="0.35">
      <c r="A46" s="551" t="s">
        <v>38</v>
      </c>
      <c r="B46" s="534"/>
      <c r="C46" s="534"/>
      <c r="D46" s="535"/>
      <c r="E46" s="535"/>
      <c r="F46" s="535"/>
      <c r="G46" s="535"/>
      <c r="H46" s="536"/>
      <c r="I46" s="536"/>
      <c r="J46" s="536"/>
      <c r="K46" s="536"/>
      <c r="L46" s="536"/>
      <c r="M46" s="536"/>
      <c r="N46" s="536"/>
      <c r="O46" s="536"/>
      <c r="P46" s="536"/>
      <c r="Q46" s="536"/>
      <c r="R46" s="536"/>
      <c r="S46" s="536"/>
      <c r="T46" s="536"/>
      <c r="U46" s="536"/>
      <c r="V46" s="536"/>
      <c r="W46" s="536"/>
      <c r="X46" s="536"/>
      <c r="Y46" s="536"/>
      <c r="Z46" s="536"/>
      <c r="AA46" s="536"/>
      <c r="AB46" s="536"/>
      <c r="AC46" s="536"/>
      <c r="AD46" s="536"/>
      <c r="AE46" s="536"/>
      <c r="AF46" s="1040" t="s">
        <v>682</v>
      </c>
    </row>
    <row r="47" spans="1:33" x14ac:dyDescent="0.35">
      <c r="A47" s="532" t="s">
        <v>31</v>
      </c>
      <c r="B47" s="530">
        <f>B48+B49</f>
        <v>4095.8580000000002</v>
      </c>
      <c r="C47" s="530">
        <f t="shared" ref="C47:E47" si="19">C48+C49</f>
        <v>4095.8580000000002</v>
      </c>
      <c r="D47" s="530">
        <f t="shared" si="19"/>
        <v>3982.8825499999998</v>
      </c>
      <c r="E47" s="530">
        <f t="shared" si="19"/>
        <v>3982.8746899999996</v>
      </c>
      <c r="F47" s="541">
        <f>E47/B47</f>
        <v>0.97241522777400957</v>
      </c>
      <c r="G47" s="541">
        <f>E47/C47</f>
        <v>0.97241522777400957</v>
      </c>
      <c r="H47" s="531">
        <f>H48+H49</f>
        <v>538.10130000000004</v>
      </c>
      <c r="I47" s="531">
        <f t="shared" ref="I47:AE47" si="20">I48+I49</f>
        <v>256.75177000000002</v>
      </c>
      <c r="J47" s="531">
        <f t="shared" si="20"/>
        <v>315.94600000000003</v>
      </c>
      <c r="K47" s="531">
        <f t="shared" si="20"/>
        <v>375.87491999999997</v>
      </c>
      <c r="L47" s="531">
        <f t="shared" si="20"/>
        <v>252.583</v>
      </c>
      <c r="M47" s="531">
        <f t="shared" si="20"/>
        <v>221.87</v>
      </c>
      <c r="N47" s="531">
        <f t="shared" si="20"/>
        <v>544.68899999999996</v>
      </c>
      <c r="O47" s="531">
        <f t="shared" si="20"/>
        <v>293.39999999999998</v>
      </c>
      <c r="P47" s="531">
        <f t="shared" si="20"/>
        <v>304.92599999999999</v>
      </c>
      <c r="Q47" s="531">
        <f t="shared" si="20"/>
        <v>488.02</v>
      </c>
      <c r="R47" s="531">
        <f t="shared" si="20"/>
        <v>255.97300000000001</v>
      </c>
      <c r="S47" s="531">
        <f t="shared" si="20"/>
        <v>288.58</v>
      </c>
      <c r="T47" s="531">
        <f t="shared" si="20"/>
        <v>445.28899999999999</v>
      </c>
      <c r="U47" s="531">
        <f t="shared" si="20"/>
        <v>444.9</v>
      </c>
      <c r="V47" s="531">
        <f t="shared" si="20"/>
        <v>284.46999999999997</v>
      </c>
      <c r="W47" s="531">
        <f t="shared" si="20"/>
        <v>322.45799999999997</v>
      </c>
      <c r="X47" s="531">
        <f t="shared" si="20"/>
        <v>252.57300000000001</v>
      </c>
      <c r="Y47" s="531">
        <f t="shared" si="20"/>
        <v>138.72</v>
      </c>
      <c r="Z47" s="531">
        <f t="shared" si="20"/>
        <v>380.37799999999999</v>
      </c>
      <c r="AA47" s="531">
        <f t="shared" si="20"/>
        <v>250.78</v>
      </c>
      <c r="AB47" s="531">
        <f t="shared" si="20"/>
        <v>287.56560000000002</v>
      </c>
      <c r="AC47" s="531">
        <f t="shared" si="20"/>
        <v>252.27</v>
      </c>
      <c r="AD47" s="531">
        <f t="shared" si="20"/>
        <v>233.36410000000001</v>
      </c>
      <c r="AE47" s="531">
        <f t="shared" si="20"/>
        <v>649.25</v>
      </c>
      <c r="AF47" s="402"/>
      <c r="AG47" s="546">
        <f>C47-E47</f>
        <v>112.98331000000053</v>
      </c>
    </row>
    <row r="48" spans="1:33" x14ac:dyDescent="0.35">
      <c r="A48" s="385" t="s">
        <v>32</v>
      </c>
      <c r="B48" s="504">
        <f>H48+J48+L48+N48+P48+R48+T48+V48+X48+Z48+AB48+AD48</f>
        <v>4058.1000000000004</v>
      </c>
      <c r="C48" s="383">
        <f>H48+J48+L48+N48+P48+R48+T48+V48+X48+Z48+AB48+AD48</f>
        <v>4058.1000000000004</v>
      </c>
      <c r="D48" s="383">
        <v>3945.12455</v>
      </c>
      <c r="E48" s="504">
        <f>I48+K48+M48+O48+Q48+S48+U48+W48+Y48+AA48+AC48+AE48</f>
        <v>3945.1166899999998</v>
      </c>
      <c r="F48" s="542">
        <f>E48/B48</f>
        <v>0.9721585692811906</v>
      </c>
      <c r="G48" s="542">
        <f>E48/C48</f>
        <v>0.9721585692811906</v>
      </c>
      <c r="H48" s="398">
        <v>538.10130000000004</v>
      </c>
      <c r="I48" s="398">
        <v>256.75177000000002</v>
      </c>
      <c r="J48" s="398">
        <v>315.94600000000003</v>
      </c>
      <c r="K48" s="398">
        <v>375.87491999999997</v>
      </c>
      <c r="L48" s="398">
        <v>252.583</v>
      </c>
      <c r="M48" s="398">
        <v>221.87</v>
      </c>
      <c r="N48" s="398">
        <v>544.68899999999996</v>
      </c>
      <c r="O48" s="398">
        <v>293.39999999999998</v>
      </c>
      <c r="P48" s="398">
        <v>304.92599999999999</v>
      </c>
      <c r="Q48" s="398">
        <v>488.02</v>
      </c>
      <c r="R48" s="398">
        <v>255.97300000000001</v>
      </c>
      <c r="S48" s="398">
        <v>288.58</v>
      </c>
      <c r="T48" s="398">
        <v>445.28899999999999</v>
      </c>
      <c r="U48" s="398">
        <v>444.9</v>
      </c>
      <c r="V48" s="398">
        <v>246.71199999999999</v>
      </c>
      <c r="W48" s="398">
        <v>284.7</v>
      </c>
      <c r="X48" s="398">
        <v>252.57300000000001</v>
      </c>
      <c r="Y48" s="398">
        <v>138.72</v>
      </c>
      <c r="Z48" s="398">
        <v>380.37799999999999</v>
      </c>
      <c r="AA48" s="398">
        <v>250.78</v>
      </c>
      <c r="AB48" s="398">
        <v>287.56560000000002</v>
      </c>
      <c r="AC48" s="398">
        <v>252.27</v>
      </c>
      <c r="AD48" s="398">
        <v>233.36410000000001</v>
      </c>
      <c r="AE48" s="398">
        <v>649.25</v>
      </c>
      <c r="AF48" s="402"/>
      <c r="AG48" s="544">
        <f t="shared" ref="AG48:AG56" si="21">C48-E48</f>
        <v>112.98331000000053</v>
      </c>
    </row>
    <row r="49" spans="1:33" x14ac:dyDescent="0.35">
      <c r="A49" s="385" t="s">
        <v>33</v>
      </c>
      <c r="B49" s="504">
        <f>H49+J49+L49+N49+P49+R49+T49+V49+X49+Z49+AB49+AD49</f>
        <v>37.758000000000003</v>
      </c>
      <c r="C49" s="383">
        <f>H49+J49+L49+N49+P49+R49+T49+V49+X49+Z49+AB49+AD49</f>
        <v>37.758000000000003</v>
      </c>
      <c r="D49" s="383">
        <v>37.758000000000003</v>
      </c>
      <c r="E49" s="504">
        <f>I49+K49+M49+O49+Q49+S49+U49+W49+Y49+AA49+AC49+AE49</f>
        <v>37.758000000000003</v>
      </c>
      <c r="F49" s="542">
        <f>E49/B49</f>
        <v>1</v>
      </c>
      <c r="G49" s="542">
        <f>E49/C49</f>
        <v>1</v>
      </c>
      <c r="H49" s="398"/>
      <c r="I49" s="398"/>
      <c r="J49" s="398"/>
      <c r="K49" s="398"/>
      <c r="L49" s="398"/>
      <c r="M49" s="398"/>
      <c r="N49" s="398"/>
      <c r="O49" s="398"/>
      <c r="P49" s="398"/>
      <c r="Q49" s="398"/>
      <c r="R49" s="398"/>
      <c r="S49" s="398"/>
      <c r="T49" s="398"/>
      <c r="U49" s="398"/>
      <c r="V49" s="398">
        <v>37.758000000000003</v>
      </c>
      <c r="W49" s="398">
        <v>37.758000000000003</v>
      </c>
      <c r="X49" s="398"/>
      <c r="Y49" s="398"/>
      <c r="Z49" s="398"/>
      <c r="AA49" s="398"/>
      <c r="AB49" s="398"/>
      <c r="AC49" s="398"/>
      <c r="AD49" s="398"/>
      <c r="AE49" s="398"/>
      <c r="AF49" s="402"/>
      <c r="AG49" s="544"/>
    </row>
    <row r="50" spans="1:33" ht="112.5" x14ac:dyDescent="0.35">
      <c r="A50" s="551" t="s">
        <v>39</v>
      </c>
      <c r="B50" s="534"/>
      <c r="C50" s="534"/>
      <c r="D50" s="534"/>
      <c r="E50" s="534"/>
      <c r="F50" s="535"/>
      <c r="G50" s="535"/>
      <c r="H50" s="537"/>
      <c r="I50" s="537"/>
      <c r="J50" s="537"/>
      <c r="K50" s="537"/>
      <c r="L50" s="537"/>
      <c r="M50" s="537"/>
      <c r="N50" s="537"/>
      <c r="O50" s="537"/>
      <c r="P50" s="537"/>
      <c r="Q50" s="537"/>
      <c r="R50" s="537"/>
      <c r="S50" s="537"/>
      <c r="T50" s="537"/>
      <c r="U50" s="537"/>
      <c r="V50" s="537"/>
      <c r="W50" s="537"/>
      <c r="X50" s="537"/>
      <c r="Y50" s="537"/>
      <c r="Z50" s="537"/>
      <c r="AA50" s="537"/>
      <c r="AB50" s="537"/>
      <c r="AC50" s="537"/>
      <c r="AD50" s="537"/>
      <c r="AE50" s="537"/>
      <c r="AF50" s="402"/>
    </row>
    <row r="51" spans="1:33" x14ac:dyDescent="0.35">
      <c r="A51" s="532" t="s">
        <v>31</v>
      </c>
      <c r="B51" s="530">
        <f>B52</f>
        <v>22</v>
      </c>
      <c r="C51" s="530">
        <f>C52</f>
        <v>22</v>
      </c>
      <c r="D51" s="530">
        <f>D52</f>
        <v>22</v>
      </c>
      <c r="E51" s="530">
        <f>E52</f>
        <v>22</v>
      </c>
      <c r="F51" s="541">
        <f>E51/B51</f>
        <v>1</v>
      </c>
      <c r="G51" s="541">
        <f>E51/C51</f>
        <v>1</v>
      </c>
      <c r="H51" s="531">
        <f>H52</f>
        <v>0</v>
      </c>
      <c r="I51" s="531">
        <f t="shared" ref="I51:AE51" si="22">I52</f>
        <v>0</v>
      </c>
      <c r="J51" s="531">
        <f t="shared" si="22"/>
        <v>0</v>
      </c>
      <c r="K51" s="531">
        <f t="shared" si="22"/>
        <v>0</v>
      </c>
      <c r="L51" s="531">
        <f t="shared" si="22"/>
        <v>0</v>
      </c>
      <c r="M51" s="531">
        <f t="shared" si="22"/>
        <v>0</v>
      </c>
      <c r="N51" s="531">
        <f t="shared" si="22"/>
        <v>22</v>
      </c>
      <c r="O51" s="531">
        <f t="shared" si="22"/>
        <v>0</v>
      </c>
      <c r="P51" s="531">
        <f t="shared" si="22"/>
        <v>0</v>
      </c>
      <c r="Q51" s="531">
        <f t="shared" si="22"/>
        <v>22</v>
      </c>
      <c r="R51" s="531">
        <f t="shared" si="22"/>
        <v>0</v>
      </c>
      <c r="S51" s="531">
        <f t="shared" si="22"/>
        <v>0</v>
      </c>
      <c r="T51" s="531">
        <f t="shared" si="22"/>
        <v>0</v>
      </c>
      <c r="U51" s="531">
        <f t="shared" si="22"/>
        <v>0</v>
      </c>
      <c r="V51" s="531">
        <f t="shared" si="22"/>
        <v>0</v>
      </c>
      <c r="W51" s="531">
        <f t="shared" si="22"/>
        <v>0</v>
      </c>
      <c r="X51" s="531">
        <f t="shared" si="22"/>
        <v>0</v>
      </c>
      <c r="Y51" s="531">
        <f t="shared" si="22"/>
        <v>0</v>
      </c>
      <c r="Z51" s="531">
        <f t="shared" si="22"/>
        <v>0</v>
      </c>
      <c r="AA51" s="531">
        <f t="shared" si="22"/>
        <v>0</v>
      </c>
      <c r="AB51" s="531">
        <f t="shared" si="22"/>
        <v>0</v>
      </c>
      <c r="AC51" s="531">
        <f t="shared" si="22"/>
        <v>0</v>
      </c>
      <c r="AD51" s="531">
        <f t="shared" si="22"/>
        <v>0</v>
      </c>
      <c r="AE51" s="506">
        <f t="shared" si="22"/>
        <v>0</v>
      </c>
      <c r="AF51" s="402"/>
      <c r="AG51" s="544">
        <f t="shared" si="21"/>
        <v>0</v>
      </c>
    </row>
    <row r="52" spans="1:33" x14ac:dyDescent="0.35">
      <c r="A52" s="385" t="s">
        <v>33</v>
      </c>
      <c r="B52" s="504">
        <f>H52+J52+L52+N52+P52+R52+T52+V52+X52+Z52+AB52+AD52</f>
        <v>22</v>
      </c>
      <c r="C52" s="383">
        <f>H52+J52+L52+N52+P52+R52+T52+V52+X52+Z52+AB52+AD52</f>
        <v>22</v>
      </c>
      <c r="D52" s="383">
        <v>22</v>
      </c>
      <c r="E52" s="504">
        <f>I52+K52+M52+O52+Q52+S52+U52+W52+Y52+AA52+AC52+AE52</f>
        <v>22</v>
      </c>
      <c r="F52" s="542">
        <f>E52/B52</f>
        <v>1</v>
      </c>
      <c r="G52" s="542">
        <f>E52/C52</f>
        <v>1</v>
      </c>
      <c r="H52" s="398"/>
      <c r="I52" s="398"/>
      <c r="J52" s="398"/>
      <c r="K52" s="398"/>
      <c r="L52" s="398"/>
      <c r="M52" s="398"/>
      <c r="N52" s="398">
        <v>22</v>
      </c>
      <c r="O52" s="398">
        <v>0</v>
      </c>
      <c r="P52" s="398"/>
      <c r="Q52" s="398">
        <v>22</v>
      </c>
      <c r="R52" s="398"/>
      <c r="S52" s="398"/>
      <c r="T52" s="398"/>
      <c r="U52" s="398"/>
      <c r="V52" s="398"/>
      <c r="W52" s="398"/>
      <c r="X52" s="398"/>
      <c r="Y52" s="398"/>
      <c r="Z52" s="398"/>
      <c r="AA52" s="398"/>
      <c r="AB52" s="398"/>
      <c r="AC52" s="398"/>
      <c r="AD52" s="398"/>
      <c r="AE52" s="398"/>
      <c r="AF52" s="402"/>
      <c r="AG52" s="544">
        <f t="shared" si="21"/>
        <v>0</v>
      </c>
    </row>
    <row r="53" spans="1:33" x14ac:dyDescent="0.35">
      <c r="A53" s="386" t="s">
        <v>35</v>
      </c>
      <c r="B53" s="511"/>
      <c r="C53" s="511"/>
      <c r="D53" s="511"/>
      <c r="E53" s="511"/>
      <c r="F53" s="512"/>
      <c r="G53" s="512"/>
      <c r="H53" s="513"/>
      <c r="I53" s="513"/>
      <c r="J53" s="513"/>
      <c r="K53" s="513"/>
      <c r="L53" s="513"/>
      <c r="M53" s="513"/>
      <c r="N53" s="513"/>
      <c r="O53" s="513"/>
      <c r="P53" s="513"/>
      <c r="Q53" s="513"/>
      <c r="R53" s="513"/>
      <c r="S53" s="513"/>
      <c r="T53" s="513"/>
      <c r="U53" s="513"/>
      <c r="V53" s="513"/>
      <c r="W53" s="513"/>
      <c r="X53" s="513"/>
      <c r="Y53" s="513"/>
      <c r="Z53" s="513"/>
      <c r="AA53" s="513"/>
      <c r="AB53" s="513"/>
      <c r="AC53" s="513"/>
      <c r="AD53" s="513"/>
      <c r="AE53" s="513"/>
      <c r="AF53" s="402"/>
    </row>
    <row r="54" spans="1:33" x14ac:dyDescent="0.35">
      <c r="A54" s="532" t="s">
        <v>31</v>
      </c>
      <c r="B54" s="530">
        <f>B55+B56</f>
        <v>4117.8580000000002</v>
      </c>
      <c r="C54" s="530">
        <f>C55+C56</f>
        <v>4117.8580000000002</v>
      </c>
      <c r="D54" s="530">
        <f>D55+D56</f>
        <v>4004.8825499999998</v>
      </c>
      <c r="E54" s="530">
        <f>E55+E56</f>
        <v>4004.8746899999996</v>
      </c>
      <c r="F54" s="541">
        <f>E54/B54</f>
        <v>0.97256260172157449</v>
      </c>
      <c r="G54" s="541">
        <f>E54/C54</f>
        <v>0.97256260172157449</v>
      </c>
      <c r="H54" s="531">
        <f t="shared" ref="H54:AE54" si="23">H55+H56</f>
        <v>538.10130000000004</v>
      </c>
      <c r="I54" s="531">
        <f t="shared" si="23"/>
        <v>256.75177000000002</v>
      </c>
      <c r="J54" s="531">
        <f t="shared" si="23"/>
        <v>315.94600000000003</v>
      </c>
      <c r="K54" s="531">
        <f t="shared" si="23"/>
        <v>375.87491999999997</v>
      </c>
      <c r="L54" s="531">
        <f t="shared" si="23"/>
        <v>252.583</v>
      </c>
      <c r="M54" s="531">
        <f t="shared" si="23"/>
        <v>221.87</v>
      </c>
      <c r="N54" s="531">
        <f t="shared" si="23"/>
        <v>566.68899999999996</v>
      </c>
      <c r="O54" s="531">
        <f t="shared" si="23"/>
        <v>293.39999999999998</v>
      </c>
      <c r="P54" s="531">
        <f t="shared" si="23"/>
        <v>304.92599999999999</v>
      </c>
      <c r="Q54" s="531">
        <f t="shared" si="23"/>
        <v>510.02</v>
      </c>
      <c r="R54" s="531">
        <f t="shared" si="23"/>
        <v>255.97300000000001</v>
      </c>
      <c r="S54" s="531">
        <f t="shared" si="23"/>
        <v>288.58</v>
      </c>
      <c r="T54" s="531">
        <f t="shared" si="23"/>
        <v>445.28899999999999</v>
      </c>
      <c r="U54" s="531">
        <f t="shared" si="23"/>
        <v>444.9</v>
      </c>
      <c r="V54" s="531">
        <f t="shared" si="23"/>
        <v>284.46999999999997</v>
      </c>
      <c r="W54" s="531">
        <f>W55+W56</f>
        <v>322.45799999999997</v>
      </c>
      <c r="X54" s="531">
        <f t="shared" si="23"/>
        <v>252.57300000000001</v>
      </c>
      <c r="Y54" s="531">
        <f t="shared" si="23"/>
        <v>138.72</v>
      </c>
      <c r="Z54" s="531">
        <f t="shared" si="23"/>
        <v>380.37799999999999</v>
      </c>
      <c r="AA54" s="531">
        <f t="shared" si="23"/>
        <v>250.78</v>
      </c>
      <c r="AB54" s="531">
        <f t="shared" si="23"/>
        <v>287.56560000000002</v>
      </c>
      <c r="AC54" s="531">
        <f t="shared" si="23"/>
        <v>252.27</v>
      </c>
      <c r="AD54" s="531">
        <f t="shared" si="23"/>
        <v>233.36410000000001</v>
      </c>
      <c r="AE54" s="531">
        <f t="shared" si="23"/>
        <v>649.25</v>
      </c>
      <c r="AF54" s="402"/>
      <c r="AG54" s="546">
        <f t="shared" si="21"/>
        <v>112.98331000000053</v>
      </c>
    </row>
    <row r="55" spans="1:33" x14ac:dyDescent="0.35">
      <c r="A55" s="503" t="s">
        <v>32</v>
      </c>
      <c r="B55" s="504">
        <f>B48</f>
        <v>4058.1000000000004</v>
      </c>
      <c r="C55" s="504">
        <f>C48</f>
        <v>4058.1000000000004</v>
      </c>
      <c r="D55" s="504">
        <f>D48</f>
        <v>3945.12455</v>
      </c>
      <c r="E55" s="504">
        <f>E48</f>
        <v>3945.1166899999998</v>
      </c>
      <c r="F55" s="542">
        <f>E55/B55</f>
        <v>0.9721585692811906</v>
      </c>
      <c r="G55" s="542">
        <f>E55/C55</f>
        <v>0.9721585692811906</v>
      </c>
      <c r="H55" s="506">
        <f>H48</f>
        <v>538.10130000000004</v>
      </c>
      <c r="I55" s="506">
        <f>I48</f>
        <v>256.75177000000002</v>
      </c>
      <c r="J55" s="506">
        <f>J48</f>
        <v>315.94600000000003</v>
      </c>
      <c r="K55" s="506">
        <f>K48</f>
        <v>375.87491999999997</v>
      </c>
      <c r="L55" s="506">
        <f t="shared" ref="L55:AE55" si="24">L48</f>
        <v>252.583</v>
      </c>
      <c r="M55" s="506">
        <f t="shared" si="24"/>
        <v>221.87</v>
      </c>
      <c r="N55" s="506">
        <f t="shared" si="24"/>
        <v>544.68899999999996</v>
      </c>
      <c r="O55" s="506">
        <f t="shared" si="24"/>
        <v>293.39999999999998</v>
      </c>
      <c r="P55" s="506">
        <f t="shared" si="24"/>
        <v>304.92599999999999</v>
      </c>
      <c r="Q55" s="506">
        <f t="shared" si="24"/>
        <v>488.02</v>
      </c>
      <c r="R55" s="506">
        <f t="shared" si="24"/>
        <v>255.97300000000001</v>
      </c>
      <c r="S55" s="506">
        <f t="shared" si="24"/>
        <v>288.58</v>
      </c>
      <c r="T55" s="506">
        <f t="shared" si="24"/>
        <v>445.28899999999999</v>
      </c>
      <c r="U55" s="506">
        <f t="shared" si="24"/>
        <v>444.9</v>
      </c>
      <c r="V55" s="506">
        <f t="shared" si="24"/>
        <v>246.71199999999999</v>
      </c>
      <c r="W55" s="506">
        <f t="shared" si="24"/>
        <v>284.7</v>
      </c>
      <c r="X55" s="506">
        <f t="shared" si="24"/>
        <v>252.57300000000001</v>
      </c>
      <c r="Y55" s="506">
        <f t="shared" si="24"/>
        <v>138.72</v>
      </c>
      <c r="Z55" s="506">
        <f t="shared" si="24"/>
        <v>380.37799999999999</v>
      </c>
      <c r="AA55" s="506">
        <f t="shared" si="24"/>
        <v>250.78</v>
      </c>
      <c r="AB55" s="506">
        <f t="shared" si="24"/>
        <v>287.56560000000002</v>
      </c>
      <c r="AC55" s="506">
        <f t="shared" si="24"/>
        <v>252.27</v>
      </c>
      <c r="AD55" s="506">
        <f t="shared" si="24"/>
        <v>233.36410000000001</v>
      </c>
      <c r="AE55" s="506">
        <f t="shared" si="24"/>
        <v>649.25</v>
      </c>
      <c r="AF55" s="402"/>
      <c r="AG55" s="544">
        <f t="shared" si="21"/>
        <v>112.98331000000053</v>
      </c>
    </row>
    <row r="56" spans="1:33" x14ac:dyDescent="0.35">
      <c r="A56" s="503" t="s">
        <v>33</v>
      </c>
      <c r="B56" s="504">
        <f>B52+B49</f>
        <v>59.758000000000003</v>
      </c>
      <c r="C56" s="504">
        <f t="shared" ref="C56:D56" si="25">C52+C49</f>
        <v>59.758000000000003</v>
      </c>
      <c r="D56" s="504">
        <f t="shared" si="25"/>
        <v>59.758000000000003</v>
      </c>
      <c r="E56" s="504">
        <f>E52+E49</f>
        <v>59.758000000000003</v>
      </c>
      <c r="F56" s="542">
        <f>E56/B56</f>
        <v>1</v>
      </c>
      <c r="G56" s="542">
        <f>E56/C56</f>
        <v>1</v>
      </c>
      <c r="H56" s="504">
        <f>H52+H49</f>
        <v>0</v>
      </c>
      <c r="I56" s="504">
        <f t="shared" ref="I56:AE56" si="26">I52+I49</f>
        <v>0</v>
      </c>
      <c r="J56" s="504">
        <f t="shared" si="26"/>
        <v>0</v>
      </c>
      <c r="K56" s="504">
        <f t="shared" si="26"/>
        <v>0</v>
      </c>
      <c r="L56" s="504">
        <f t="shared" si="26"/>
        <v>0</v>
      </c>
      <c r="M56" s="504">
        <f t="shared" si="26"/>
        <v>0</v>
      </c>
      <c r="N56" s="504">
        <f t="shared" si="26"/>
        <v>22</v>
      </c>
      <c r="O56" s="504">
        <f t="shared" si="26"/>
        <v>0</v>
      </c>
      <c r="P56" s="504">
        <f t="shared" si="26"/>
        <v>0</v>
      </c>
      <c r="Q56" s="504">
        <f t="shared" si="26"/>
        <v>22</v>
      </c>
      <c r="R56" s="504">
        <f t="shared" si="26"/>
        <v>0</v>
      </c>
      <c r="S56" s="504">
        <f t="shared" si="26"/>
        <v>0</v>
      </c>
      <c r="T56" s="504">
        <f t="shared" si="26"/>
        <v>0</v>
      </c>
      <c r="U56" s="504">
        <f t="shared" si="26"/>
        <v>0</v>
      </c>
      <c r="V56" s="504">
        <f t="shared" si="26"/>
        <v>37.758000000000003</v>
      </c>
      <c r="W56" s="504">
        <f t="shared" si="26"/>
        <v>37.758000000000003</v>
      </c>
      <c r="X56" s="504">
        <f t="shared" si="26"/>
        <v>0</v>
      </c>
      <c r="Y56" s="504">
        <f t="shared" si="26"/>
        <v>0</v>
      </c>
      <c r="Z56" s="504">
        <f t="shared" si="26"/>
        <v>0</v>
      </c>
      <c r="AA56" s="504">
        <f t="shared" si="26"/>
        <v>0</v>
      </c>
      <c r="AB56" s="504">
        <f t="shared" si="26"/>
        <v>0</v>
      </c>
      <c r="AC56" s="504">
        <f t="shared" si="26"/>
        <v>0</v>
      </c>
      <c r="AD56" s="504">
        <f t="shared" si="26"/>
        <v>0</v>
      </c>
      <c r="AE56" s="504">
        <f t="shared" si="26"/>
        <v>0</v>
      </c>
      <c r="AF56" s="402"/>
      <c r="AG56" s="544">
        <f t="shared" si="21"/>
        <v>0</v>
      </c>
    </row>
    <row r="57" spans="1:33" ht="38.25" x14ac:dyDescent="0.35">
      <c r="A57" s="503" t="s">
        <v>73</v>
      </c>
      <c r="B57" s="504"/>
      <c r="C57" s="504"/>
      <c r="D57" s="504"/>
      <c r="E57" s="504"/>
      <c r="F57" s="504"/>
      <c r="G57" s="504"/>
      <c r="H57" s="506"/>
      <c r="I57" s="506"/>
      <c r="J57" s="506"/>
      <c r="K57" s="506"/>
      <c r="L57" s="506"/>
      <c r="M57" s="506"/>
      <c r="N57" s="506"/>
      <c r="O57" s="506"/>
      <c r="P57" s="506"/>
      <c r="Q57" s="506"/>
      <c r="R57" s="506"/>
      <c r="S57" s="506"/>
      <c r="T57" s="506"/>
      <c r="U57" s="506"/>
      <c r="V57" s="506"/>
      <c r="W57" s="506"/>
      <c r="X57" s="506"/>
      <c r="Y57" s="506"/>
      <c r="Z57" s="506"/>
      <c r="AA57" s="506"/>
      <c r="AB57" s="506"/>
      <c r="AC57" s="506"/>
      <c r="AD57" s="506"/>
      <c r="AE57" s="506"/>
      <c r="AF57" s="402"/>
    </row>
    <row r="58" spans="1:33" x14ac:dyDescent="0.35">
      <c r="A58" s="532" t="s">
        <v>31</v>
      </c>
      <c r="B58" s="530">
        <f>B59+B60</f>
        <v>4117.8580000000002</v>
      </c>
      <c r="C58" s="530">
        <f>C59+C60</f>
        <v>4117.8580000000002</v>
      </c>
      <c r="D58" s="530">
        <f>D59+D60</f>
        <v>4004.8825499999998</v>
      </c>
      <c r="E58" s="530">
        <f>E59+E60</f>
        <v>4004.8746899999996</v>
      </c>
      <c r="F58" s="541">
        <f>E58/B58</f>
        <v>0.97256260172157449</v>
      </c>
      <c r="G58" s="541">
        <f>E58/C58</f>
        <v>0.97256260172157449</v>
      </c>
      <c r="H58" s="531">
        <f>H59+H60</f>
        <v>538.10130000000004</v>
      </c>
      <c r="I58" s="531">
        <f t="shared" ref="I58:AE58" si="27">I59+I60</f>
        <v>256.75177000000002</v>
      </c>
      <c r="J58" s="531">
        <f t="shared" si="27"/>
        <v>315.94600000000003</v>
      </c>
      <c r="K58" s="531">
        <f t="shared" si="27"/>
        <v>375.87491999999997</v>
      </c>
      <c r="L58" s="531">
        <f t="shared" si="27"/>
        <v>252.583</v>
      </c>
      <c r="M58" s="531">
        <f t="shared" si="27"/>
        <v>221.87</v>
      </c>
      <c r="N58" s="531">
        <f t="shared" si="27"/>
        <v>566.68899999999996</v>
      </c>
      <c r="O58" s="531">
        <f t="shared" si="27"/>
        <v>293.39999999999998</v>
      </c>
      <c r="P58" s="531">
        <f t="shared" si="27"/>
        <v>304.92599999999999</v>
      </c>
      <c r="Q58" s="531">
        <f t="shared" si="27"/>
        <v>510.02</v>
      </c>
      <c r="R58" s="531">
        <f t="shared" si="27"/>
        <v>255.97300000000001</v>
      </c>
      <c r="S58" s="531">
        <f t="shared" si="27"/>
        <v>288.58</v>
      </c>
      <c r="T58" s="531">
        <f t="shared" si="27"/>
        <v>445.28899999999999</v>
      </c>
      <c r="U58" s="531">
        <f t="shared" si="27"/>
        <v>444.9</v>
      </c>
      <c r="V58" s="531">
        <f t="shared" si="27"/>
        <v>284.46999999999997</v>
      </c>
      <c r="W58" s="531">
        <f t="shared" si="27"/>
        <v>322.45799999999997</v>
      </c>
      <c r="X58" s="531">
        <f t="shared" si="27"/>
        <v>252.57300000000001</v>
      </c>
      <c r="Y58" s="531">
        <f t="shared" si="27"/>
        <v>138.72</v>
      </c>
      <c r="Z58" s="531">
        <f t="shared" si="27"/>
        <v>380.37799999999999</v>
      </c>
      <c r="AA58" s="531">
        <f t="shared" si="27"/>
        <v>250.78</v>
      </c>
      <c r="AB58" s="531">
        <f t="shared" si="27"/>
        <v>287.56560000000002</v>
      </c>
      <c r="AC58" s="531">
        <f t="shared" si="27"/>
        <v>252.27</v>
      </c>
      <c r="AD58" s="531">
        <f t="shared" si="27"/>
        <v>233.36410000000001</v>
      </c>
      <c r="AE58" s="531">
        <f t="shared" si="27"/>
        <v>649.25</v>
      </c>
      <c r="AF58" s="402"/>
    </row>
    <row r="59" spans="1:33" x14ac:dyDescent="0.35">
      <c r="A59" s="503" t="s">
        <v>32</v>
      </c>
      <c r="B59" s="504">
        <f t="shared" ref="B59:E60" si="28">B55</f>
        <v>4058.1000000000004</v>
      </c>
      <c r="C59" s="504">
        <f t="shared" si="28"/>
        <v>4058.1000000000004</v>
      </c>
      <c r="D59" s="504">
        <f t="shared" si="28"/>
        <v>3945.12455</v>
      </c>
      <c r="E59" s="504">
        <f t="shared" si="28"/>
        <v>3945.1166899999998</v>
      </c>
      <c r="F59" s="542">
        <f>E59/B59</f>
        <v>0.9721585692811906</v>
      </c>
      <c r="G59" s="542">
        <f>E59/C59</f>
        <v>0.9721585692811906</v>
      </c>
      <c r="H59" s="506">
        <f>H55</f>
        <v>538.10130000000004</v>
      </c>
      <c r="I59" s="506">
        <f t="shared" ref="I59:AE59" si="29">I55</f>
        <v>256.75177000000002</v>
      </c>
      <c r="J59" s="506">
        <f t="shared" si="29"/>
        <v>315.94600000000003</v>
      </c>
      <c r="K59" s="506">
        <f t="shared" si="29"/>
        <v>375.87491999999997</v>
      </c>
      <c r="L59" s="506">
        <f t="shared" si="29"/>
        <v>252.583</v>
      </c>
      <c r="M59" s="506">
        <f t="shared" si="29"/>
        <v>221.87</v>
      </c>
      <c r="N59" s="506">
        <f t="shared" si="29"/>
        <v>544.68899999999996</v>
      </c>
      <c r="O59" s="506">
        <f t="shared" si="29"/>
        <v>293.39999999999998</v>
      </c>
      <c r="P59" s="506">
        <f t="shared" si="29"/>
        <v>304.92599999999999</v>
      </c>
      <c r="Q59" s="506">
        <f t="shared" si="29"/>
        <v>488.02</v>
      </c>
      <c r="R59" s="506">
        <f t="shared" si="29"/>
        <v>255.97300000000001</v>
      </c>
      <c r="S59" s="506">
        <f t="shared" si="29"/>
        <v>288.58</v>
      </c>
      <c r="T59" s="506">
        <f t="shared" si="29"/>
        <v>445.28899999999999</v>
      </c>
      <c r="U59" s="506">
        <f t="shared" si="29"/>
        <v>444.9</v>
      </c>
      <c r="V59" s="506">
        <f t="shared" si="29"/>
        <v>246.71199999999999</v>
      </c>
      <c r="W59" s="506">
        <f t="shared" si="29"/>
        <v>284.7</v>
      </c>
      <c r="X59" s="506">
        <f t="shared" si="29"/>
        <v>252.57300000000001</v>
      </c>
      <c r="Y59" s="506">
        <f t="shared" si="29"/>
        <v>138.72</v>
      </c>
      <c r="Z59" s="506">
        <f t="shared" si="29"/>
        <v>380.37799999999999</v>
      </c>
      <c r="AA59" s="506">
        <f t="shared" si="29"/>
        <v>250.78</v>
      </c>
      <c r="AB59" s="506">
        <f t="shared" si="29"/>
        <v>287.56560000000002</v>
      </c>
      <c r="AC59" s="506">
        <f t="shared" si="29"/>
        <v>252.27</v>
      </c>
      <c r="AD59" s="506">
        <f t="shared" si="29"/>
        <v>233.36410000000001</v>
      </c>
      <c r="AE59" s="506">
        <f t="shared" si="29"/>
        <v>649.25</v>
      </c>
      <c r="AF59" s="402"/>
    </row>
    <row r="60" spans="1:33" x14ac:dyDescent="0.35">
      <c r="A60" s="503" t="s">
        <v>33</v>
      </c>
      <c r="B60" s="504">
        <f t="shared" si="28"/>
        <v>59.758000000000003</v>
      </c>
      <c r="C60" s="504">
        <f t="shared" si="28"/>
        <v>59.758000000000003</v>
      </c>
      <c r="D60" s="504">
        <f t="shared" si="28"/>
        <v>59.758000000000003</v>
      </c>
      <c r="E60" s="504">
        <f t="shared" si="28"/>
        <v>59.758000000000003</v>
      </c>
      <c r="F60" s="542">
        <f>E60/B60</f>
        <v>1</v>
      </c>
      <c r="G60" s="542">
        <f>E60/C60</f>
        <v>1</v>
      </c>
      <c r="H60" s="506">
        <f>H56</f>
        <v>0</v>
      </c>
      <c r="I60" s="506">
        <f t="shared" ref="I60:AE60" si="30">I56</f>
        <v>0</v>
      </c>
      <c r="J60" s="506">
        <f t="shared" si="30"/>
        <v>0</v>
      </c>
      <c r="K60" s="506">
        <f t="shared" si="30"/>
        <v>0</v>
      </c>
      <c r="L60" s="506">
        <f t="shared" si="30"/>
        <v>0</v>
      </c>
      <c r="M60" s="506">
        <f t="shared" si="30"/>
        <v>0</v>
      </c>
      <c r="N60" s="506">
        <f t="shared" si="30"/>
        <v>22</v>
      </c>
      <c r="O60" s="506">
        <f t="shared" si="30"/>
        <v>0</v>
      </c>
      <c r="P60" s="506">
        <f t="shared" si="30"/>
        <v>0</v>
      </c>
      <c r="Q60" s="506">
        <f t="shared" si="30"/>
        <v>22</v>
      </c>
      <c r="R60" s="506">
        <f t="shared" si="30"/>
        <v>0</v>
      </c>
      <c r="S60" s="506">
        <f t="shared" si="30"/>
        <v>0</v>
      </c>
      <c r="T60" s="506">
        <f t="shared" si="30"/>
        <v>0</v>
      </c>
      <c r="U60" s="506">
        <f t="shared" si="30"/>
        <v>0</v>
      </c>
      <c r="V60" s="506">
        <f t="shared" si="30"/>
        <v>37.758000000000003</v>
      </c>
      <c r="W60" s="506">
        <f t="shared" si="30"/>
        <v>37.758000000000003</v>
      </c>
      <c r="X60" s="506">
        <f t="shared" si="30"/>
        <v>0</v>
      </c>
      <c r="Y60" s="506">
        <f t="shared" si="30"/>
        <v>0</v>
      </c>
      <c r="Z60" s="506">
        <f t="shared" si="30"/>
        <v>0</v>
      </c>
      <c r="AA60" s="506">
        <f t="shared" si="30"/>
        <v>0</v>
      </c>
      <c r="AB60" s="506">
        <f t="shared" si="30"/>
        <v>0</v>
      </c>
      <c r="AC60" s="506">
        <f t="shared" si="30"/>
        <v>0</v>
      </c>
      <c r="AD60" s="506">
        <f t="shared" si="30"/>
        <v>0</v>
      </c>
      <c r="AE60" s="506">
        <f t="shared" si="30"/>
        <v>0</v>
      </c>
      <c r="AF60" s="402"/>
    </row>
    <row r="61" spans="1:33" x14ac:dyDescent="0.35">
      <c r="A61" s="387" t="s">
        <v>66</v>
      </c>
      <c r="B61" s="511"/>
      <c r="C61" s="512"/>
      <c r="D61" s="512"/>
      <c r="E61" s="512"/>
      <c r="F61" s="512"/>
      <c r="G61" s="512"/>
      <c r="H61" s="514"/>
      <c r="I61" s="514"/>
      <c r="J61" s="514"/>
      <c r="K61" s="514"/>
      <c r="L61" s="514"/>
      <c r="M61" s="514"/>
      <c r="N61" s="514"/>
      <c r="O61" s="514"/>
      <c r="P61" s="514"/>
      <c r="Q61" s="514"/>
      <c r="R61" s="514"/>
      <c r="S61" s="514"/>
      <c r="T61" s="514"/>
      <c r="U61" s="514"/>
      <c r="V61" s="514"/>
      <c r="W61" s="514"/>
      <c r="X61" s="514"/>
      <c r="Y61" s="514"/>
      <c r="Z61" s="514"/>
      <c r="AA61" s="514"/>
      <c r="AB61" s="514"/>
      <c r="AC61" s="514"/>
      <c r="AD61" s="514"/>
      <c r="AE61" s="514"/>
      <c r="AF61" s="402"/>
    </row>
    <row r="62" spans="1:33" x14ac:dyDescent="0.35">
      <c r="A62" s="532" t="s">
        <v>31</v>
      </c>
      <c r="B62" s="530">
        <f>B63+B64</f>
        <v>31509.610800000006</v>
      </c>
      <c r="C62" s="530">
        <f>C63+C64</f>
        <v>31509.610800000006</v>
      </c>
      <c r="D62" s="530">
        <f>D63+D64</f>
        <v>31311.780520000004</v>
      </c>
      <c r="E62" s="530">
        <f>E63+E64</f>
        <v>31253.795819999996</v>
      </c>
      <c r="F62" s="541">
        <f>E62/B62</f>
        <v>0.99188136655753267</v>
      </c>
      <c r="G62" s="541">
        <f>E62/C62</f>
        <v>0.99188136655753267</v>
      </c>
      <c r="H62" s="531">
        <f>H63+H64</f>
        <v>584.71630000000005</v>
      </c>
      <c r="I62" s="531">
        <f t="shared" ref="I62:AE62" si="31">I63+I64</f>
        <v>269.75177000000002</v>
      </c>
      <c r="J62" s="531">
        <f t="shared" si="31"/>
        <v>1521.7509</v>
      </c>
      <c r="K62" s="531">
        <f t="shared" si="31"/>
        <v>1190.29105</v>
      </c>
      <c r="L62" s="531">
        <f t="shared" si="31"/>
        <v>992.32230000000004</v>
      </c>
      <c r="M62" s="531">
        <f t="shared" si="31"/>
        <v>964.05500000000006</v>
      </c>
      <c r="N62" s="531">
        <f t="shared" si="31"/>
        <v>1661.2016000000001</v>
      </c>
      <c r="O62" s="531">
        <f t="shared" si="31"/>
        <v>1067.71</v>
      </c>
      <c r="P62" s="531">
        <f t="shared" si="31"/>
        <v>1063.4003000000002</v>
      </c>
      <c r="Q62" s="531">
        <f t="shared" si="31"/>
        <v>1374.45</v>
      </c>
      <c r="R62" s="531">
        <f t="shared" si="31"/>
        <v>10841.324700000001</v>
      </c>
      <c r="S62" s="531">
        <f t="shared" si="31"/>
        <v>8633.77</v>
      </c>
      <c r="T62" s="531">
        <f t="shared" si="31"/>
        <v>7825.2869000000001</v>
      </c>
      <c r="U62" s="531">
        <f t="shared" si="31"/>
        <v>6620.6399999999994</v>
      </c>
      <c r="V62" s="531">
        <f t="shared" si="31"/>
        <v>3876.0942</v>
      </c>
      <c r="W62" s="531">
        <f t="shared" si="31"/>
        <v>7585.7280000000001</v>
      </c>
      <c r="X62" s="531">
        <f t="shared" si="31"/>
        <v>884.09730000000013</v>
      </c>
      <c r="Y62" s="531">
        <f t="shared" si="31"/>
        <v>734.05</v>
      </c>
      <c r="Z62" s="531">
        <f t="shared" si="31"/>
        <v>1027.5823</v>
      </c>
      <c r="AA62" s="531">
        <f t="shared" si="31"/>
        <v>920.71</v>
      </c>
      <c r="AB62" s="531">
        <f t="shared" si="31"/>
        <v>877.46990000000005</v>
      </c>
      <c r="AC62" s="531">
        <f t="shared" si="31"/>
        <v>1012.86</v>
      </c>
      <c r="AD62" s="531">
        <f t="shared" si="31"/>
        <v>354.36410000000001</v>
      </c>
      <c r="AE62" s="531">
        <f t="shared" si="31"/>
        <v>879.78000000000009</v>
      </c>
      <c r="AF62" s="402"/>
      <c r="AG62" s="546">
        <f>C62-E62</f>
        <v>255.81498000001011</v>
      </c>
    </row>
    <row r="63" spans="1:33" x14ac:dyDescent="0.35">
      <c r="A63" s="524" t="s">
        <v>32</v>
      </c>
      <c r="B63" s="504">
        <f t="shared" ref="B63:E64" si="32">B37+B55</f>
        <v>12663.7</v>
      </c>
      <c r="C63" s="504">
        <f t="shared" si="32"/>
        <v>12663.7</v>
      </c>
      <c r="D63" s="504">
        <f t="shared" si="32"/>
        <v>12512.699720000001</v>
      </c>
      <c r="E63" s="504">
        <f t="shared" si="32"/>
        <v>12512.699819999998</v>
      </c>
      <c r="F63" s="542">
        <f>E63/B63</f>
        <v>0.988076140464477</v>
      </c>
      <c r="G63" s="542">
        <f>E63/C63</f>
        <v>0.988076140464477</v>
      </c>
      <c r="H63" s="506">
        <f>H37+H55</f>
        <v>553.10130000000004</v>
      </c>
      <c r="I63" s="506">
        <f t="shared" ref="I63:AE63" si="33">I37+I55</f>
        <v>256.75177000000002</v>
      </c>
      <c r="J63" s="506">
        <f t="shared" si="33"/>
        <v>592.346</v>
      </c>
      <c r="K63" s="506">
        <f t="shared" si="33"/>
        <v>646.42804999999998</v>
      </c>
      <c r="L63" s="506">
        <f t="shared" si="33"/>
        <v>517.68299999999999</v>
      </c>
      <c r="M63" s="506">
        <f t="shared" si="33"/>
        <v>481.2</v>
      </c>
      <c r="N63" s="506">
        <f t="shared" si="33"/>
        <v>809.78899999999999</v>
      </c>
      <c r="O63" s="506">
        <f t="shared" si="33"/>
        <v>561.34999999999991</v>
      </c>
      <c r="P63" s="506">
        <f t="shared" si="33"/>
        <v>570.02600000000007</v>
      </c>
      <c r="Q63" s="506">
        <f t="shared" si="33"/>
        <v>741.95</v>
      </c>
      <c r="R63" s="506">
        <f t="shared" si="33"/>
        <v>2771.0729999999999</v>
      </c>
      <c r="S63" s="506">
        <f t="shared" si="33"/>
        <v>2786.27</v>
      </c>
      <c r="T63" s="506">
        <f t="shared" si="33"/>
        <v>2560.3890000000001</v>
      </c>
      <c r="U63" s="506">
        <f t="shared" si="33"/>
        <v>2557.73</v>
      </c>
      <c r="V63" s="506">
        <f t="shared" si="33"/>
        <v>2303.712</v>
      </c>
      <c r="W63" s="506">
        <f t="shared" si="33"/>
        <v>2334.6999999999998</v>
      </c>
      <c r="X63" s="506">
        <f t="shared" si="33"/>
        <v>476.27300000000002</v>
      </c>
      <c r="Y63" s="506">
        <f t="shared" si="33"/>
        <v>338.72</v>
      </c>
      <c r="Z63" s="506">
        <f t="shared" si="33"/>
        <v>601.97799999999995</v>
      </c>
      <c r="AA63" s="506">
        <f t="shared" si="33"/>
        <v>470.3</v>
      </c>
      <c r="AB63" s="506">
        <f t="shared" si="33"/>
        <v>552.96559999999999</v>
      </c>
      <c r="AC63" s="506">
        <f t="shared" si="33"/>
        <v>535.62</v>
      </c>
      <c r="AD63" s="506">
        <f t="shared" si="33"/>
        <v>354.36410000000001</v>
      </c>
      <c r="AE63" s="531">
        <f t="shared" si="33"/>
        <v>801.68000000000006</v>
      </c>
      <c r="AF63" s="402"/>
      <c r="AG63" s="544">
        <f>C63-E63</f>
        <v>151.00018000000273</v>
      </c>
    </row>
    <row r="64" spans="1:33" x14ac:dyDescent="0.35">
      <c r="A64" s="524" t="s">
        <v>33</v>
      </c>
      <c r="B64" s="504">
        <f t="shared" si="32"/>
        <v>18845.910800000005</v>
      </c>
      <c r="C64" s="504">
        <f t="shared" si="32"/>
        <v>18845.910800000005</v>
      </c>
      <c r="D64" s="504">
        <f t="shared" si="32"/>
        <v>18799.080800000003</v>
      </c>
      <c r="E64" s="504">
        <f t="shared" si="32"/>
        <v>18741.095999999998</v>
      </c>
      <c r="F64" s="542">
        <f>E64/B64</f>
        <v>0.9944383266421909</v>
      </c>
      <c r="G64" s="542">
        <f>E64/C64</f>
        <v>0.9944383266421909</v>
      </c>
      <c r="H64" s="506">
        <f>H38+H56</f>
        <v>31.614999999999998</v>
      </c>
      <c r="I64" s="506">
        <f>I38+I56</f>
        <v>13</v>
      </c>
      <c r="J64" s="506">
        <f t="shared" ref="J64:AE64" si="34">J38+J56</f>
        <v>929.4049</v>
      </c>
      <c r="K64" s="506">
        <f t="shared" si="34"/>
        <v>543.86300000000006</v>
      </c>
      <c r="L64" s="506">
        <f t="shared" si="34"/>
        <v>474.63930000000005</v>
      </c>
      <c r="M64" s="506">
        <f t="shared" si="34"/>
        <v>482.85500000000002</v>
      </c>
      <c r="N64" s="506">
        <f t="shared" si="34"/>
        <v>851.41260000000011</v>
      </c>
      <c r="O64" s="506">
        <f t="shared" si="34"/>
        <v>506.36</v>
      </c>
      <c r="P64" s="506">
        <f t="shared" si="34"/>
        <v>493.37430000000006</v>
      </c>
      <c r="Q64" s="506">
        <f t="shared" si="34"/>
        <v>632.5</v>
      </c>
      <c r="R64" s="506">
        <f t="shared" si="34"/>
        <v>8070.2517000000007</v>
      </c>
      <c r="S64" s="506">
        <f t="shared" si="34"/>
        <v>5847.5</v>
      </c>
      <c r="T64" s="506">
        <f t="shared" si="34"/>
        <v>5264.8978999999999</v>
      </c>
      <c r="U64" s="506">
        <f t="shared" si="34"/>
        <v>4062.91</v>
      </c>
      <c r="V64" s="506">
        <f t="shared" si="34"/>
        <v>1572.3822</v>
      </c>
      <c r="W64" s="506">
        <f t="shared" si="34"/>
        <v>5251.0280000000002</v>
      </c>
      <c r="X64" s="506">
        <f t="shared" si="34"/>
        <v>407.82430000000005</v>
      </c>
      <c r="Y64" s="506">
        <f t="shared" si="34"/>
        <v>395.33</v>
      </c>
      <c r="Z64" s="506">
        <f t="shared" si="34"/>
        <v>425.60429999999997</v>
      </c>
      <c r="AA64" s="506">
        <f t="shared" si="34"/>
        <v>450.40999999999997</v>
      </c>
      <c r="AB64" s="506">
        <f t="shared" si="34"/>
        <v>324.5043</v>
      </c>
      <c r="AC64" s="506">
        <f t="shared" si="34"/>
        <v>477.24</v>
      </c>
      <c r="AD64" s="506">
        <f t="shared" si="34"/>
        <v>0</v>
      </c>
      <c r="AE64" s="531">
        <f t="shared" si="34"/>
        <v>78.099999999999994</v>
      </c>
      <c r="AF64" s="402"/>
      <c r="AG64" s="544">
        <f>C64-E64</f>
        <v>104.81480000000738</v>
      </c>
    </row>
    <row r="65" spans="1:33" s="389" customFormat="1" ht="37.5" x14ac:dyDescent="0.3">
      <c r="A65" s="524" t="s">
        <v>67</v>
      </c>
      <c r="B65" s="527"/>
      <c r="C65" s="527"/>
      <c r="D65" s="527"/>
      <c r="E65" s="527"/>
      <c r="F65" s="504"/>
      <c r="G65" s="504"/>
      <c r="H65" s="528"/>
      <c r="I65" s="528"/>
      <c r="J65" s="528"/>
      <c r="K65" s="528"/>
      <c r="L65" s="528"/>
      <c r="M65" s="528"/>
      <c r="N65" s="528"/>
      <c r="O65" s="528"/>
      <c r="P65" s="528"/>
      <c r="Q65" s="528"/>
      <c r="R65" s="528"/>
      <c r="S65" s="528"/>
      <c r="T65" s="528"/>
      <c r="U65" s="528"/>
      <c r="V65" s="528"/>
      <c r="W65" s="528"/>
      <c r="X65" s="528"/>
      <c r="Y65" s="528"/>
      <c r="Z65" s="528"/>
      <c r="AA65" s="528"/>
      <c r="AB65" s="528"/>
      <c r="AC65" s="528"/>
      <c r="AD65" s="528"/>
      <c r="AE65" s="528"/>
      <c r="AF65" s="400"/>
      <c r="AG65" s="545"/>
    </row>
    <row r="66" spans="1:33" s="389" customFormat="1" ht="20.25" x14ac:dyDescent="0.3">
      <c r="A66" s="532" t="s">
        <v>31</v>
      </c>
      <c r="B66" s="538">
        <f>B67+B68</f>
        <v>31509.610800000006</v>
      </c>
      <c r="C66" s="538">
        <f>C67+C68</f>
        <v>31509.610800000006</v>
      </c>
      <c r="D66" s="538">
        <f>D67+D68</f>
        <v>31311.780520000004</v>
      </c>
      <c r="E66" s="538">
        <f>E67+E68</f>
        <v>31253.795819999996</v>
      </c>
      <c r="F66" s="541">
        <f>E66/B66</f>
        <v>0.99188136655753267</v>
      </c>
      <c r="G66" s="541">
        <f>E66/C66</f>
        <v>0.99188136655753267</v>
      </c>
      <c r="H66" s="539">
        <f>H67+H68</f>
        <v>584.71630000000005</v>
      </c>
      <c r="I66" s="539">
        <f t="shared" ref="I66:AE66" si="35">I67+I68</f>
        <v>269.75177000000002</v>
      </c>
      <c r="J66" s="539">
        <f t="shared" si="35"/>
        <v>1521.7509</v>
      </c>
      <c r="K66" s="539">
        <f t="shared" si="35"/>
        <v>1190.29105</v>
      </c>
      <c r="L66" s="539">
        <f t="shared" si="35"/>
        <v>992.32230000000004</v>
      </c>
      <c r="M66" s="539">
        <f t="shared" si="35"/>
        <v>964.05500000000006</v>
      </c>
      <c r="N66" s="539">
        <f t="shared" si="35"/>
        <v>1661.2016000000001</v>
      </c>
      <c r="O66" s="539">
        <f t="shared" si="35"/>
        <v>1067.71</v>
      </c>
      <c r="P66" s="539">
        <f t="shared" si="35"/>
        <v>1063.4003000000002</v>
      </c>
      <c r="Q66" s="539">
        <f t="shared" si="35"/>
        <v>1374.45</v>
      </c>
      <c r="R66" s="539">
        <f t="shared" si="35"/>
        <v>10841.324700000001</v>
      </c>
      <c r="S66" s="539">
        <f t="shared" si="35"/>
        <v>8633.77</v>
      </c>
      <c r="T66" s="539">
        <f t="shared" si="35"/>
        <v>7825.2869000000001</v>
      </c>
      <c r="U66" s="539">
        <f t="shared" si="35"/>
        <v>6620.6399999999994</v>
      </c>
      <c r="V66" s="539">
        <f t="shared" si="35"/>
        <v>3876.0942</v>
      </c>
      <c r="W66" s="539">
        <f t="shared" si="35"/>
        <v>7585.7280000000001</v>
      </c>
      <c r="X66" s="539">
        <f t="shared" si="35"/>
        <v>884.09730000000013</v>
      </c>
      <c r="Y66" s="539">
        <f t="shared" si="35"/>
        <v>734.05</v>
      </c>
      <c r="Z66" s="539">
        <f t="shared" si="35"/>
        <v>1027.5823</v>
      </c>
      <c r="AA66" s="539">
        <f t="shared" si="35"/>
        <v>920.71</v>
      </c>
      <c r="AB66" s="539">
        <f t="shared" si="35"/>
        <v>877.46990000000005</v>
      </c>
      <c r="AC66" s="539">
        <f t="shared" si="35"/>
        <v>1012.86</v>
      </c>
      <c r="AD66" s="539">
        <f t="shared" si="35"/>
        <v>354.36410000000001</v>
      </c>
      <c r="AE66" s="539">
        <f t="shared" si="35"/>
        <v>879.78000000000009</v>
      </c>
      <c r="AF66" s="400"/>
      <c r="AG66" s="545"/>
    </row>
    <row r="67" spans="1:33" s="389" customFormat="1" ht="20.25" x14ac:dyDescent="0.3">
      <c r="A67" s="503" t="s">
        <v>32</v>
      </c>
      <c r="B67" s="525">
        <f t="shared" ref="B67:E68" si="36">B63</f>
        <v>12663.7</v>
      </c>
      <c r="C67" s="525">
        <f t="shared" si="36"/>
        <v>12663.7</v>
      </c>
      <c r="D67" s="525">
        <f t="shared" si="36"/>
        <v>12512.699720000001</v>
      </c>
      <c r="E67" s="525">
        <f t="shared" si="36"/>
        <v>12512.699819999998</v>
      </c>
      <c r="F67" s="542">
        <f>E67/B67</f>
        <v>0.988076140464477</v>
      </c>
      <c r="G67" s="542">
        <f>E67/C67</f>
        <v>0.988076140464477</v>
      </c>
      <c r="H67" s="526">
        <f>H63</f>
        <v>553.10130000000004</v>
      </c>
      <c r="I67" s="526">
        <f t="shared" ref="I67:AE67" si="37">I63</f>
        <v>256.75177000000002</v>
      </c>
      <c r="J67" s="526">
        <f t="shared" si="37"/>
        <v>592.346</v>
      </c>
      <c r="K67" s="526">
        <f t="shared" si="37"/>
        <v>646.42804999999998</v>
      </c>
      <c r="L67" s="526">
        <f t="shared" si="37"/>
        <v>517.68299999999999</v>
      </c>
      <c r="M67" s="526">
        <f t="shared" si="37"/>
        <v>481.2</v>
      </c>
      <c r="N67" s="526">
        <f t="shared" si="37"/>
        <v>809.78899999999999</v>
      </c>
      <c r="O67" s="526">
        <f t="shared" si="37"/>
        <v>561.34999999999991</v>
      </c>
      <c r="P67" s="526">
        <f t="shared" si="37"/>
        <v>570.02600000000007</v>
      </c>
      <c r="Q67" s="526">
        <f t="shared" si="37"/>
        <v>741.95</v>
      </c>
      <c r="R67" s="526">
        <f t="shared" si="37"/>
        <v>2771.0729999999999</v>
      </c>
      <c r="S67" s="526">
        <f t="shared" si="37"/>
        <v>2786.27</v>
      </c>
      <c r="T67" s="526">
        <f t="shared" si="37"/>
        <v>2560.3890000000001</v>
      </c>
      <c r="U67" s="526">
        <f t="shared" si="37"/>
        <v>2557.73</v>
      </c>
      <c r="V67" s="526">
        <f t="shared" si="37"/>
        <v>2303.712</v>
      </c>
      <c r="W67" s="526">
        <f t="shared" si="37"/>
        <v>2334.6999999999998</v>
      </c>
      <c r="X67" s="526">
        <f t="shared" si="37"/>
        <v>476.27300000000002</v>
      </c>
      <c r="Y67" s="526">
        <f t="shared" si="37"/>
        <v>338.72</v>
      </c>
      <c r="Z67" s="526">
        <f t="shared" si="37"/>
        <v>601.97799999999995</v>
      </c>
      <c r="AA67" s="526">
        <f t="shared" si="37"/>
        <v>470.3</v>
      </c>
      <c r="AB67" s="526">
        <f t="shared" si="37"/>
        <v>552.96559999999999</v>
      </c>
      <c r="AC67" s="526">
        <f t="shared" si="37"/>
        <v>535.62</v>
      </c>
      <c r="AD67" s="526">
        <f t="shared" si="37"/>
        <v>354.36410000000001</v>
      </c>
      <c r="AE67" s="526">
        <f t="shared" si="37"/>
        <v>801.68000000000006</v>
      </c>
      <c r="AF67" s="400"/>
      <c r="AG67" s="545"/>
    </row>
    <row r="68" spans="1:33" s="389" customFormat="1" ht="20.25" x14ac:dyDescent="0.3">
      <c r="A68" s="503" t="s">
        <v>33</v>
      </c>
      <c r="B68" s="525">
        <f t="shared" si="36"/>
        <v>18845.910800000005</v>
      </c>
      <c r="C68" s="525">
        <f t="shared" si="36"/>
        <v>18845.910800000005</v>
      </c>
      <c r="D68" s="525">
        <f t="shared" si="36"/>
        <v>18799.080800000003</v>
      </c>
      <c r="E68" s="525">
        <f t="shared" si="36"/>
        <v>18741.095999999998</v>
      </c>
      <c r="F68" s="542">
        <f>E68/B68</f>
        <v>0.9944383266421909</v>
      </c>
      <c r="G68" s="542">
        <f>E68/C68</f>
        <v>0.9944383266421909</v>
      </c>
      <c r="H68" s="526">
        <f>H64</f>
        <v>31.614999999999998</v>
      </c>
      <c r="I68" s="526">
        <f t="shared" ref="I68:AE68" si="38">I64</f>
        <v>13</v>
      </c>
      <c r="J68" s="526">
        <f t="shared" si="38"/>
        <v>929.4049</v>
      </c>
      <c r="K68" s="526">
        <f t="shared" si="38"/>
        <v>543.86300000000006</v>
      </c>
      <c r="L68" s="526">
        <f t="shared" si="38"/>
        <v>474.63930000000005</v>
      </c>
      <c r="M68" s="526">
        <f t="shared" si="38"/>
        <v>482.85500000000002</v>
      </c>
      <c r="N68" s="526">
        <f t="shared" si="38"/>
        <v>851.41260000000011</v>
      </c>
      <c r="O68" s="526">
        <f t="shared" si="38"/>
        <v>506.36</v>
      </c>
      <c r="P68" s="526">
        <f t="shared" si="38"/>
        <v>493.37430000000006</v>
      </c>
      <c r="Q68" s="526">
        <f t="shared" si="38"/>
        <v>632.5</v>
      </c>
      <c r="R68" s="526">
        <f t="shared" si="38"/>
        <v>8070.2517000000007</v>
      </c>
      <c r="S68" s="526">
        <f t="shared" si="38"/>
        <v>5847.5</v>
      </c>
      <c r="T68" s="526">
        <f t="shared" si="38"/>
        <v>5264.8978999999999</v>
      </c>
      <c r="U68" s="526">
        <f t="shared" si="38"/>
        <v>4062.91</v>
      </c>
      <c r="V68" s="526">
        <f t="shared" si="38"/>
        <v>1572.3822</v>
      </c>
      <c r="W68" s="526">
        <f t="shared" si="38"/>
        <v>5251.0280000000002</v>
      </c>
      <c r="X68" s="526">
        <f t="shared" si="38"/>
        <v>407.82430000000005</v>
      </c>
      <c r="Y68" s="526">
        <f t="shared" si="38"/>
        <v>395.33</v>
      </c>
      <c r="Z68" s="526">
        <f t="shared" si="38"/>
        <v>425.60429999999997</v>
      </c>
      <c r="AA68" s="526">
        <f t="shared" si="38"/>
        <v>450.40999999999997</v>
      </c>
      <c r="AB68" s="526">
        <f t="shared" si="38"/>
        <v>324.5043</v>
      </c>
      <c r="AC68" s="526">
        <f t="shared" si="38"/>
        <v>477.24</v>
      </c>
      <c r="AD68" s="526">
        <f t="shared" si="38"/>
        <v>0</v>
      </c>
      <c r="AE68" s="526">
        <f t="shared" si="38"/>
        <v>78.099999999999994</v>
      </c>
      <c r="AF68" s="400"/>
      <c r="AG68" s="545"/>
    </row>
    <row r="69" spans="1:33" s="389" customFormat="1" ht="20.25" x14ac:dyDescent="0.3">
      <c r="F69" s="390"/>
      <c r="G69" s="390"/>
      <c r="P69" s="540"/>
      <c r="Q69" s="540"/>
      <c r="R69" s="540"/>
      <c r="S69" s="540"/>
      <c r="T69" s="540"/>
      <c r="U69" s="540"/>
      <c r="V69" s="540"/>
      <c r="AG69" s="545"/>
    </row>
    <row r="70" spans="1:33" hidden="1" x14ac:dyDescent="0.35"/>
    <row r="71" spans="1:33" hidden="1" x14ac:dyDescent="0.35"/>
    <row r="72" spans="1:33" hidden="1" x14ac:dyDescent="0.35"/>
    <row r="73" spans="1:33" hidden="1" x14ac:dyDescent="0.35"/>
    <row r="74" spans="1:33" hidden="1" x14ac:dyDescent="0.35"/>
    <row r="75" spans="1:33" ht="23.25" x14ac:dyDescent="0.35">
      <c r="E75" s="664"/>
    </row>
    <row r="76" spans="1:33" ht="38.25" x14ac:dyDescent="0.35">
      <c r="A76" s="391" t="s">
        <v>474</v>
      </c>
      <c r="B76" s="392"/>
      <c r="C76" s="392"/>
      <c r="D76" s="393" t="s">
        <v>475</v>
      </c>
      <c r="E76" s="393"/>
    </row>
    <row r="77" spans="1:33" x14ac:dyDescent="0.35">
      <c r="A77" s="391"/>
      <c r="B77" s="394" t="s">
        <v>68</v>
      </c>
      <c r="C77" s="394"/>
      <c r="D77" s="395"/>
    </row>
    <row r="78" spans="1:33" ht="37.5" x14ac:dyDescent="0.35">
      <c r="A78" s="396" t="s">
        <v>476</v>
      </c>
      <c r="B78" s="396"/>
      <c r="C78" s="396"/>
      <c r="D78" s="391"/>
    </row>
    <row r="102" spans="16:16" x14ac:dyDescent="0.35">
      <c r="P102" s="939" t="e">
        <f ca="1">P102+P101J19+J20+R26</f>
        <v>#NAME?</v>
      </c>
    </row>
  </sheetData>
  <customSheetViews>
    <customSheetView guid="{7C130984-112A-4861-AA43-E2940708E3DC}" scale="85" hiddenRows="1" state="hidden">
      <pane xSplit="1" ySplit="6" topLeftCell="B24" activePane="bottomRight" state="frozen"/>
      <selection pane="bottomRight" activeCell="D55" sqref="D55"/>
      <pageMargins left="0.7" right="0.7" top="0.75" bottom="0.75" header="0.3" footer="0.3"/>
      <pageSetup paperSize="9" orientation="portrait" r:id="rId1"/>
    </customSheetView>
    <customSheetView guid="{533DC55B-6AD4-4674-9488-685EF2039F3E}" scale="85" hiddenRows="1" state="hidden">
      <pane xSplit="1" ySplit="6" topLeftCell="B24" activePane="bottomRight" state="frozen"/>
      <selection pane="bottomRight" activeCell="D55" sqref="D55"/>
      <pageMargins left="0.7" right="0.7" top="0.75" bottom="0.75" header="0.3" footer="0.3"/>
      <pageSetup paperSize="9" orientation="portrait" r:id="rId2"/>
    </customSheetView>
    <customSheetView guid="{09C3E205-981E-4A4E-BE89-8B7044192060}" scale="85" hiddenRows="1">
      <pane xSplit="1" ySplit="6" topLeftCell="B24" activePane="bottomRight" state="frozen"/>
      <selection pane="bottomRight" activeCell="D55" sqref="D55"/>
      <pageMargins left="0.7" right="0.7" top="0.75" bottom="0.75" header="0.3" footer="0.3"/>
      <pageSetup paperSize="9" orientation="portrait" r:id="rId3"/>
    </customSheetView>
    <customSheetView guid="{B1BF08D1-D416-4B47-ADD0-4F59132DC9E8}" scale="85" hiddenRows="1">
      <pane xSplit="1" ySplit="6" topLeftCell="B24" activePane="bottomRight" state="frozen"/>
      <selection pane="bottomRight" activeCell="D55" sqref="D55"/>
      <pageMargins left="0.7" right="0.7" top="0.75" bottom="0.75" header="0.3" footer="0.3"/>
      <pageSetup paperSize="9" orientation="portrait" r:id="rId4"/>
    </customSheetView>
    <customSheetView guid="{4F41B9CC-959D-442C-80B0-1F0DB2C76D27}" scale="85" hiddenRows="1">
      <pane xSplit="1" ySplit="6" topLeftCell="B57" activePane="bottomRight" state="frozen"/>
      <selection pane="bottomRight" activeCell="K13" sqref="K13"/>
      <pageMargins left="0.7" right="0.7" top="0.75" bottom="0.75" header="0.3" footer="0.3"/>
      <pageSetup paperSize="9" orientation="portrait" r:id="rId5"/>
    </customSheetView>
    <customSheetView guid="{84867370-1F3E-4368-AF79-FBCE46FFFE92}" scale="85" hiddenRows="1">
      <pane xSplit="1" ySplit="6" topLeftCell="B7" activePane="bottomRight" state="frozen"/>
      <selection pane="bottomRight" activeCell="E7" sqref="E7"/>
      <pageMargins left="0.7" right="0.7" top="0.75" bottom="0.75" header="0.3" footer="0.3"/>
      <pageSetup paperSize="9" orientation="portrait" r:id="rId6"/>
    </customSheetView>
    <customSheetView guid="{E508E171-4ED9-4B07-84DF-DA28C60E1969}" scale="85" hiddenRows="1">
      <pane xSplit="1" ySplit="6" topLeftCell="R42" activePane="bottomRight" state="frozen"/>
      <selection pane="bottomRight" activeCell="AF46" sqref="AF46"/>
      <pageMargins left="0.7" right="0.7" top="0.75" bottom="0.75" header="0.3" footer="0.3"/>
      <pageSetup paperSize="9" orientation="portrait" r:id="rId7"/>
    </customSheetView>
    <customSheetView guid="{602C8EDB-B9EF-4C85-B0D5-0558C3A0ABAB}" scale="85" hiddenRows="1">
      <pane xSplit="1" ySplit="6" topLeftCell="R42" activePane="bottomRight" state="frozen"/>
      <selection pane="bottomRight" activeCell="AF46" sqref="AF46"/>
      <pageMargins left="0.7" right="0.7" top="0.75" bottom="0.75" header="0.3" footer="0.3"/>
      <pageSetup paperSize="9" orientation="portrait" r:id="rId8"/>
    </customSheetView>
    <customSheetView guid="{84B3377A-1CDD-4881-99FA-112F8B470D6F}" scale="85" hiddenRows="1">
      <pane xSplit="1" ySplit="6" topLeftCell="R42" activePane="bottomRight" state="frozen"/>
      <selection pane="bottomRight" activeCell="AF46" sqref="AF46"/>
      <pageMargins left="0.7" right="0.7" top="0.75" bottom="0.75" header="0.3" footer="0.3"/>
      <pageSetup paperSize="9" orientation="portrait" r:id="rId9"/>
    </customSheetView>
    <customSheetView guid="{87218168-6C8E-4D5B-A5E5-DCCC26803AA3}" scale="85" hiddenRows="1">
      <pane xSplit="1" ySplit="6" topLeftCell="R42" activePane="bottomRight" state="frozen"/>
      <selection pane="bottomRight" activeCell="AF46" sqref="AF46"/>
      <pageMargins left="0.7" right="0.7" top="0.75" bottom="0.75" header="0.3" footer="0.3"/>
      <pageSetup paperSize="9" orientation="portrait" r:id="rId10"/>
    </customSheetView>
    <customSheetView guid="{6A602CB8-B24C-4ED4-B378-B27354BE0A1A}" scale="85" hiddenRows="1">
      <pane xSplit="1" ySplit="6" topLeftCell="R42" activePane="bottomRight" state="frozen"/>
      <selection pane="bottomRight" activeCell="AF46" sqref="AF46"/>
      <pageMargins left="0.7" right="0.7" top="0.75" bottom="0.75" header="0.3" footer="0.3"/>
      <pageSetup paperSize="9" orientation="portrait" r:id="rId11"/>
    </customSheetView>
    <customSheetView guid="{D01FA037-9AEC-4167-ADB8-2F327C01ECE6}" scale="85" hiddenRows="1">
      <pane xSplit="1" ySplit="6" topLeftCell="B7" activePane="bottomRight" state="frozen"/>
      <selection pane="bottomRight" activeCell="F13" sqref="F13"/>
      <pageMargins left="0.7" right="0.7" top="0.75" bottom="0.75" header="0.3" footer="0.3"/>
      <pageSetup paperSize="9" orientation="portrait" r:id="rId12"/>
    </customSheetView>
    <customSheetView guid="{74870EE6-26B9-40F7-9DC9-260EF16D8959}" scale="85" hiddenRows="1">
      <pane xSplit="1" ySplit="6" topLeftCell="B7" activePane="bottomRight" state="frozen"/>
      <selection pane="bottomRight" activeCell="F13" sqref="F13"/>
      <pageMargins left="0.7" right="0.7" top="0.75" bottom="0.75" header="0.3" footer="0.3"/>
      <pageSetup paperSize="9" orientation="portrait" r:id="rId13"/>
    </customSheetView>
    <customSheetView guid="{7226EA2B-7866-416F-9240-410CC1BF0336}" scale="85" hiddenRows="1">
      <pane xSplit="1" ySplit="6" topLeftCell="B7" activePane="bottomRight" state="frozen"/>
      <selection pane="bottomRight" activeCell="F13" sqref="F13"/>
      <pageMargins left="0.7" right="0.7" top="0.75" bottom="0.75" header="0.3" footer="0.3"/>
      <pageSetup paperSize="9" orientation="portrait" r:id="rId14"/>
    </customSheetView>
    <customSheetView guid="{F8CAB90F-9980-4EC7-B30B-1637EB515304}" scale="85" hiddenRows="1">
      <pane xSplit="1" ySplit="6" topLeftCell="B50" activePane="bottomRight" state="frozen"/>
      <selection pane="bottomRight" activeCell="C68" sqref="C68"/>
      <pageMargins left="0.7" right="0.7" top="0.75" bottom="0.75" header="0.3" footer="0.3"/>
      <pageSetup paperSize="9" orientation="portrait" r:id="rId15"/>
    </customSheetView>
    <customSheetView guid="{415078CD-EB99-432D-90BA-2F3D5A746E20}" scale="85" hiddenRows="1">
      <pane xSplit="1" ySplit="6" topLeftCell="B50" activePane="bottomRight" state="frozen"/>
      <selection pane="bottomRight" activeCell="C68" sqref="C68"/>
      <pageMargins left="0.7" right="0.7" top="0.75" bottom="0.75" header="0.3" footer="0.3"/>
      <pageSetup paperSize="9" orientation="portrait" r:id="rId16"/>
    </customSheetView>
    <customSheetView guid="{CB4792DB-A624-4844-AEB6-A6ADA80946BB}" scale="85" hiddenRows="1">
      <pane xSplit="1" ySplit="6" topLeftCell="B57" activePane="bottomRight" state="frozen"/>
      <selection pane="bottomRight" activeCell="F77" sqref="F77"/>
      <pageMargins left="0.7" right="0.7" top="0.75" bottom="0.75" header="0.3" footer="0.3"/>
      <pageSetup paperSize="9" orientation="portrait" r:id="rId17"/>
    </customSheetView>
    <customSheetView guid="{0C2B9C2A-7B94-41EF-A2E6-F8AC9A67DE25}" scale="85" hiddenRows="1">
      <pane xSplit="1" ySplit="6" topLeftCell="B57" activePane="bottomRight" state="frozen"/>
      <selection pane="bottomRight" activeCell="F77" sqref="F77"/>
      <pageMargins left="0.7" right="0.7" top="0.75" bottom="0.75" header="0.3" footer="0.3"/>
      <pageSetup paperSize="9" orientation="portrait" r:id="rId18"/>
    </customSheetView>
    <customSheetView guid="{391AB76E-B386-49C1-800F-016A48AA1A46}" scale="85" hiddenRows="1">
      <pane xSplit="1" ySplit="6" topLeftCell="B53" activePane="bottomRight" state="frozen"/>
      <selection pane="bottomRight" activeCell="E61" sqref="E61"/>
      <pageMargins left="0.7" right="0.7" top="0.75" bottom="0.75" header="0.3" footer="0.3"/>
      <pageSetup paperSize="9" orientation="portrait" r:id="rId19"/>
    </customSheetView>
    <customSheetView guid="{959E901C-5DDE-42EE-AE94-AB8976B5E00B}" scale="50" hiddenRows="1">
      <pane xSplit="1" ySplit="6" topLeftCell="B49" activePane="bottomRight" state="frozen"/>
      <selection pane="bottomRight" activeCell="E75" sqref="E75"/>
      <pageMargins left="0.7" right="0.7" top="0.75" bottom="0.75" header="0.3" footer="0.3"/>
      <pageSetup paperSize="9" orientation="portrait" r:id="rId20"/>
    </customSheetView>
    <customSheetView guid="{F679EF4A-C5FD-4B86-B87B-D85968E0F2CA}" scale="50" hiddenRows="1">
      <pane xSplit="1" ySplit="6" topLeftCell="B49" activePane="bottomRight" state="frozen"/>
      <selection pane="bottomRight" activeCell="E75" sqref="E75"/>
      <pageMargins left="0.7" right="0.7" top="0.75" bottom="0.75" header="0.3" footer="0.3"/>
      <pageSetup paperSize="9" orientation="portrait" r:id="rId21"/>
    </customSheetView>
    <customSheetView guid="{009B3074-D8EC-4952-BF50-43CD64449612}" scale="85" hiddenRows="1">
      <pane xSplit="1" ySplit="6" topLeftCell="P36" activePane="bottomRight" state="frozen"/>
      <selection pane="bottomRight" activeCell="Y39" sqref="Y39"/>
      <pageMargins left="0.7" right="0.7" top="0.75" bottom="0.75" header="0.3" footer="0.3"/>
      <pageSetup paperSize="9" orientation="portrait" r:id="rId22"/>
    </customSheetView>
    <customSheetView guid="{770624BF-07F3-44B6-94C3-4CC447CDD45C}" scale="85" hiddenRows="1">
      <pane xSplit="1" ySplit="6" topLeftCell="P36" activePane="bottomRight" state="frozen"/>
      <selection pane="bottomRight" activeCell="Y39" sqref="Y39"/>
      <pageMargins left="0.7" right="0.7" top="0.75" bottom="0.75" header="0.3" footer="0.3"/>
      <pageSetup paperSize="9" orientation="portrait" r:id="rId23"/>
    </customSheetView>
    <customSheetView guid="{B82BA08A-1A30-4F4D-A478-74A6BD09EA97}" scale="85" hiddenRows="1">
      <pane xSplit="1" ySplit="6" topLeftCell="B45" activePane="bottomRight" state="frozen"/>
      <selection pane="bottomRight" activeCell="I48" sqref="I48"/>
      <pageMargins left="0.7" right="0.7" top="0.75" bottom="0.75" header="0.3" footer="0.3"/>
      <pageSetup paperSize="9" orientation="portrait" r:id="rId24"/>
    </customSheetView>
    <customSheetView guid="{874882D1-E741-4CCA-BF0D-E72FA60B771D}" scale="85" hiddenRows="1">
      <pane xSplit="1" ySplit="6" topLeftCell="B45" activePane="bottomRight" state="frozen"/>
      <selection pane="bottomRight" activeCell="I48" sqref="I48"/>
      <pageMargins left="0.7" right="0.7" top="0.75" bottom="0.75" header="0.3" footer="0.3"/>
      <pageSetup paperSize="9" orientation="portrait" r:id="rId25"/>
    </customSheetView>
    <customSheetView guid="{C236B307-BD63-48C4-A75F-B3F3717BF55C}" scale="85" hiddenRows="1">
      <pane xSplit="1" ySplit="6" topLeftCell="B45" activePane="bottomRight" state="frozen"/>
      <selection pane="bottomRight" activeCell="I48" sqref="I48"/>
      <pageMargins left="0.7" right="0.7" top="0.75" bottom="0.75" header="0.3" footer="0.3"/>
      <pageSetup paperSize="9" orientation="portrait" r:id="rId26"/>
    </customSheetView>
    <customSheetView guid="{BCD82A82-B724-4763-8580-D765356E09BA}" scale="60">
      <pane xSplit="1" ySplit="6" topLeftCell="B7" activePane="bottomRight" state="frozen"/>
      <selection pane="bottomRight" activeCell="O23" sqref="O23"/>
      <pageMargins left="0.7" right="0.7" top="0.75" bottom="0.75" header="0.3" footer="0.3"/>
      <pageSetup paperSize="9" orientation="portrait" r:id="rId27"/>
    </customSheetView>
    <customSheetView guid="{85F4575B-DBC5-482A-9916-255D8F0BC94E}" scale="50" hiddenRows="1">
      <pane xSplit="1" ySplit="6" topLeftCell="B49" activePane="bottomRight" state="frozen"/>
      <selection pane="bottomRight" activeCell="E75" sqref="E75"/>
      <pageMargins left="0.7" right="0.7" top="0.75" bottom="0.75" header="0.3" footer="0.3"/>
      <pageSetup paperSize="9" orientation="portrait" r:id="rId28"/>
    </customSheetView>
    <customSheetView guid="{4D0DFB57-2CBA-42F2-9A97-C453A6851FBA}" scale="85" hiddenRows="1">
      <pane xSplit="1" ySplit="6" topLeftCell="B53" activePane="bottomRight" state="frozen"/>
      <selection pane="bottomRight" activeCell="E61" sqref="E61"/>
      <pageMargins left="0.7" right="0.7" top="0.75" bottom="0.75" header="0.3" footer="0.3"/>
      <pageSetup paperSize="9" orientation="portrait" r:id="rId29"/>
    </customSheetView>
    <customSheetView guid="{CE1CCA00-200D-4EAA-9FBE-F8EE7C5F82FE}" scale="85" hiddenRows="1">
      <pane xSplit="1" ySplit="6" topLeftCell="B53" activePane="bottomRight" state="frozen"/>
      <selection pane="bottomRight" activeCell="E61" sqref="E61"/>
      <pageMargins left="0.7" right="0.7" top="0.75" bottom="0.75" header="0.3" footer="0.3"/>
      <pageSetup paperSize="9" orientation="portrait" r:id="rId30"/>
    </customSheetView>
    <customSheetView guid="{AC2D5927-4079-4C74-AF69-1BFAC505648F}" scale="85" hiddenRows="1">
      <pane xSplit="1" ySplit="6" topLeftCell="B53" activePane="bottomRight" state="frozen"/>
      <selection pane="bottomRight" activeCell="E61" sqref="E61"/>
      <pageMargins left="0.7" right="0.7" top="0.75" bottom="0.75" header="0.3" footer="0.3"/>
      <pageSetup paperSize="9" orientation="portrait" r:id="rId31"/>
    </customSheetView>
    <customSheetView guid="{3C3F523F-5F34-4CF7-831E-F1ABC4278CEB}" scale="85" hiddenRows="1">
      <pane xSplit="1" ySplit="6" topLeftCell="B57" activePane="bottomRight" state="frozen"/>
      <selection pane="bottomRight" activeCell="F77" sqref="F77"/>
      <pageMargins left="0.7" right="0.7" top="0.75" bottom="0.75" header="0.3" footer="0.3"/>
      <pageSetup paperSize="9" orientation="portrait" r:id="rId32"/>
    </customSheetView>
    <customSheetView guid="{69DABE6F-6182-4403-A4A2-969F10F1C13A}" scale="85" hiddenRows="1">
      <pane xSplit="1" ySplit="6" topLeftCell="R42" activePane="bottomRight" state="frozen"/>
      <selection pane="bottomRight" activeCell="AF46" sqref="AF46"/>
      <pageMargins left="0.7" right="0.7" top="0.75" bottom="0.75" header="0.3" footer="0.3"/>
      <pageSetup paperSize="9" orientation="portrait" r:id="rId33"/>
    </customSheetView>
    <customSheetView guid="{DAA8A688-7558-4B5B-8DBD-E2629BD9E9A8}" scale="85" hiddenRows="1">
      <pane xSplit="1" ySplit="6" topLeftCell="R42" activePane="bottomRight" state="frozen"/>
      <selection pane="bottomRight" activeCell="AF46" sqref="AF46"/>
      <pageMargins left="0.7" right="0.7" top="0.75" bottom="0.75" header="0.3" footer="0.3"/>
      <pageSetup paperSize="9" orientation="portrait" r:id="rId34"/>
    </customSheetView>
    <customSheetView guid="{47B983AB-FE5F-4725-860C-A2F29420596D}" scale="85" hiddenRows="1">
      <pane xSplit="1" ySplit="6" topLeftCell="R42" activePane="bottomRight" state="frozen"/>
      <selection pane="bottomRight" activeCell="AF46" sqref="AF46"/>
      <pageMargins left="0.7" right="0.7" top="0.75" bottom="0.75" header="0.3" footer="0.3"/>
      <pageSetup paperSize="9" orientation="portrait" r:id="rId35"/>
    </customSheetView>
    <customSheetView guid="{442F2C94-DD1B-4A01-8694-513D4D6F3BD9}" scale="85" hiddenRows="1">
      <pane xSplit="1" ySplit="6" topLeftCell="R42" activePane="bottomRight" state="frozen"/>
      <selection pane="bottomRight" activeCell="AF46" sqref="AF46"/>
      <pageMargins left="0.7" right="0.7" top="0.75" bottom="0.75" header="0.3" footer="0.3"/>
      <pageSetup paperSize="9" orientation="portrait" r:id="rId36"/>
    </customSheetView>
    <customSheetView guid="{472DFAFE-DC7C-463D-92A0-F6A14555FDD6}" scale="85" hiddenRows="1">
      <pane xSplit="1" ySplit="6" topLeftCell="B57" activePane="bottomRight" state="frozen"/>
      <selection pane="bottomRight" activeCell="K13" sqref="K13"/>
      <pageMargins left="0.7" right="0.7" top="0.75" bottom="0.75" header="0.3" footer="0.3"/>
      <pageSetup paperSize="9" orientation="portrait" r:id="rId37"/>
    </customSheetView>
    <customSheetView guid="{B43381A8-767B-4F49-BD2E-0056691293F3}" scale="85" hiddenRows="1">
      <pane xSplit="1" ySplit="6" topLeftCell="B57" activePane="bottomRight" state="frozen"/>
      <selection pane="bottomRight" activeCell="K13" sqref="K13"/>
      <pageMargins left="0.7" right="0.7" top="0.75" bottom="0.75" header="0.3" footer="0.3"/>
      <pageSetup paperSize="9" orientation="portrait" r:id="rId38"/>
    </customSheetView>
  </customSheetViews>
  <mergeCells count="21">
    <mergeCell ref="B3:B4"/>
    <mergeCell ref="C3:C4"/>
    <mergeCell ref="D3:D4"/>
    <mergeCell ref="E3:E4"/>
    <mergeCell ref="F3:G4"/>
    <mergeCell ref="A1:AF1"/>
    <mergeCell ref="A2:AE2"/>
    <mergeCell ref="A3:A4"/>
    <mergeCell ref="AF3:AF5"/>
    <mergeCell ref="T3:U4"/>
    <mergeCell ref="V3:W4"/>
    <mergeCell ref="X3:Y4"/>
    <mergeCell ref="Z3:AA4"/>
    <mergeCell ref="AB3:AC4"/>
    <mergeCell ref="AD3:AE4"/>
    <mergeCell ref="H3:I4"/>
    <mergeCell ref="J3:K4"/>
    <mergeCell ref="L3:M4"/>
    <mergeCell ref="N3:O4"/>
    <mergeCell ref="P3:Q4"/>
    <mergeCell ref="R3:S4"/>
  </mergeCells>
  <hyperlinks>
    <hyperlink ref="A2:AE2" location="Оглавление!A1" display=" &quot;Содействие занятости населения города Когалыма&quot;"/>
  </hyperlinks>
  <pageMargins left="0.7" right="0.7" top="0.75" bottom="0.75" header="0.3" footer="0.3"/>
  <pageSetup paperSize="9" orientation="portrait" r:id="rId39"/>
  <extLst>
    <ext xmlns:x14="http://schemas.microsoft.com/office/spreadsheetml/2009/9/main" uri="{CCE6A557-97BC-4b89-ADB6-D9C93CAAB3DF}">
      <x14:dataValidations xmlns:xm="http://schemas.microsoft.com/office/excel/2006/main" count="1">
        <x14:dataValidation type="list" allowBlank="1" showInputMessage="1" showErrorMessage="1">
          <x14:formula1>
            <xm:f>Оглавление!$B$22:$B$33</xm:f>
          </x14:formula1>
          <xm:sqref>C5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2"/>
  <sheetViews>
    <sheetView topLeftCell="P1" zoomScale="70" zoomScaleNormal="70" workbookViewId="0">
      <pane ySplit="3" topLeftCell="A52" activePane="bottomLeft" state="frozen"/>
      <selection pane="bottomLeft" activeCell="AG54" sqref="AG54"/>
    </sheetView>
  </sheetViews>
  <sheetFormatPr defaultColWidth="9.140625" defaultRowHeight="15" x14ac:dyDescent="0.25"/>
  <cols>
    <col min="1" max="1" width="34.42578125" style="222" customWidth="1"/>
    <col min="2" max="5" width="14.85546875" style="222" customWidth="1"/>
    <col min="6" max="6" width="11.140625" style="222" customWidth="1"/>
    <col min="7" max="7" width="11.85546875" style="222" customWidth="1"/>
    <col min="8" max="11" width="10.5703125" style="222" customWidth="1"/>
    <col min="12" max="12" width="12.5703125" style="222" customWidth="1"/>
    <col min="13" max="19" width="10.5703125" style="222" customWidth="1"/>
    <col min="20" max="20" width="16.28515625" style="222" customWidth="1"/>
    <col min="21" max="21" width="13.85546875" style="222" customWidth="1"/>
    <col min="22" max="22" width="10.5703125" style="222" customWidth="1"/>
    <col min="23" max="23" width="15.85546875" style="222" customWidth="1"/>
    <col min="24" max="25" width="9.140625" style="222"/>
    <col min="26" max="26" width="11.140625" style="222" customWidth="1"/>
    <col min="27" max="27" width="11.5703125" style="222" customWidth="1"/>
    <col min="28" max="28" width="12" style="222" customWidth="1"/>
    <col min="29" max="29" width="9.140625" style="222"/>
    <col min="30" max="30" width="13.42578125" style="222" customWidth="1"/>
    <col min="31" max="31" width="9.140625" style="222"/>
    <col min="32" max="32" width="52.85546875" style="222" customWidth="1"/>
    <col min="33" max="16384" width="9.140625" style="222"/>
  </cols>
  <sheetData>
    <row r="1" spans="1:32" ht="36.75" customHeight="1" x14ac:dyDescent="0.3">
      <c r="A1" s="867" t="s">
        <v>382</v>
      </c>
      <c r="B1" s="867"/>
      <c r="C1" s="867"/>
      <c r="D1" s="867"/>
      <c r="E1" s="867"/>
      <c r="F1" s="867"/>
      <c r="G1" s="867"/>
      <c r="H1" s="867"/>
      <c r="I1" s="867"/>
      <c r="J1" s="867"/>
      <c r="K1" s="867"/>
      <c r="L1" s="867"/>
      <c r="M1" s="867"/>
      <c r="N1" s="867"/>
      <c r="O1" s="867"/>
      <c r="P1" s="867"/>
      <c r="Q1" s="867"/>
      <c r="R1" s="867"/>
      <c r="S1" s="867"/>
      <c r="T1" s="867"/>
      <c r="U1" s="867"/>
      <c r="V1" s="867"/>
      <c r="W1" s="867"/>
      <c r="X1" s="867"/>
      <c r="Y1" s="867"/>
      <c r="Z1" s="867"/>
      <c r="AA1" s="867"/>
      <c r="AB1" s="867"/>
      <c r="AC1" s="867"/>
      <c r="AD1" s="867"/>
      <c r="AE1" s="261"/>
      <c r="AF1" s="261"/>
    </row>
    <row r="2" spans="1:32" ht="47.25" x14ac:dyDescent="0.25">
      <c r="A2" s="868" t="s">
        <v>383</v>
      </c>
      <c r="B2" s="868" t="s">
        <v>384</v>
      </c>
      <c r="C2" s="868" t="s">
        <v>626</v>
      </c>
      <c r="D2" s="868" t="s">
        <v>672</v>
      </c>
      <c r="E2" s="868" t="s">
        <v>673</v>
      </c>
      <c r="F2" s="870" t="s">
        <v>385</v>
      </c>
      <c r="G2" s="871"/>
      <c r="H2" s="860" t="s">
        <v>7</v>
      </c>
      <c r="I2" s="861"/>
      <c r="J2" s="860" t="s">
        <v>8</v>
      </c>
      <c r="K2" s="861"/>
      <c r="L2" s="860" t="s">
        <v>9</v>
      </c>
      <c r="M2" s="861"/>
      <c r="N2" s="860" t="s">
        <v>10</v>
      </c>
      <c r="O2" s="861"/>
      <c r="P2" s="860" t="s">
        <v>11</v>
      </c>
      <c r="Q2" s="861"/>
      <c r="R2" s="860" t="s">
        <v>12</v>
      </c>
      <c r="S2" s="861"/>
      <c r="T2" s="860" t="s">
        <v>13</v>
      </c>
      <c r="U2" s="861"/>
      <c r="V2" s="860" t="s">
        <v>14</v>
      </c>
      <c r="W2" s="861"/>
      <c r="X2" s="860" t="s">
        <v>15</v>
      </c>
      <c r="Y2" s="861"/>
      <c r="Z2" s="860" t="s">
        <v>16</v>
      </c>
      <c r="AA2" s="861"/>
      <c r="AB2" s="860" t="s">
        <v>17</v>
      </c>
      <c r="AC2" s="861"/>
      <c r="AD2" s="860" t="s">
        <v>18</v>
      </c>
      <c r="AE2" s="861"/>
      <c r="AF2" s="872" t="s">
        <v>19</v>
      </c>
    </row>
    <row r="3" spans="1:32" ht="48" customHeight="1" x14ac:dyDescent="0.25">
      <c r="A3" s="869"/>
      <c r="B3" s="869"/>
      <c r="C3" s="869"/>
      <c r="D3" s="869"/>
      <c r="E3" s="869"/>
      <c r="F3" s="262" t="s">
        <v>386</v>
      </c>
      <c r="G3" s="262" t="s">
        <v>21</v>
      </c>
      <c r="H3" s="263" t="s">
        <v>165</v>
      </c>
      <c r="I3" s="263" t="s">
        <v>23</v>
      </c>
      <c r="J3" s="263" t="s">
        <v>165</v>
      </c>
      <c r="K3" s="263" t="s">
        <v>23</v>
      </c>
      <c r="L3" s="263" t="s">
        <v>165</v>
      </c>
      <c r="M3" s="263" t="s">
        <v>23</v>
      </c>
      <c r="N3" s="263" t="s">
        <v>165</v>
      </c>
      <c r="O3" s="263" t="s">
        <v>23</v>
      </c>
      <c r="P3" s="263" t="s">
        <v>165</v>
      </c>
      <c r="Q3" s="263" t="s">
        <v>23</v>
      </c>
      <c r="R3" s="263" t="s">
        <v>165</v>
      </c>
      <c r="S3" s="263" t="s">
        <v>23</v>
      </c>
      <c r="T3" s="263" t="s">
        <v>165</v>
      </c>
      <c r="U3" s="263" t="s">
        <v>23</v>
      </c>
      <c r="V3" s="263" t="s">
        <v>165</v>
      </c>
      <c r="W3" s="263" t="s">
        <v>23</v>
      </c>
      <c r="X3" s="263" t="s">
        <v>165</v>
      </c>
      <c r="Y3" s="263" t="s">
        <v>23</v>
      </c>
      <c r="Z3" s="263" t="s">
        <v>165</v>
      </c>
      <c r="AA3" s="263" t="s">
        <v>23</v>
      </c>
      <c r="AB3" s="263" t="s">
        <v>165</v>
      </c>
      <c r="AC3" s="263" t="s">
        <v>23</v>
      </c>
      <c r="AD3" s="263" t="s">
        <v>165</v>
      </c>
      <c r="AE3" s="263" t="s">
        <v>23</v>
      </c>
      <c r="AF3" s="872"/>
    </row>
    <row r="4" spans="1:32" ht="15.75" x14ac:dyDescent="0.25">
      <c r="A4" s="264">
        <v>1</v>
      </c>
      <c r="B4" s="264">
        <v>2</v>
      </c>
      <c r="C4" s="264">
        <v>3</v>
      </c>
      <c r="D4" s="264">
        <v>4</v>
      </c>
      <c r="E4" s="264">
        <v>5</v>
      </c>
      <c r="F4" s="264">
        <v>6</v>
      </c>
      <c r="G4" s="264">
        <v>7</v>
      </c>
      <c r="H4" s="263">
        <v>8</v>
      </c>
      <c r="I4" s="263">
        <v>9</v>
      </c>
      <c r="J4" s="263">
        <v>10</v>
      </c>
      <c r="K4" s="263">
        <v>11</v>
      </c>
      <c r="L4" s="263">
        <v>12</v>
      </c>
      <c r="M4" s="263">
        <v>13</v>
      </c>
      <c r="N4" s="263">
        <v>14</v>
      </c>
      <c r="O4" s="263">
        <v>15</v>
      </c>
      <c r="P4" s="263">
        <v>16</v>
      </c>
      <c r="Q4" s="263">
        <v>17</v>
      </c>
      <c r="R4" s="263">
        <v>18</v>
      </c>
      <c r="S4" s="263">
        <v>19</v>
      </c>
      <c r="T4" s="263">
        <v>20</v>
      </c>
      <c r="U4" s="263">
        <v>21</v>
      </c>
      <c r="V4" s="263">
        <v>22</v>
      </c>
      <c r="W4" s="263">
        <v>23</v>
      </c>
      <c r="X4" s="263">
        <v>24</v>
      </c>
      <c r="Y4" s="263">
        <v>25</v>
      </c>
      <c r="Z4" s="263">
        <v>26</v>
      </c>
      <c r="AA4" s="263">
        <v>27</v>
      </c>
      <c r="AB4" s="263">
        <v>28</v>
      </c>
      <c r="AC4" s="263">
        <v>29</v>
      </c>
      <c r="AD4" s="263">
        <v>30</v>
      </c>
      <c r="AE4" s="263">
        <v>31</v>
      </c>
      <c r="AF4" s="263">
        <v>32</v>
      </c>
    </row>
    <row r="5" spans="1:32" ht="15.75" x14ac:dyDescent="0.25">
      <c r="A5" s="862" t="s">
        <v>387</v>
      </c>
      <c r="B5" s="862"/>
      <c r="C5" s="862"/>
      <c r="D5" s="862"/>
      <c r="E5" s="862"/>
      <c r="F5" s="862"/>
      <c r="G5" s="862"/>
      <c r="H5" s="862"/>
      <c r="I5" s="862"/>
      <c r="J5" s="862"/>
      <c r="K5" s="862"/>
      <c r="L5" s="862"/>
      <c r="M5" s="862"/>
      <c r="N5" s="862"/>
      <c r="O5" s="862"/>
      <c r="P5" s="862"/>
      <c r="Q5" s="862"/>
      <c r="R5" s="862"/>
      <c r="S5" s="862"/>
      <c r="T5" s="862"/>
      <c r="U5" s="862"/>
      <c r="V5" s="862"/>
      <c r="W5" s="862"/>
      <c r="X5" s="862"/>
      <c r="Y5" s="862"/>
      <c r="Z5" s="862"/>
      <c r="AA5" s="862"/>
      <c r="AB5" s="862"/>
      <c r="AC5" s="862"/>
      <c r="AD5" s="863"/>
      <c r="AE5" s="265"/>
      <c r="AF5" s="265"/>
    </row>
    <row r="6" spans="1:32" ht="15.75" x14ac:dyDescent="0.25">
      <c r="A6" s="858" t="s">
        <v>54</v>
      </c>
      <c r="B6" s="858"/>
      <c r="C6" s="858"/>
      <c r="D6" s="858"/>
      <c r="E6" s="858"/>
      <c r="F6" s="858"/>
      <c r="G6" s="858"/>
      <c r="H6" s="858"/>
      <c r="I6" s="858"/>
      <c r="J6" s="858"/>
      <c r="K6" s="858"/>
      <c r="L6" s="858"/>
      <c r="M6" s="858"/>
      <c r="N6" s="858"/>
      <c r="O6" s="858"/>
      <c r="P6" s="858"/>
      <c r="Q6" s="858"/>
      <c r="R6" s="858"/>
      <c r="S6" s="858"/>
      <c r="T6" s="858"/>
      <c r="U6" s="858"/>
      <c r="V6" s="858"/>
      <c r="W6" s="858"/>
      <c r="X6" s="858"/>
      <c r="Y6" s="858"/>
      <c r="Z6" s="858"/>
      <c r="AA6" s="858"/>
      <c r="AB6" s="858"/>
      <c r="AC6" s="858"/>
      <c r="AD6" s="858"/>
      <c r="AE6" s="859"/>
      <c r="AF6" s="265"/>
    </row>
    <row r="7" spans="1:32" ht="15.75" x14ac:dyDescent="0.25">
      <c r="A7" s="266" t="s">
        <v>388</v>
      </c>
      <c r="B7" s="266"/>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7"/>
      <c r="AE7" s="265"/>
      <c r="AF7" s="265"/>
    </row>
    <row r="8" spans="1:32" ht="15.75" x14ac:dyDescent="0.25">
      <c r="A8" s="268" t="s">
        <v>31</v>
      </c>
      <c r="B8" s="269">
        <f>B9</f>
        <v>3419</v>
      </c>
      <c r="C8" s="269">
        <f>C9</f>
        <v>2958.1</v>
      </c>
      <c r="D8" s="269">
        <f t="shared" ref="D8:E8" si="0">D9</f>
        <v>2954.24</v>
      </c>
      <c r="E8" s="269">
        <f t="shared" si="0"/>
        <v>2954.24</v>
      </c>
      <c r="F8" s="269">
        <f t="shared" ref="F8:F19" si="1">IFERROR(E8/B8*100,0)</f>
        <v>86.406551623281658</v>
      </c>
      <c r="G8" s="269">
        <f t="shared" ref="G8:G19" si="2">IFERROR(E8/C8*100,0)</f>
        <v>99.869510834657376</v>
      </c>
      <c r="H8" s="269">
        <f>H9</f>
        <v>0</v>
      </c>
      <c r="I8" s="269">
        <f t="shared" ref="I8:AE8" si="3">I9</f>
        <v>0</v>
      </c>
      <c r="J8" s="269">
        <f t="shared" si="3"/>
        <v>0</v>
      </c>
      <c r="K8" s="269">
        <f t="shared" si="3"/>
        <v>0</v>
      </c>
      <c r="L8" s="269">
        <f t="shared" si="3"/>
        <v>0</v>
      </c>
      <c r="M8" s="269">
        <f t="shared" si="3"/>
        <v>0</v>
      </c>
      <c r="N8" s="269">
        <f t="shared" si="3"/>
        <v>0</v>
      </c>
      <c r="O8" s="269">
        <f t="shared" si="3"/>
        <v>0</v>
      </c>
      <c r="P8" s="269">
        <f t="shared" si="3"/>
        <v>0</v>
      </c>
      <c r="Q8" s="269">
        <f t="shared" si="3"/>
        <v>0</v>
      </c>
      <c r="R8" s="269">
        <f t="shared" si="3"/>
        <v>0</v>
      </c>
      <c r="S8" s="269">
        <f t="shared" si="3"/>
        <v>0</v>
      </c>
      <c r="T8" s="269">
        <f t="shared" si="3"/>
        <v>0</v>
      </c>
      <c r="U8" s="269">
        <f t="shared" si="3"/>
        <v>0</v>
      </c>
      <c r="V8" s="269">
        <f t="shared" si="3"/>
        <v>0</v>
      </c>
      <c r="W8" s="269">
        <f t="shared" si="3"/>
        <v>0</v>
      </c>
      <c r="X8" s="269">
        <f t="shared" si="3"/>
        <v>859.58</v>
      </c>
      <c r="Y8" s="269">
        <f t="shared" si="3"/>
        <v>859.58</v>
      </c>
      <c r="Z8" s="269">
        <f t="shared" si="3"/>
        <v>0</v>
      </c>
      <c r="AA8" s="269">
        <f t="shared" si="3"/>
        <v>0</v>
      </c>
      <c r="AB8" s="269">
        <f t="shared" si="3"/>
        <v>2098.52</v>
      </c>
      <c r="AC8" s="269">
        <f t="shared" si="3"/>
        <v>0</v>
      </c>
      <c r="AD8" s="269">
        <f t="shared" si="3"/>
        <v>460.9</v>
      </c>
      <c r="AE8" s="269">
        <f t="shared" si="3"/>
        <v>2094.66</v>
      </c>
      <c r="AF8" s="270"/>
    </row>
    <row r="9" spans="1:32" ht="15.75" x14ac:dyDescent="0.25">
      <c r="A9" s="271" t="s">
        <v>33</v>
      </c>
      <c r="B9" s="272">
        <f t="shared" ref="B9" si="4">H9+J9+L9+N9+P9+R9+T9+V9+X9+Z9+AB9+AD9</f>
        <v>3419</v>
      </c>
      <c r="C9" s="272">
        <f>C12+C15</f>
        <v>2958.1</v>
      </c>
      <c r="D9" s="272">
        <f>D12</f>
        <v>2954.24</v>
      </c>
      <c r="E9" s="272">
        <f>I9+K9+M9+O9+Q9+S9+U9+W9+Y9+AA9+AC9+AE9</f>
        <v>2954.24</v>
      </c>
      <c r="F9" s="272">
        <f t="shared" si="1"/>
        <v>86.406551623281658</v>
      </c>
      <c r="G9" s="272">
        <f t="shared" si="2"/>
        <v>99.869510834657376</v>
      </c>
      <c r="H9" s="272">
        <f>H12+H15</f>
        <v>0</v>
      </c>
      <c r="I9" s="272">
        <f t="shared" ref="I9:AE9" si="5">I12+I15</f>
        <v>0</v>
      </c>
      <c r="J9" s="272">
        <f t="shared" si="5"/>
        <v>0</v>
      </c>
      <c r="K9" s="272">
        <f t="shared" si="5"/>
        <v>0</v>
      </c>
      <c r="L9" s="272">
        <f t="shared" si="5"/>
        <v>0</v>
      </c>
      <c r="M9" s="272">
        <f t="shared" si="5"/>
        <v>0</v>
      </c>
      <c r="N9" s="272">
        <f t="shared" si="5"/>
        <v>0</v>
      </c>
      <c r="O9" s="272">
        <f t="shared" si="5"/>
        <v>0</v>
      </c>
      <c r="P9" s="272">
        <f t="shared" si="5"/>
        <v>0</v>
      </c>
      <c r="Q9" s="272">
        <f t="shared" si="5"/>
        <v>0</v>
      </c>
      <c r="R9" s="272">
        <f t="shared" si="5"/>
        <v>0</v>
      </c>
      <c r="S9" s="272">
        <f t="shared" si="5"/>
        <v>0</v>
      </c>
      <c r="T9" s="272">
        <f t="shared" si="5"/>
        <v>0</v>
      </c>
      <c r="U9" s="272">
        <f t="shared" si="5"/>
        <v>0</v>
      </c>
      <c r="V9" s="272">
        <f t="shared" si="5"/>
        <v>0</v>
      </c>
      <c r="W9" s="272">
        <f t="shared" si="5"/>
        <v>0</v>
      </c>
      <c r="X9" s="272">
        <f t="shared" si="5"/>
        <v>859.58</v>
      </c>
      <c r="Y9" s="272">
        <f t="shared" si="5"/>
        <v>859.58</v>
      </c>
      <c r="Z9" s="272">
        <f t="shared" si="5"/>
        <v>0</v>
      </c>
      <c r="AA9" s="272">
        <f t="shared" si="5"/>
        <v>0</v>
      </c>
      <c r="AB9" s="272">
        <f t="shared" si="5"/>
        <v>2098.52</v>
      </c>
      <c r="AC9" s="272">
        <f t="shared" si="5"/>
        <v>0</v>
      </c>
      <c r="AD9" s="272">
        <f t="shared" si="5"/>
        <v>460.9</v>
      </c>
      <c r="AE9" s="272">
        <f t="shared" si="5"/>
        <v>2094.66</v>
      </c>
      <c r="AF9" s="273"/>
    </row>
    <row r="10" spans="1:32" ht="15.75" x14ac:dyDescent="0.25">
      <c r="A10" s="266" t="s">
        <v>389</v>
      </c>
      <c r="B10" s="272"/>
      <c r="C10" s="272"/>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3"/>
    </row>
    <row r="11" spans="1:32" ht="15.75" x14ac:dyDescent="0.25">
      <c r="A11" s="268" t="s">
        <v>31</v>
      </c>
      <c r="B11" s="269">
        <f>B12</f>
        <v>460.9</v>
      </c>
      <c r="C11" s="269">
        <f t="shared" ref="C11:E11" si="6">C12</f>
        <v>0</v>
      </c>
      <c r="D11" s="269">
        <f t="shared" si="6"/>
        <v>2954.24</v>
      </c>
      <c r="E11" s="269">
        <f t="shared" si="6"/>
        <v>0</v>
      </c>
      <c r="F11" s="269">
        <f t="shared" si="1"/>
        <v>0</v>
      </c>
      <c r="G11" s="269">
        <f t="shared" si="2"/>
        <v>0</v>
      </c>
      <c r="H11" s="269">
        <f>H12</f>
        <v>0</v>
      </c>
      <c r="I11" s="269">
        <f t="shared" ref="I11:AE11" si="7">I12</f>
        <v>0</v>
      </c>
      <c r="J11" s="269">
        <f t="shared" si="7"/>
        <v>0</v>
      </c>
      <c r="K11" s="269">
        <f t="shared" si="7"/>
        <v>0</v>
      </c>
      <c r="L11" s="269">
        <f t="shared" si="7"/>
        <v>0</v>
      </c>
      <c r="M11" s="269">
        <f t="shared" si="7"/>
        <v>0</v>
      </c>
      <c r="N11" s="269">
        <f t="shared" si="7"/>
        <v>0</v>
      </c>
      <c r="O11" s="269">
        <f t="shared" si="7"/>
        <v>0</v>
      </c>
      <c r="P11" s="269">
        <f t="shared" si="7"/>
        <v>0</v>
      </c>
      <c r="Q11" s="269">
        <f t="shared" si="7"/>
        <v>0</v>
      </c>
      <c r="R11" s="269">
        <f t="shared" si="7"/>
        <v>0</v>
      </c>
      <c r="S11" s="269">
        <f t="shared" si="7"/>
        <v>0</v>
      </c>
      <c r="T11" s="269">
        <f t="shared" si="7"/>
        <v>0</v>
      </c>
      <c r="U11" s="269">
        <f t="shared" si="7"/>
        <v>0</v>
      </c>
      <c r="V11" s="269">
        <f t="shared" si="7"/>
        <v>0</v>
      </c>
      <c r="W11" s="269">
        <f t="shared" si="7"/>
        <v>0</v>
      </c>
      <c r="X11" s="269">
        <f t="shared" si="7"/>
        <v>0</v>
      </c>
      <c r="Y11" s="269">
        <f t="shared" si="7"/>
        <v>0</v>
      </c>
      <c r="Z11" s="269">
        <f t="shared" si="7"/>
        <v>0</v>
      </c>
      <c r="AA11" s="269">
        <f t="shared" si="7"/>
        <v>0</v>
      </c>
      <c r="AB11" s="269">
        <f t="shared" si="7"/>
        <v>0</v>
      </c>
      <c r="AC11" s="269">
        <f t="shared" si="7"/>
        <v>0</v>
      </c>
      <c r="AD11" s="269">
        <f t="shared" si="7"/>
        <v>460.9</v>
      </c>
      <c r="AE11" s="269">
        <f t="shared" si="7"/>
        <v>0</v>
      </c>
      <c r="AF11" s="274"/>
    </row>
    <row r="12" spans="1:32" ht="15.75" x14ac:dyDescent="0.25">
      <c r="A12" s="271" t="s">
        <v>33</v>
      </c>
      <c r="B12" s="272">
        <f>H12+J12+L12+N12+P12+R12+T12+V12+X12+Z12+AB12+AD12</f>
        <v>460.9</v>
      </c>
      <c r="C12" s="272">
        <f>H12+J12+L12+N12+P12</f>
        <v>0</v>
      </c>
      <c r="D12" s="272">
        <f>D15</f>
        <v>2954.24</v>
      </c>
      <c r="E12" s="272">
        <f>I12+K12+M12+O12+Q12+S12+U12+W12+Y12+AA12+AC12+AE12</f>
        <v>0</v>
      </c>
      <c r="F12" s="272">
        <f t="shared" si="1"/>
        <v>0</v>
      </c>
      <c r="G12" s="272">
        <f t="shared" si="2"/>
        <v>0</v>
      </c>
      <c r="H12" s="275">
        <v>0</v>
      </c>
      <c r="I12" s="275">
        <v>0</v>
      </c>
      <c r="J12" s="275">
        <v>0</v>
      </c>
      <c r="K12" s="275">
        <v>0</v>
      </c>
      <c r="L12" s="275">
        <v>0</v>
      </c>
      <c r="M12" s="275">
        <v>0</v>
      </c>
      <c r="N12" s="275">
        <v>0</v>
      </c>
      <c r="O12" s="275">
        <v>0</v>
      </c>
      <c r="P12" s="275">
        <v>0</v>
      </c>
      <c r="Q12" s="275">
        <v>0</v>
      </c>
      <c r="R12" s="275">
        <v>0</v>
      </c>
      <c r="S12" s="275">
        <v>0</v>
      </c>
      <c r="T12" s="275">
        <v>0</v>
      </c>
      <c r="U12" s="275">
        <v>0</v>
      </c>
      <c r="V12" s="275">
        <v>0</v>
      </c>
      <c r="W12" s="275">
        <v>0</v>
      </c>
      <c r="X12" s="275">
        <v>0</v>
      </c>
      <c r="Y12" s="275">
        <v>0</v>
      </c>
      <c r="Z12" s="275">
        <v>0</v>
      </c>
      <c r="AA12" s="275">
        <v>0</v>
      </c>
      <c r="AB12" s="275">
        <v>0</v>
      </c>
      <c r="AC12" s="275">
        <v>0</v>
      </c>
      <c r="AD12" s="275">
        <v>460.9</v>
      </c>
      <c r="AE12" s="275">
        <v>0</v>
      </c>
      <c r="AF12" s="273"/>
    </row>
    <row r="13" spans="1:32" ht="15.75" x14ac:dyDescent="0.25">
      <c r="A13" s="266" t="s">
        <v>390</v>
      </c>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3"/>
    </row>
    <row r="14" spans="1:32" ht="15.75" x14ac:dyDescent="0.25">
      <c r="A14" s="268" t="s">
        <v>31</v>
      </c>
      <c r="B14" s="269">
        <f>B15</f>
        <v>2958.1</v>
      </c>
      <c r="C14" s="269">
        <f t="shared" ref="C14:E14" si="8">C15</f>
        <v>2958.1</v>
      </c>
      <c r="D14" s="269">
        <f t="shared" si="8"/>
        <v>2954.24</v>
      </c>
      <c r="E14" s="269">
        <f t="shared" si="8"/>
        <v>2954.24</v>
      </c>
      <c r="F14" s="269">
        <f t="shared" ref="F14:F15" si="9">IFERROR(E14/B14*100,0)</f>
        <v>99.869510834657376</v>
      </c>
      <c r="G14" s="269">
        <f t="shared" ref="G14:G15" si="10">IFERROR(E14/C14*100,0)</f>
        <v>99.869510834657376</v>
      </c>
      <c r="H14" s="269">
        <f>H15</f>
        <v>0</v>
      </c>
      <c r="I14" s="269">
        <f t="shared" ref="I14:AE14" si="11">I15</f>
        <v>0</v>
      </c>
      <c r="J14" s="269">
        <f t="shared" si="11"/>
        <v>0</v>
      </c>
      <c r="K14" s="269">
        <f t="shared" si="11"/>
        <v>0</v>
      </c>
      <c r="L14" s="269">
        <f t="shared" si="11"/>
        <v>0</v>
      </c>
      <c r="M14" s="269">
        <f t="shared" si="11"/>
        <v>0</v>
      </c>
      <c r="N14" s="269">
        <f t="shared" si="11"/>
        <v>0</v>
      </c>
      <c r="O14" s="269">
        <f t="shared" si="11"/>
        <v>0</v>
      </c>
      <c r="P14" s="269">
        <f t="shared" si="11"/>
        <v>0</v>
      </c>
      <c r="Q14" s="269">
        <f t="shared" si="11"/>
        <v>0</v>
      </c>
      <c r="R14" s="269">
        <f t="shared" si="11"/>
        <v>0</v>
      </c>
      <c r="S14" s="269">
        <f t="shared" si="11"/>
        <v>0</v>
      </c>
      <c r="T14" s="269">
        <f t="shared" si="11"/>
        <v>0</v>
      </c>
      <c r="U14" s="269">
        <f t="shared" si="11"/>
        <v>0</v>
      </c>
      <c r="V14" s="269">
        <f t="shared" si="11"/>
        <v>0</v>
      </c>
      <c r="W14" s="269">
        <f t="shared" si="11"/>
        <v>0</v>
      </c>
      <c r="X14" s="269">
        <f t="shared" si="11"/>
        <v>859.58</v>
      </c>
      <c r="Y14" s="269">
        <f t="shared" si="11"/>
        <v>859.58</v>
      </c>
      <c r="Z14" s="269">
        <f t="shared" si="11"/>
        <v>0</v>
      </c>
      <c r="AA14" s="269">
        <f t="shared" si="11"/>
        <v>0</v>
      </c>
      <c r="AB14" s="269">
        <f t="shared" si="11"/>
        <v>2098.52</v>
      </c>
      <c r="AC14" s="269">
        <f t="shared" si="11"/>
        <v>0</v>
      </c>
      <c r="AD14" s="269">
        <f t="shared" si="11"/>
        <v>0</v>
      </c>
      <c r="AE14" s="269">
        <f t="shared" si="11"/>
        <v>2094.66</v>
      </c>
      <c r="AF14" s="274"/>
    </row>
    <row r="15" spans="1:32" ht="15.75" x14ac:dyDescent="0.25">
      <c r="A15" s="271" t="s">
        <v>33</v>
      </c>
      <c r="B15" s="272">
        <f>H15+J15+L15+N15+P15+R15+T15+V15+X15+Z15+AB15+AD15</f>
        <v>2958.1</v>
      </c>
      <c r="C15" s="272">
        <f>H15+J15+L15+N15+P15+X15+AB15</f>
        <v>2958.1</v>
      </c>
      <c r="D15" s="272">
        <f>E15</f>
        <v>2954.24</v>
      </c>
      <c r="E15" s="272">
        <f>I15+K15+M15+O15+Q15+S15+U15+W15+Y15+AA15+AC15+AE15</f>
        <v>2954.24</v>
      </c>
      <c r="F15" s="272">
        <f t="shared" si="9"/>
        <v>99.869510834657376</v>
      </c>
      <c r="G15" s="272">
        <f t="shared" si="10"/>
        <v>99.869510834657376</v>
      </c>
      <c r="H15" s="275">
        <v>0</v>
      </c>
      <c r="I15" s="275">
        <v>0</v>
      </c>
      <c r="J15" s="275">
        <v>0</v>
      </c>
      <c r="K15" s="275">
        <v>0</v>
      </c>
      <c r="L15" s="275">
        <v>0</v>
      </c>
      <c r="M15" s="275">
        <v>0</v>
      </c>
      <c r="N15" s="275">
        <v>0</v>
      </c>
      <c r="O15" s="275">
        <v>0</v>
      </c>
      <c r="P15" s="275">
        <v>0</v>
      </c>
      <c r="Q15" s="275">
        <v>0</v>
      </c>
      <c r="R15" s="275">
        <v>0</v>
      </c>
      <c r="S15" s="275">
        <v>0</v>
      </c>
      <c r="T15" s="275">
        <v>0</v>
      </c>
      <c r="U15" s="275">
        <v>0</v>
      </c>
      <c r="V15" s="275">
        <v>0</v>
      </c>
      <c r="W15" s="275">
        <v>0</v>
      </c>
      <c r="X15" s="275">
        <v>859.58</v>
      </c>
      <c r="Y15" s="275">
        <v>859.58</v>
      </c>
      <c r="Z15" s="275">
        <v>0</v>
      </c>
      <c r="AA15" s="275">
        <v>0</v>
      </c>
      <c r="AB15" s="275">
        <v>2098.52</v>
      </c>
      <c r="AC15" s="275">
        <v>0</v>
      </c>
      <c r="AD15" s="275">
        <v>0</v>
      </c>
      <c r="AE15" s="275">
        <v>2094.66</v>
      </c>
      <c r="AF15" s="273"/>
    </row>
    <row r="16" spans="1:32" ht="15.75" x14ac:dyDescent="0.25">
      <c r="A16" s="276" t="s">
        <v>53</v>
      </c>
      <c r="B16" s="272"/>
      <c r="C16" s="272"/>
      <c r="D16" s="272"/>
      <c r="E16" s="272"/>
      <c r="F16" s="272"/>
      <c r="G16" s="272"/>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3"/>
    </row>
    <row r="17" spans="1:32" ht="15.75" x14ac:dyDescent="0.25">
      <c r="A17" s="276"/>
      <c r="B17" s="272"/>
      <c r="C17" s="272"/>
      <c r="D17" s="272"/>
      <c r="E17" s="272"/>
      <c r="F17" s="272"/>
      <c r="G17" s="272"/>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3"/>
    </row>
    <row r="18" spans="1:32" ht="204.75" x14ac:dyDescent="0.25">
      <c r="A18" s="277" t="s">
        <v>31</v>
      </c>
      <c r="B18" s="269">
        <f>B19</f>
        <v>3419</v>
      </c>
      <c r="C18" s="269">
        <f t="shared" ref="C18:E18" si="12">C19</f>
        <v>0</v>
      </c>
      <c r="D18" s="269">
        <f t="shared" si="12"/>
        <v>0</v>
      </c>
      <c r="E18" s="269">
        <f t="shared" si="12"/>
        <v>2954.24</v>
      </c>
      <c r="F18" s="269">
        <f t="shared" si="1"/>
        <v>86.406551623281658</v>
      </c>
      <c r="G18" s="269">
        <f t="shared" si="2"/>
        <v>0</v>
      </c>
      <c r="H18" s="269">
        <f>H19</f>
        <v>0</v>
      </c>
      <c r="I18" s="269">
        <f t="shared" ref="I18:AE18" si="13">I19</f>
        <v>0</v>
      </c>
      <c r="J18" s="269">
        <f t="shared" si="13"/>
        <v>0</v>
      </c>
      <c r="K18" s="269">
        <f t="shared" si="13"/>
        <v>0</v>
      </c>
      <c r="L18" s="269">
        <f t="shared" si="13"/>
        <v>0</v>
      </c>
      <c r="M18" s="269">
        <f t="shared" si="13"/>
        <v>0</v>
      </c>
      <c r="N18" s="269">
        <f t="shared" si="13"/>
        <v>0</v>
      </c>
      <c r="O18" s="269">
        <f t="shared" si="13"/>
        <v>0</v>
      </c>
      <c r="P18" s="269">
        <f t="shared" si="13"/>
        <v>0</v>
      </c>
      <c r="Q18" s="269">
        <f t="shared" si="13"/>
        <v>0</v>
      </c>
      <c r="R18" s="269">
        <f t="shared" si="13"/>
        <v>0</v>
      </c>
      <c r="S18" s="269">
        <f t="shared" si="13"/>
        <v>0</v>
      </c>
      <c r="T18" s="269">
        <f t="shared" si="13"/>
        <v>0</v>
      </c>
      <c r="U18" s="269">
        <f t="shared" si="13"/>
        <v>0</v>
      </c>
      <c r="V18" s="269">
        <f t="shared" si="13"/>
        <v>0</v>
      </c>
      <c r="W18" s="269">
        <f t="shared" si="13"/>
        <v>0</v>
      </c>
      <c r="X18" s="269">
        <f t="shared" si="13"/>
        <v>859.58</v>
      </c>
      <c r="Y18" s="269">
        <f t="shared" si="13"/>
        <v>859.58</v>
      </c>
      <c r="Z18" s="269">
        <f t="shared" si="13"/>
        <v>0</v>
      </c>
      <c r="AA18" s="269">
        <f t="shared" si="13"/>
        <v>0</v>
      </c>
      <c r="AB18" s="269">
        <f t="shared" si="13"/>
        <v>2098.52</v>
      </c>
      <c r="AC18" s="269">
        <f t="shared" si="13"/>
        <v>0</v>
      </c>
      <c r="AD18" s="269">
        <f t="shared" si="13"/>
        <v>460.9</v>
      </c>
      <c r="AE18" s="269">
        <f t="shared" si="13"/>
        <v>2094.66</v>
      </c>
      <c r="AF18" s="828" t="s">
        <v>671</v>
      </c>
    </row>
    <row r="19" spans="1:32" ht="15.75" x14ac:dyDescent="0.25">
      <c r="A19" s="278" t="s">
        <v>33</v>
      </c>
      <c r="B19" s="272">
        <f>H19+J19+L19+N19+P19+R19+T19+V19+X19+Z19+AB19+AD19</f>
        <v>3419</v>
      </c>
      <c r="C19" s="272">
        <f>H19+J19+L19+N19+P19</f>
        <v>0</v>
      </c>
      <c r="D19" s="272">
        <f>I19+K19+M19+O19+Q19</f>
        <v>0</v>
      </c>
      <c r="E19" s="272">
        <f t="shared" ref="E19" si="14">I19+K19+M19+O19+Q19+S19+U19+W19+Y19+AA19+AC19+AE19</f>
        <v>2954.24</v>
      </c>
      <c r="F19" s="272">
        <f t="shared" si="1"/>
        <v>86.406551623281658</v>
      </c>
      <c r="G19" s="272">
        <f t="shared" si="2"/>
        <v>0</v>
      </c>
      <c r="H19" s="275">
        <f t="shared" ref="H19:AE19" si="15">H9</f>
        <v>0</v>
      </c>
      <c r="I19" s="275">
        <f t="shared" si="15"/>
        <v>0</v>
      </c>
      <c r="J19" s="275">
        <f t="shared" si="15"/>
        <v>0</v>
      </c>
      <c r="K19" s="275">
        <f t="shared" si="15"/>
        <v>0</v>
      </c>
      <c r="L19" s="275">
        <f t="shared" si="15"/>
        <v>0</v>
      </c>
      <c r="M19" s="275">
        <f t="shared" si="15"/>
        <v>0</v>
      </c>
      <c r="N19" s="275">
        <f t="shared" si="15"/>
        <v>0</v>
      </c>
      <c r="O19" s="275">
        <f t="shared" si="15"/>
        <v>0</v>
      </c>
      <c r="P19" s="275">
        <f t="shared" si="15"/>
        <v>0</v>
      </c>
      <c r="Q19" s="275">
        <f t="shared" si="15"/>
        <v>0</v>
      </c>
      <c r="R19" s="275">
        <f t="shared" si="15"/>
        <v>0</v>
      </c>
      <c r="S19" s="275">
        <f t="shared" si="15"/>
        <v>0</v>
      </c>
      <c r="T19" s="275">
        <f t="shared" si="15"/>
        <v>0</v>
      </c>
      <c r="U19" s="275">
        <f t="shared" si="15"/>
        <v>0</v>
      </c>
      <c r="V19" s="275">
        <f t="shared" si="15"/>
        <v>0</v>
      </c>
      <c r="W19" s="275">
        <f t="shared" si="15"/>
        <v>0</v>
      </c>
      <c r="X19" s="275">
        <f t="shared" si="15"/>
        <v>859.58</v>
      </c>
      <c r="Y19" s="275">
        <f t="shared" si="15"/>
        <v>859.58</v>
      </c>
      <c r="Z19" s="275">
        <f t="shared" si="15"/>
        <v>0</v>
      </c>
      <c r="AA19" s="275">
        <f t="shared" si="15"/>
        <v>0</v>
      </c>
      <c r="AB19" s="275">
        <f t="shared" si="15"/>
        <v>2098.52</v>
      </c>
      <c r="AC19" s="275">
        <f t="shared" si="15"/>
        <v>0</v>
      </c>
      <c r="AD19" s="275">
        <f t="shared" si="15"/>
        <v>460.9</v>
      </c>
      <c r="AE19" s="275">
        <f t="shared" si="15"/>
        <v>2094.66</v>
      </c>
      <c r="AF19" s="273"/>
    </row>
    <row r="20" spans="1:32" ht="15.75" x14ac:dyDescent="0.25">
      <c r="A20" s="862" t="s">
        <v>391</v>
      </c>
      <c r="B20" s="862"/>
      <c r="C20" s="862"/>
      <c r="D20" s="862"/>
      <c r="E20" s="862"/>
      <c r="F20" s="862"/>
      <c r="G20" s="862"/>
      <c r="H20" s="862"/>
      <c r="I20" s="862"/>
      <c r="J20" s="862"/>
      <c r="K20" s="862"/>
      <c r="L20" s="862"/>
      <c r="M20" s="862"/>
      <c r="N20" s="862"/>
      <c r="O20" s="862"/>
      <c r="P20" s="862"/>
      <c r="Q20" s="862"/>
      <c r="R20" s="862"/>
      <c r="S20" s="862"/>
      <c r="T20" s="862"/>
      <c r="U20" s="862"/>
      <c r="V20" s="862"/>
      <c r="W20" s="862"/>
      <c r="X20" s="862"/>
      <c r="Y20" s="862"/>
      <c r="Z20" s="862"/>
      <c r="AA20" s="862"/>
      <c r="AB20" s="862"/>
      <c r="AC20" s="862"/>
      <c r="AD20" s="863"/>
      <c r="AE20" s="279"/>
      <c r="AF20" s="273"/>
    </row>
    <row r="21" spans="1:32" ht="15.75" x14ac:dyDescent="0.25">
      <c r="A21" s="858" t="s">
        <v>54</v>
      </c>
      <c r="B21" s="858"/>
      <c r="C21" s="858"/>
      <c r="D21" s="858"/>
      <c r="E21" s="858"/>
      <c r="F21" s="858"/>
      <c r="G21" s="858"/>
      <c r="H21" s="858"/>
      <c r="I21" s="858"/>
      <c r="J21" s="858"/>
      <c r="K21" s="858"/>
      <c r="L21" s="858"/>
      <c r="M21" s="858"/>
      <c r="N21" s="858"/>
      <c r="O21" s="858"/>
      <c r="P21" s="858"/>
      <c r="Q21" s="858"/>
      <c r="R21" s="858"/>
      <c r="S21" s="858"/>
      <c r="T21" s="858"/>
      <c r="U21" s="858"/>
      <c r="V21" s="858"/>
      <c r="W21" s="858"/>
      <c r="X21" s="858"/>
      <c r="Y21" s="858"/>
      <c r="Z21" s="858"/>
      <c r="AA21" s="858"/>
      <c r="AB21" s="858"/>
      <c r="AC21" s="858"/>
      <c r="AD21" s="858"/>
      <c r="AE21" s="859"/>
      <c r="AF21" s="279"/>
    </row>
    <row r="22" spans="1:32" ht="15.75" x14ac:dyDescent="0.25">
      <c r="A22" s="266" t="s">
        <v>392</v>
      </c>
      <c r="B22" s="280"/>
      <c r="C22" s="280"/>
      <c r="D22" s="280"/>
      <c r="E22" s="280"/>
      <c r="F22" s="280"/>
      <c r="G22" s="280"/>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1"/>
      <c r="AF22" s="270"/>
    </row>
    <row r="23" spans="1:32" ht="15.75" x14ac:dyDescent="0.25">
      <c r="A23" s="282" t="s">
        <v>31</v>
      </c>
      <c r="B23" s="269">
        <f>B24+B25+B27</f>
        <v>57990.5</v>
      </c>
      <c r="C23" s="269">
        <f t="shared" ref="C23:D23" si="16">C24+C25+C27</f>
        <v>57990.5</v>
      </c>
      <c r="D23" s="269">
        <f t="shared" si="16"/>
        <v>57990.5</v>
      </c>
      <c r="E23" s="269">
        <f>D23</f>
        <v>57990.5</v>
      </c>
      <c r="F23" s="269">
        <f>IFERROR(E23/B23*100,0)</f>
        <v>100</v>
      </c>
      <c r="G23" s="269">
        <f>IFERROR(E23/C23*100,0)</f>
        <v>100</v>
      </c>
      <c r="H23" s="269">
        <f>H24+H25+H27</f>
        <v>0</v>
      </c>
      <c r="I23" s="269">
        <f t="shared" ref="I23:AE23" si="17">I24+I25+I27</f>
        <v>0</v>
      </c>
      <c r="J23" s="269">
        <f t="shared" si="17"/>
        <v>0</v>
      </c>
      <c r="K23" s="269">
        <f t="shared" si="17"/>
        <v>0</v>
      </c>
      <c r="L23" s="269">
        <f t="shared" si="17"/>
        <v>0</v>
      </c>
      <c r="M23" s="269">
        <f t="shared" si="17"/>
        <v>0</v>
      </c>
      <c r="N23" s="269">
        <f t="shared" si="17"/>
        <v>0</v>
      </c>
      <c r="O23" s="269">
        <f t="shared" si="17"/>
        <v>0</v>
      </c>
      <c r="P23" s="269">
        <f t="shared" si="17"/>
        <v>0</v>
      </c>
      <c r="Q23" s="269">
        <f t="shared" si="17"/>
        <v>0</v>
      </c>
      <c r="R23" s="269">
        <f t="shared" si="17"/>
        <v>0</v>
      </c>
      <c r="S23" s="269">
        <f t="shared" si="17"/>
        <v>0</v>
      </c>
      <c r="T23" s="269">
        <f t="shared" si="17"/>
        <v>0</v>
      </c>
      <c r="U23" s="269">
        <f t="shared" si="17"/>
        <v>0</v>
      </c>
      <c r="V23" s="269">
        <f t="shared" si="17"/>
        <v>0</v>
      </c>
      <c r="W23" s="269">
        <f t="shared" si="17"/>
        <v>0</v>
      </c>
      <c r="X23" s="269">
        <f t="shared" si="17"/>
        <v>0</v>
      </c>
      <c r="Y23" s="269">
        <f t="shared" si="17"/>
        <v>0</v>
      </c>
      <c r="Z23" s="269">
        <f t="shared" si="17"/>
        <v>0</v>
      </c>
      <c r="AA23" s="269">
        <f t="shared" si="17"/>
        <v>0</v>
      </c>
      <c r="AB23" s="269">
        <f t="shared" si="17"/>
        <v>0</v>
      </c>
      <c r="AC23" s="269">
        <f t="shared" si="17"/>
        <v>0</v>
      </c>
      <c r="AD23" s="269">
        <f t="shared" si="17"/>
        <v>57990.5</v>
      </c>
      <c r="AE23" s="269">
        <f t="shared" si="17"/>
        <v>57990.5</v>
      </c>
      <c r="AF23" s="270"/>
    </row>
    <row r="24" spans="1:32" ht="15.75" x14ac:dyDescent="0.25">
      <c r="A24" s="271" t="s">
        <v>32</v>
      </c>
      <c r="B24" s="275">
        <f>B30</f>
        <v>46392.4</v>
      </c>
      <c r="C24" s="272">
        <f t="shared" ref="C24:D26" si="18">H24+J24+L24+N24+P24+R24+T24+V24+X24+Z24+AB24+AD24</f>
        <v>46392.4</v>
      </c>
      <c r="D24" s="272">
        <f t="shared" si="18"/>
        <v>46392.4</v>
      </c>
      <c r="E24" s="275">
        <f>D24</f>
        <v>46392.4</v>
      </c>
      <c r="F24" s="272">
        <f t="shared" ref="F24:F39" si="19">IFERROR(E24/B24*100,0)</f>
        <v>100</v>
      </c>
      <c r="G24" s="272">
        <f t="shared" ref="G24:G39" si="20">IFERROR(E24/C24*100,0)</f>
        <v>100</v>
      </c>
      <c r="H24" s="275">
        <f>H30</f>
        <v>0</v>
      </c>
      <c r="I24" s="275">
        <f t="shared" ref="I24:AE27" si="21">I30</f>
        <v>0</v>
      </c>
      <c r="J24" s="275">
        <f t="shared" si="21"/>
        <v>0</v>
      </c>
      <c r="K24" s="275">
        <f>K30</f>
        <v>0</v>
      </c>
      <c r="L24" s="275">
        <f t="shared" si="21"/>
        <v>0</v>
      </c>
      <c r="M24" s="275">
        <f t="shared" si="21"/>
        <v>0</v>
      </c>
      <c r="N24" s="275">
        <f t="shared" si="21"/>
        <v>0</v>
      </c>
      <c r="O24" s="275">
        <f t="shared" si="21"/>
        <v>0</v>
      </c>
      <c r="P24" s="275">
        <f t="shared" si="21"/>
        <v>0</v>
      </c>
      <c r="Q24" s="275">
        <f t="shared" si="21"/>
        <v>0</v>
      </c>
      <c r="R24" s="275">
        <f t="shared" si="21"/>
        <v>0</v>
      </c>
      <c r="S24" s="275">
        <f t="shared" si="21"/>
        <v>0</v>
      </c>
      <c r="T24" s="275">
        <f t="shared" si="21"/>
        <v>0</v>
      </c>
      <c r="U24" s="275">
        <f t="shared" si="21"/>
        <v>0</v>
      </c>
      <c r="V24" s="275">
        <f t="shared" si="21"/>
        <v>0</v>
      </c>
      <c r="W24" s="275">
        <f t="shared" si="21"/>
        <v>0</v>
      </c>
      <c r="X24" s="275">
        <f t="shared" si="21"/>
        <v>0</v>
      </c>
      <c r="Y24" s="275">
        <f t="shared" si="21"/>
        <v>0</v>
      </c>
      <c r="Z24" s="275">
        <f t="shared" si="21"/>
        <v>0</v>
      </c>
      <c r="AA24" s="275">
        <f t="shared" si="21"/>
        <v>0</v>
      </c>
      <c r="AB24" s="275">
        <f t="shared" si="21"/>
        <v>0</v>
      </c>
      <c r="AC24" s="275">
        <f t="shared" si="21"/>
        <v>0</v>
      </c>
      <c r="AD24" s="275">
        <f t="shared" si="21"/>
        <v>46392.4</v>
      </c>
      <c r="AE24" s="275">
        <f t="shared" si="21"/>
        <v>46392.4</v>
      </c>
      <c r="AF24" s="273"/>
    </row>
    <row r="25" spans="1:32" ht="15.75" x14ac:dyDescent="0.25">
      <c r="A25" s="271" t="s">
        <v>33</v>
      </c>
      <c r="B25" s="275">
        <f t="shared" ref="B25:B27" si="22">B31</f>
        <v>11598.1</v>
      </c>
      <c r="C25" s="272">
        <f t="shared" si="18"/>
        <v>11598.1</v>
      </c>
      <c r="D25" s="272">
        <f t="shared" si="18"/>
        <v>11598.1</v>
      </c>
      <c r="E25" s="275">
        <f>D25</f>
        <v>11598.1</v>
      </c>
      <c r="F25" s="272">
        <f t="shared" si="19"/>
        <v>100</v>
      </c>
      <c r="G25" s="272">
        <f t="shared" si="20"/>
        <v>100</v>
      </c>
      <c r="H25" s="275">
        <f>H31</f>
        <v>0</v>
      </c>
      <c r="I25" s="275">
        <f t="shared" si="21"/>
        <v>0</v>
      </c>
      <c r="J25" s="275">
        <f t="shared" si="21"/>
        <v>0</v>
      </c>
      <c r="K25" s="275">
        <f t="shared" si="21"/>
        <v>0</v>
      </c>
      <c r="L25" s="275">
        <f t="shared" si="21"/>
        <v>0</v>
      </c>
      <c r="M25" s="275">
        <f t="shared" si="21"/>
        <v>0</v>
      </c>
      <c r="N25" s="275">
        <f t="shared" si="21"/>
        <v>0</v>
      </c>
      <c r="O25" s="275">
        <f t="shared" si="21"/>
        <v>0</v>
      </c>
      <c r="P25" s="275">
        <f t="shared" si="21"/>
        <v>0</v>
      </c>
      <c r="Q25" s="275">
        <f t="shared" si="21"/>
        <v>0</v>
      </c>
      <c r="R25" s="275">
        <f t="shared" si="21"/>
        <v>0</v>
      </c>
      <c r="S25" s="275">
        <f t="shared" si="21"/>
        <v>0</v>
      </c>
      <c r="T25" s="275">
        <f t="shared" si="21"/>
        <v>0</v>
      </c>
      <c r="U25" s="275">
        <f t="shared" si="21"/>
        <v>0</v>
      </c>
      <c r="V25" s="275">
        <f t="shared" si="21"/>
        <v>0</v>
      </c>
      <c r="W25" s="275">
        <f t="shared" si="21"/>
        <v>0</v>
      </c>
      <c r="X25" s="275">
        <f t="shared" si="21"/>
        <v>0</v>
      </c>
      <c r="Y25" s="275">
        <f t="shared" si="21"/>
        <v>0</v>
      </c>
      <c r="Z25" s="275">
        <f t="shared" si="21"/>
        <v>0</v>
      </c>
      <c r="AA25" s="275">
        <f t="shared" si="21"/>
        <v>0</v>
      </c>
      <c r="AB25" s="275">
        <f t="shared" si="21"/>
        <v>0</v>
      </c>
      <c r="AC25" s="275">
        <f t="shared" si="21"/>
        <v>0</v>
      </c>
      <c r="AD25" s="275">
        <f t="shared" si="21"/>
        <v>11598.1</v>
      </c>
      <c r="AE25" s="275">
        <f t="shared" si="21"/>
        <v>11598.1</v>
      </c>
      <c r="AF25" s="273"/>
    </row>
    <row r="26" spans="1:32" ht="31.5" x14ac:dyDescent="0.25">
      <c r="A26" s="283" t="s">
        <v>174</v>
      </c>
      <c r="B26" s="275">
        <f t="shared" si="22"/>
        <v>11598.1</v>
      </c>
      <c r="C26" s="272">
        <f t="shared" si="18"/>
        <v>11598.1</v>
      </c>
      <c r="D26" s="272">
        <f t="shared" si="18"/>
        <v>11598.1</v>
      </c>
      <c r="E26" s="275">
        <f>D26</f>
        <v>11598.1</v>
      </c>
      <c r="F26" s="272">
        <f t="shared" si="19"/>
        <v>100</v>
      </c>
      <c r="G26" s="272">
        <f t="shared" si="20"/>
        <v>100</v>
      </c>
      <c r="H26" s="272">
        <f>H32</f>
        <v>0</v>
      </c>
      <c r="I26" s="272">
        <f t="shared" si="21"/>
        <v>0</v>
      </c>
      <c r="J26" s="272">
        <f t="shared" si="21"/>
        <v>0</v>
      </c>
      <c r="K26" s="272">
        <f t="shared" si="21"/>
        <v>0</v>
      </c>
      <c r="L26" s="272">
        <f t="shared" si="21"/>
        <v>0</v>
      </c>
      <c r="M26" s="272">
        <f t="shared" si="21"/>
        <v>0</v>
      </c>
      <c r="N26" s="272">
        <f t="shared" si="21"/>
        <v>0</v>
      </c>
      <c r="O26" s="272">
        <f t="shared" si="21"/>
        <v>0</v>
      </c>
      <c r="P26" s="272">
        <f t="shared" si="21"/>
        <v>0</v>
      </c>
      <c r="Q26" s="272">
        <f t="shared" si="21"/>
        <v>0</v>
      </c>
      <c r="R26" s="272">
        <f t="shared" si="21"/>
        <v>0</v>
      </c>
      <c r="S26" s="272">
        <f t="shared" si="21"/>
        <v>0</v>
      </c>
      <c r="T26" s="272">
        <f t="shared" si="21"/>
        <v>0</v>
      </c>
      <c r="U26" s="272">
        <f t="shared" si="21"/>
        <v>0</v>
      </c>
      <c r="V26" s="272">
        <f t="shared" si="21"/>
        <v>0</v>
      </c>
      <c r="W26" s="272">
        <f t="shared" si="21"/>
        <v>0</v>
      </c>
      <c r="X26" s="272">
        <f t="shared" si="21"/>
        <v>0</v>
      </c>
      <c r="Y26" s="272">
        <f t="shared" si="21"/>
        <v>0</v>
      </c>
      <c r="Z26" s="272">
        <f t="shared" si="21"/>
        <v>0</v>
      </c>
      <c r="AA26" s="272">
        <f t="shared" si="21"/>
        <v>0</v>
      </c>
      <c r="AB26" s="272">
        <f t="shared" si="21"/>
        <v>0</v>
      </c>
      <c r="AC26" s="272">
        <f t="shared" si="21"/>
        <v>0</v>
      </c>
      <c r="AD26" s="272">
        <f t="shared" si="21"/>
        <v>11598.1</v>
      </c>
      <c r="AE26" s="272">
        <f t="shared" si="21"/>
        <v>11598.1</v>
      </c>
      <c r="AF26" s="273"/>
    </row>
    <row r="27" spans="1:32" ht="31.5" x14ac:dyDescent="0.25">
      <c r="A27" s="271" t="s">
        <v>374</v>
      </c>
      <c r="B27" s="275">
        <f t="shared" si="22"/>
        <v>0</v>
      </c>
      <c r="C27" s="272">
        <f t="shared" ref="C27:D27" si="23">H27+J27+L27+N27</f>
        <v>0</v>
      </c>
      <c r="D27" s="272">
        <f t="shared" si="23"/>
        <v>0</v>
      </c>
      <c r="E27" s="275">
        <f t="shared" ref="E27" si="24">I27+K27+M27+O27</f>
        <v>0</v>
      </c>
      <c r="F27" s="272">
        <f t="shared" si="19"/>
        <v>0</v>
      </c>
      <c r="G27" s="272">
        <f t="shared" si="20"/>
        <v>0</v>
      </c>
      <c r="H27" s="272">
        <f>H33</f>
        <v>0</v>
      </c>
      <c r="I27" s="272">
        <f t="shared" si="21"/>
        <v>0</v>
      </c>
      <c r="J27" s="272">
        <f t="shared" si="21"/>
        <v>0</v>
      </c>
      <c r="K27" s="272">
        <f t="shared" si="21"/>
        <v>0</v>
      </c>
      <c r="L27" s="272">
        <f t="shared" si="21"/>
        <v>0</v>
      </c>
      <c r="M27" s="272">
        <f t="shared" si="21"/>
        <v>0</v>
      </c>
      <c r="N27" s="272">
        <f t="shared" si="21"/>
        <v>0</v>
      </c>
      <c r="O27" s="272">
        <f t="shared" si="21"/>
        <v>0</v>
      </c>
      <c r="P27" s="272">
        <f t="shared" si="21"/>
        <v>0</v>
      </c>
      <c r="Q27" s="272">
        <f t="shared" si="21"/>
        <v>0</v>
      </c>
      <c r="R27" s="272">
        <f t="shared" si="21"/>
        <v>0</v>
      </c>
      <c r="S27" s="272">
        <f t="shared" si="21"/>
        <v>0</v>
      </c>
      <c r="T27" s="272">
        <f t="shared" si="21"/>
        <v>0</v>
      </c>
      <c r="U27" s="272">
        <f t="shared" si="21"/>
        <v>0</v>
      </c>
      <c r="V27" s="272">
        <f t="shared" si="21"/>
        <v>0</v>
      </c>
      <c r="W27" s="272">
        <f t="shared" si="21"/>
        <v>0</v>
      </c>
      <c r="X27" s="272">
        <f t="shared" si="21"/>
        <v>0</v>
      </c>
      <c r="Y27" s="272">
        <f t="shared" si="21"/>
        <v>0</v>
      </c>
      <c r="Z27" s="272">
        <f t="shared" si="21"/>
        <v>0</v>
      </c>
      <c r="AA27" s="272">
        <f t="shared" si="21"/>
        <v>0</v>
      </c>
      <c r="AB27" s="272">
        <f t="shared" si="21"/>
        <v>0</v>
      </c>
      <c r="AC27" s="272">
        <f t="shared" si="21"/>
        <v>0</v>
      </c>
      <c r="AD27" s="272">
        <f t="shared" si="21"/>
        <v>0</v>
      </c>
      <c r="AE27" s="272">
        <f t="shared" si="21"/>
        <v>0</v>
      </c>
      <c r="AF27" s="273"/>
    </row>
    <row r="28" spans="1:32" ht="15.75" x14ac:dyDescent="0.25">
      <c r="A28" s="266" t="s">
        <v>393</v>
      </c>
      <c r="B28" s="272"/>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84"/>
    </row>
    <row r="29" spans="1:32" ht="126" x14ac:dyDescent="0.25">
      <c r="A29" s="282" t="s">
        <v>31</v>
      </c>
      <c r="B29" s="269">
        <f>B30+B31+B33</f>
        <v>57990.5</v>
      </c>
      <c r="C29" s="269">
        <f t="shared" ref="C29:E29" si="25">C30+C31+C33</f>
        <v>0</v>
      </c>
      <c r="D29" s="269">
        <f>E29</f>
        <v>57990.5</v>
      </c>
      <c r="E29" s="269">
        <f t="shared" si="25"/>
        <v>57990.5</v>
      </c>
      <c r="F29" s="269">
        <f t="shared" si="19"/>
        <v>100</v>
      </c>
      <c r="G29" s="269">
        <f t="shared" si="20"/>
        <v>0</v>
      </c>
      <c r="H29" s="269">
        <f>H30+H31+H33</f>
        <v>0</v>
      </c>
      <c r="I29" s="269">
        <f t="shared" ref="I29:AC29" si="26">I30+I31+I33</f>
        <v>0</v>
      </c>
      <c r="J29" s="269">
        <f t="shared" si="26"/>
        <v>0</v>
      </c>
      <c r="K29" s="269">
        <f t="shared" si="26"/>
        <v>0</v>
      </c>
      <c r="L29" s="269">
        <f t="shared" si="26"/>
        <v>0</v>
      </c>
      <c r="M29" s="269">
        <f t="shared" si="26"/>
        <v>0</v>
      </c>
      <c r="N29" s="269">
        <f t="shared" si="26"/>
        <v>0</v>
      </c>
      <c r="O29" s="269">
        <f t="shared" si="26"/>
        <v>0</v>
      </c>
      <c r="P29" s="269">
        <f t="shared" si="26"/>
        <v>0</v>
      </c>
      <c r="Q29" s="269">
        <f t="shared" si="26"/>
        <v>0</v>
      </c>
      <c r="R29" s="269">
        <f t="shared" si="26"/>
        <v>0</v>
      </c>
      <c r="S29" s="269">
        <f t="shared" si="26"/>
        <v>0</v>
      </c>
      <c r="T29" s="269">
        <f t="shared" si="26"/>
        <v>0</v>
      </c>
      <c r="U29" s="269">
        <f t="shared" si="26"/>
        <v>0</v>
      </c>
      <c r="V29" s="269">
        <f t="shared" si="26"/>
        <v>0</v>
      </c>
      <c r="W29" s="269">
        <f t="shared" si="26"/>
        <v>0</v>
      </c>
      <c r="X29" s="269">
        <f t="shared" si="26"/>
        <v>0</v>
      </c>
      <c r="Y29" s="269">
        <f t="shared" si="26"/>
        <v>0</v>
      </c>
      <c r="Z29" s="269">
        <f t="shared" si="26"/>
        <v>0</v>
      </c>
      <c r="AA29" s="269">
        <f t="shared" si="26"/>
        <v>0</v>
      </c>
      <c r="AB29" s="269">
        <f t="shared" si="26"/>
        <v>0</v>
      </c>
      <c r="AC29" s="269">
        <f t="shared" si="26"/>
        <v>0</v>
      </c>
      <c r="AD29" s="1032">
        <f>AD30+AD31</f>
        <v>57990.5</v>
      </c>
      <c r="AE29" s="1033">
        <f>AE30+AE31</f>
        <v>57990.5</v>
      </c>
      <c r="AF29" s="864" t="s">
        <v>394</v>
      </c>
    </row>
    <row r="30" spans="1:32" ht="15.75" x14ac:dyDescent="0.25">
      <c r="A30" s="271" t="s">
        <v>32</v>
      </c>
      <c r="B30" s="272">
        <f>H30+J30+L30+N30+P30+R30+T30+V30+X30+Z30+AB30+AD30</f>
        <v>46392.4</v>
      </c>
      <c r="C30" s="272">
        <f>H30+J30</f>
        <v>0</v>
      </c>
      <c r="D30" s="272">
        <f>E30</f>
        <v>46392.4</v>
      </c>
      <c r="E30" s="272">
        <f t="shared" ref="E30" si="27">I30+K30+M30+O30+Q30+S30+U30+W30+Y30+AA30+AC30+AE30</f>
        <v>46392.4</v>
      </c>
      <c r="F30" s="272">
        <f t="shared" si="19"/>
        <v>100</v>
      </c>
      <c r="G30" s="272">
        <f t="shared" si="20"/>
        <v>0</v>
      </c>
      <c r="H30" s="275">
        <v>0</v>
      </c>
      <c r="I30" s="275">
        <v>0</v>
      </c>
      <c r="J30" s="275">
        <v>0</v>
      </c>
      <c r="K30" s="275">
        <v>0</v>
      </c>
      <c r="L30" s="275">
        <v>0</v>
      </c>
      <c r="M30" s="275">
        <v>0</v>
      </c>
      <c r="N30" s="275">
        <v>0</v>
      </c>
      <c r="O30" s="275">
        <v>0</v>
      </c>
      <c r="P30" s="275">
        <v>0</v>
      </c>
      <c r="Q30" s="275">
        <v>0</v>
      </c>
      <c r="R30" s="275">
        <v>0</v>
      </c>
      <c r="S30" s="275">
        <v>0</v>
      </c>
      <c r="T30" s="275">
        <v>0</v>
      </c>
      <c r="U30" s="275">
        <v>0</v>
      </c>
      <c r="V30" s="275">
        <v>0</v>
      </c>
      <c r="W30" s="275">
        <v>0</v>
      </c>
      <c r="X30" s="275">
        <v>0</v>
      </c>
      <c r="Y30" s="275">
        <v>0</v>
      </c>
      <c r="Z30" s="275">
        <v>0</v>
      </c>
      <c r="AA30" s="275">
        <v>0</v>
      </c>
      <c r="AB30" s="275">
        <v>0</v>
      </c>
      <c r="AC30" s="275">
        <v>0</v>
      </c>
      <c r="AD30" s="275">
        <v>46392.4</v>
      </c>
      <c r="AE30" s="275">
        <v>46392.4</v>
      </c>
      <c r="AF30" s="865"/>
    </row>
    <row r="31" spans="1:32" ht="15.75" x14ac:dyDescent="0.25">
      <c r="A31" s="271" t="s">
        <v>33</v>
      </c>
      <c r="B31" s="272">
        <f>H31+J31+L31+N31+P31+R31+T31+V31+X31+Z31+AB31+AD31</f>
        <v>11598.1</v>
      </c>
      <c r="C31" s="272">
        <f>H31+J31</f>
        <v>0</v>
      </c>
      <c r="D31" s="272">
        <f>E31</f>
        <v>11598.1</v>
      </c>
      <c r="E31" s="272">
        <f>I31+K31+M31+O31+Q31+S31+U31+W31+Y31+AA31+AC31+AE31</f>
        <v>11598.1</v>
      </c>
      <c r="F31" s="272">
        <f t="shared" si="19"/>
        <v>100</v>
      </c>
      <c r="G31" s="272">
        <f t="shared" si="20"/>
        <v>0</v>
      </c>
      <c r="H31" s="272">
        <v>0</v>
      </c>
      <c r="I31" s="272">
        <v>0</v>
      </c>
      <c r="J31" s="272">
        <v>0</v>
      </c>
      <c r="K31" s="272">
        <v>0</v>
      </c>
      <c r="L31" s="272">
        <v>0</v>
      </c>
      <c r="M31" s="272">
        <v>0</v>
      </c>
      <c r="N31" s="272">
        <v>0</v>
      </c>
      <c r="O31" s="272">
        <v>0</v>
      </c>
      <c r="P31" s="272">
        <v>0</v>
      </c>
      <c r="Q31" s="272">
        <v>0</v>
      </c>
      <c r="R31" s="272">
        <v>0</v>
      </c>
      <c r="S31" s="272">
        <v>0</v>
      </c>
      <c r="T31" s="272">
        <v>0</v>
      </c>
      <c r="U31" s="272">
        <v>0</v>
      </c>
      <c r="V31" s="272">
        <v>0</v>
      </c>
      <c r="W31" s="272">
        <v>0</v>
      </c>
      <c r="X31" s="272">
        <v>0</v>
      </c>
      <c r="Y31" s="272">
        <v>0</v>
      </c>
      <c r="Z31" s="272">
        <v>0</v>
      </c>
      <c r="AA31" s="272">
        <v>0</v>
      </c>
      <c r="AB31" s="272">
        <v>0</v>
      </c>
      <c r="AC31" s="272">
        <v>0</v>
      </c>
      <c r="AD31" s="272">
        <v>11598.1</v>
      </c>
      <c r="AE31" s="272">
        <v>11598.1</v>
      </c>
      <c r="AF31" s="865"/>
    </row>
    <row r="32" spans="1:32" ht="31.5" x14ac:dyDescent="0.25">
      <c r="A32" s="283" t="s">
        <v>174</v>
      </c>
      <c r="B32" s="272">
        <f>H32+J32+L32+N32+P32+R32+T32+V32+X32+Z32+AB32+AD32</f>
        <v>11598.1</v>
      </c>
      <c r="C32" s="272">
        <f>H32+J32</f>
        <v>0</v>
      </c>
      <c r="D32" s="272">
        <f>E32</f>
        <v>11598.1</v>
      </c>
      <c r="E32" s="272">
        <f t="shared" ref="E32:E33" si="28">I32+K32+M32+O32+Q32+S32+U32+W32+Y32+AA32+AC32+AE32</f>
        <v>11598.1</v>
      </c>
      <c r="F32" s="272">
        <f t="shared" si="19"/>
        <v>100</v>
      </c>
      <c r="G32" s="272">
        <f t="shared" si="20"/>
        <v>0</v>
      </c>
      <c r="H32" s="272">
        <v>0</v>
      </c>
      <c r="I32" s="272">
        <v>0</v>
      </c>
      <c r="J32" s="272">
        <v>0</v>
      </c>
      <c r="K32" s="272">
        <v>0</v>
      </c>
      <c r="L32" s="272">
        <v>0</v>
      </c>
      <c r="M32" s="272">
        <v>0</v>
      </c>
      <c r="N32" s="272">
        <v>0</v>
      </c>
      <c r="O32" s="272">
        <v>0</v>
      </c>
      <c r="P32" s="272">
        <v>0</v>
      </c>
      <c r="Q32" s="272">
        <v>0</v>
      </c>
      <c r="R32" s="272">
        <v>0</v>
      </c>
      <c r="S32" s="272">
        <v>0</v>
      </c>
      <c r="T32" s="272">
        <v>0</v>
      </c>
      <c r="U32" s="272">
        <v>0</v>
      </c>
      <c r="V32" s="272">
        <v>0</v>
      </c>
      <c r="W32" s="272">
        <v>0</v>
      </c>
      <c r="X32" s="272">
        <v>0</v>
      </c>
      <c r="Y32" s="272">
        <v>0</v>
      </c>
      <c r="Z32" s="272">
        <v>0</v>
      </c>
      <c r="AA32" s="272">
        <v>0</v>
      </c>
      <c r="AB32" s="272">
        <v>0</v>
      </c>
      <c r="AC32" s="272">
        <v>0</v>
      </c>
      <c r="AD32" s="272">
        <v>11598.1</v>
      </c>
      <c r="AE32" s="272">
        <v>11598.1</v>
      </c>
      <c r="AF32" s="865"/>
    </row>
    <row r="33" spans="1:32" ht="31.5" x14ac:dyDescent="0.25">
      <c r="A33" s="271" t="s">
        <v>374</v>
      </c>
      <c r="B33" s="272">
        <f>H33+J33+L33+N33+P33+R33+T33+V33+X33+Z33+AB33+AD33</f>
        <v>0</v>
      </c>
      <c r="C33" s="272">
        <f>H33+J33</f>
        <v>0</v>
      </c>
      <c r="D33" s="272">
        <f>D36+K36</f>
        <v>46392.4</v>
      </c>
      <c r="E33" s="272">
        <f t="shared" si="28"/>
        <v>0</v>
      </c>
      <c r="F33" s="272">
        <f t="shared" si="19"/>
        <v>0</v>
      </c>
      <c r="G33" s="272">
        <f t="shared" si="20"/>
        <v>0</v>
      </c>
      <c r="H33" s="272">
        <v>0</v>
      </c>
      <c r="I33" s="272">
        <v>0</v>
      </c>
      <c r="J33" s="272">
        <v>0</v>
      </c>
      <c r="K33" s="272">
        <v>0</v>
      </c>
      <c r="L33" s="272">
        <v>0</v>
      </c>
      <c r="M33" s="272">
        <v>0</v>
      </c>
      <c r="N33" s="272">
        <v>0</v>
      </c>
      <c r="O33" s="272">
        <v>0</v>
      </c>
      <c r="P33" s="272">
        <v>0</v>
      </c>
      <c r="Q33" s="272">
        <v>0</v>
      </c>
      <c r="R33" s="272">
        <v>0</v>
      </c>
      <c r="S33" s="272">
        <v>0</v>
      </c>
      <c r="T33" s="272">
        <v>0</v>
      </c>
      <c r="U33" s="272">
        <v>0</v>
      </c>
      <c r="V33" s="272">
        <v>0</v>
      </c>
      <c r="W33" s="272">
        <v>0</v>
      </c>
      <c r="X33" s="272">
        <v>0</v>
      </c>
      <c r="Y33" s="272">
        <v>0</v>
      </c>
      <c r="Z33" s="272">
        <v>0</v>
      </c>
      <c r="AA33" s="272">
        <v>0</v>
      </c>
      <c r="AB33" s="272">
        <v>0</v>
      </c>
      <c r="AC33" s="272">
        <v>0</v>
      </c>
      <c r="AD33" s="272">
        <v>0</v>
      </c>
      <c r="AE33" s="272">
        <v>0</v>
      </c>
      <c r="AF33" s="866"/>
    </row>
    <row r="34" spans="1:32" ht="15.75" x14ac:dyDescent="0.25">
      <c r="A34" s="276" t="s">
        <v>35</v>
      </c>
      <c r="B34" s="272"/>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866"/>
    </row>
    <row r="35" spans="1:32" ht="15.75" x14ac:dyDescent="0.25">
      <c r="A35" s="277" t="s">
        <v>31</v>
      </c>
      <c r="B35" s="269">
        <f>B36+B37+B39</f>
        <v>57990.5</v>
      </c>
      <c r="C35" s="269">
        <f t="shared" ref="C35:E35" si="29">C36+C37+C39</f>
        <v>0</v>
      </c>
      <c r="D35" s="269">
        <f>D36+D37+D39</f>
        <v>57990.5</v>
      </c>
      <c r="E35" s="269">
        <f t="shared" si="29"/>
        <v>57990.5</v>
      </c>
      <c r="F35" s="269">
        <f t="shared" si="19"/>
        <v>100</v>
      </c>
      <c r="G35" s="269">
        <f t="shared" si="20"/>
        <v>0</v>
      </c>
      <c r="H35" s="269">
        <f>H36+H37+H39</f>
        <v>0</v>
      </c>
      <c r="I35" s="269">
        <f t="shared" ref="I35:AE35" si="30">I36+I37+I39</f>
        <v>0</v>
      </c>
      <c r="J35" s="269">
        <f t="shared" si="30"/>
        <v>0</v>
      </c>
      <c r="K35" s="269">
        <f t="shared" si="30"/>
        <v>0</v>
      </c>
      <c r="L35" s="269">
        <f t="shared" si="30"/>
        <v>0</v>
      </c>
      <c r="M35" s="269">
        <f t="shared" si="30"/>
        <v>0</v>
      </c>
      <c r="N35" s="269">
        <f t="shared" si="30"/>
        <v>0</v>
      </c>
      <c r="O35" s="269">
        <f t="shared" si="30"/>
        <v>0</v>
      </c>
      <c r="P35" s="269">
        <f t="shared" si="30"/>
        <v>0</v>
      </c>
      <c r="Q35" s="269">
        <f t="shared" si="30"/>
        <v>0</v>
      </c>
      <c r="R35" s="269">
        <f t="shared" si="30"/>
        <v>0</v>
      </c>
      <c r="S35" s="269">
        <f t="shared" si="30"/>
        <v>0</v>
      </c>
      <c r="T35" s="269">
        <f t="shared" si="30"/>
        <v>0</v>
      </c>
      <c r="U35" s="269">
        <f t="shared" si="30"/>
        <v>0</v>
      </c>
      <c r="V35" s="269">
        <f t="shared" si="30"/>
        <v>0</v>
      </c>
      <c r="W35" s="269">
        <f t="shared" si="30"/>
        <v>0</v>
      </c>
      <c r="X35" s="269">
        <f t="shared" si="30"/>
        <v>0</v>
      </c>
      <c r="Y35" s="269">
        <f t="shared" si="30"/>
        <v>0</v>
      </c>
      <c r="Z35" s="269">
        <f t="shared" si="30"/>
        <v>0</v>
      </c>
      <c r="AA35" s="269">
        <f t="shared" si="30"/>
        <v>0</v>
      </c>
      <c r="AB35" s="269">
        <f t="shared" si="30"/>
        <v>0</v>
      </c>
      <c r="AC35" s="269">
        <f t="shared" si="30"/>
        <v>0</v>
      </c>
      <c r="AD35" s="269">
        <f>AD36+AD37+AD39</f>
        <v>57990.5</v>
      </c>
      <c r="AE35" s="269">
        <f t="shared" si="30"/>
        <v>57990.5</v>
      </c>
      <c r="AF35" s="270"/>
    </row>
    <row r="36" spans="1:32" ht="15.75" x14ac:dyDescent="0.25">
      <c r="A36" s="278" t="s">
        <v>32</v>
      </c>
      <c r="B36" s="272">
        <f t="shared" ref="B36:B39" si="31">H36+J36+L36+N36+P36+R36+T36+V36+X36+Z36+AB36+AD36</f>
        <v>46392.4</v>
      </c>
      <c r="C36" s="272">
        <f>H36+J36</f>
        <v>0</v>
      </c>
      <c r="D36" s="272">
        <f>E36</f>
        <v>46392.4</v>
      </c>
      <c r="E36" s="272">
        <f>AE36</f>
        <v>46392.4</v>
      </c>
      <c r="F36" s="272">
        <f t="shared" si="19"/>
        <v>100</v>
      </c>
      <c r="G36" s="272">
        <f t="shared" si="20"/>
        <v>0</v>
      </c>
      <c r="H36" s="272">
        <f t="shared" ref="H36:AE39" si="32">H24</f>
        <v>0</v>
      </c>
      <c r="I36" s="272">
        <f t="shared" si="32"/>
        <v>0</v>
      </c>
      <c r="J36" s="272">
        <f t="shared" si="32"/>
        <v>0</v>
      </c>
      <c r="K36" s="272">
        <f t="shared" si="32"/>
        <v>0</v>
      </c>
      <c r="L36" s="272">
        <f t="shared" si="32"/>
        <v>0</v>
      </c>
      <c r="M36" s="272">
        <f t="shared" si="32"/>
        <v>0</v>
      </c>
      <c r="N36" s="272">
        <f t="shared" si="32"/>
        <v>0</v>
      </c>
      <c r="O36" s="272">
        <f t="shared" si="32"/>
        <v>0</v>
      </c>
      <c r="P36" s="272">
        <f t="shared" si="32"/>
        <v>0</v>
      </c>
      <c r="Q36" s="272">
        <f t="shared" si="32"/>
        <v>0</v>
      </c>
      <c r="R36" s="272">
        <f t="shared" si="32"/>
        <v>0</v>
      </c>
      <c r="S36" s="272">
        <f t="shared" si="32"/>
        <v>0</v>
      </c>
      <c r="T36" s="272">
        <f t="shared" si="32"/>
        <v>0</v>
      </c>
      <c r="U36" s="272">
        <f t="shared" si="32"/>
        <v>0</v>
      </c>
      <c r="V36" s="272">
        <f t="shared" si="32"/>
        <v>0</v>
      </c>
      <c r="W36" s="272">
        <f t="shared" si="32"/>
        <v>0</v>
      </c>
      <c r="X36" s="272">
        <f t="shared" si="32"/>
        <v>0</v>
      </c>
      <c r="Y36" s="272">
        <f t="shared" si="32"/>
        <v>0</v>
      </c>
      <c r="Z36" s="272">
        <f t="shared" si="32"/>
        <v>0</v>
      </c>
      <c r="AA36" s="272">
        <f t="shared" si="32"/>
        <v>0</v>
      </c>
      <c r="AB36" s="272">
        <f t="shared" si="32"/>
        <v>0</v>
      </c>
      <c r="AC36" s="272">
        <f t="shared" si="32"/>
        <v>0</v>
      </c>
      <c r="AD36" s="272">
        <f t="shared" si="32"/>
        <v>46392.4</v>
      </c>
      <c r="AE36" s="272">
        <v>46392.4</v>
      </c>
      <c r="AF36" s="273"/>
    </row>
    <row r="37" spans="1:32" ht="15.75" x14ac:dyDescent="0.25">
      <c r="A37" s="278" t="s">
        <v>33</v>
      </c>
      <c r="B37" s="272">
        <f>H37+J37+L37+N37+P37+R37+T37+V37+X37+Z37+AB37+AD37</f>
        <v>11598.1</v>
      </c>
      <c r="C37" s="272">
        <f>H37+J37</f>
        <v>0</v>
      </c>
      <c r="D37" s="272">
        <f>E37</f>
        <v>11598.1</v>
      </c>
      <c r="E37" s="272">
        <f>AE37</f>
        <v>11598.1</v>
      </c>
      <c r="F37" s="272">
        <f t="shared" si="19"/>
        <v>100</v>
      </c>
      <c r="G37" s="272">
        <f t="shared" si="20"/>
        <v>0</v>
      </c>
      <c r="H37" s="272">
        <f t="shared" si="32"/>
        <v>0</v>
      </c>
      <c r="I37" s="272">
        <f t="shared" si="32"/>
        <v>0</v>
      </c>
      <c r="J37" s="272">
        <f t="shared" si="32"/>
        <v>0</v>
      </c>
      <c r="K37" s="272">
        <f t="shared" si="32"/>
        <v>0</v>
      </c>
      <c r="L37" s="272">
        <f t="shared" si="32"/>
        <v>0</v>
      </c>
      <c r="M37" s="272">
        <f t="shared" si="32"/>
        <v>0</v>
      </c>
      <c r="N37" s="272">
        <f t="shared" si="32"/>
        <v>0</v>
      </c>
      <c r="O37" s="272">
        <f t="shared" si="32"/>
        <v>0</v>
      </c>
      <c r="P37" s="272">
        <f t="shared" si="32"/>
        <v>0</v>
      </c>
      <c r="Q37" s="272">
        <f t="shared" si="32"/>
        <v>0</v>
      </c>
      <c r="R37" s="272">
        <f t="shared" si="32"/>
        <v>0</v>
      </c>
      <c r="S37" s="272">
        <f t="shared" si="32"/>
        <v>0</v>
      </c>
      <c r="T37" s="272">
        <f t="shared" si="32"/>
        <v>0</v>
      </c>
      <c r="U37" s="272">
        <f t="shared" si="32"/>
        <v>0</v>
      </c>
      <c r="V37" s="272">
        <f t="shared" si="32"/>
        <v>0</v>
      </c>
      <c r="W37" s="272">
        <f t="shared" si="32"/>
        <v>0</v>
      </c>
      <c r="X37" s="272">
        <f t="shared" si="32"/>
        <v>0</v>
      </c>
      <c r="Y37" s="272">
        <f t="shared" si="32"/>
        <v>0</v>
      </c>
      <c r="Z37" s="272">
        <f t="shared" si="32"/>
        <v>0</v>
      </c>
      <c r="AA37" s="272">
        <f t="shared" si="32"/>
        <v>0</v>
      </c>
      <c r="AB37" s="272">
        <f t="shared" si="32"/>
        <v>0</v>
      </c>
      <c r="AC37" s="272">
        <f t="shared" si="32"/>
        <v>0</v>
      </c>
      <c r="AD37" s="272">
        <f>AD25</f>
        <v>11598.1</v>
      </c>
      <c r="AE37" s="272">
        <v>11598.1</v>
      </c>
      <c r="AF37" s="273"/>
    </row>
    <row r="38" spans="1:32" ht="31.5" x14ac:dyDescent="0.25">
      <c r="A38" s="285" t="s">
        <v>174</v>
      </c>
      <c r="B38" s="272">
        <f t="shared" si="31"/>
        <v>11598.1</v>
      </c>
      <c r="C38" s="272">
        <f>H38+J38</f>
        <v>0</v>
      </c>
      <c r="D38" s="272">
        <f>E38</f>
        <v>11598.1</v>
      </c>
      <c r="E38" s="272">
        <f>AE38</f>
        <v>11598.1</v>
      </c>
      <c r="F38" s="272">
        <f t="shared" si="19"/>
        <v>100</v>
      </c>
      <c r="G38" s="272">
        <f t="shared" si="20"/>
        <v>0</v>
      </c>
      <c r="H38" s="272">
        <f t="shared" si="32"/>
        <v>0</v>
      </c>
      <c r="I38" s="272">
        <f t="shared" si="32"/>
        <v>0</v>
      </c>
      <c r="J38" s="272">
        <f t="shared" si="32"/>
        <v>0</v>
      </c>
      <c r="K38" s="272">
        <f t="shared" si="32"/>
        <v>0</v>
      </c>
      <c r="L38" s="272">
        <f t="shared" si="32"/>
        <v>0</v>
      </c>
      <c r="M38" s="272">
        <f t="shared" si="32"/>
        <v>0</v>
      </c>
      <c r="N38" s="272">
        <f t="shared" si="32"/>
        <v>0</v>
      </c>
      <c r="O38" s="272">
        <f t="shared" si="32"/>
        <v>0</v>
      </c>
      <c r="P38" s="272">
        <f t="shared" si="32"/>
        <v>0</v>
      </c>
      <c r="Q38" s="272">
        <f t="shared" si="32"/>
        <v>0</v>
      </c>
      <c r="R38" s="272">
        <f t="shared" si="32"/>
        <v>0</v>
      </c>
      <c r="S38" s="272">
        <f t="shared" si="32"/>
        <v>0</v>
      </c>
      <c r="T38" s="272">
        <f t="shared" si="32"/>
        <v>0</v>
      </c>
      <c r="U38" s="272">
        <f t="shared" si="32"/>
        <v>0</v>
      </c>
      <c r="V38" s="272">
        <f t="shared" si="32"/>
        <v>0</v>
      </c>
      <c r="W38" s="272">
        <f t="shared" si="32"/>
        <v>0</v>
      </c>
      <c r="X38" s="272">
        <f t="shared" si="32"/>
        <v>0</v>
      </c>
      <c r="Y38" s="272">
        <f t="shared" si="32"/>
        <v>0</v>
      </c>
      <c r="Z38" s="272">
        <f t="shared" si="32"/>
        <v>0</v>
      </c>
      <c r="AA38" s="272">
        <f t="shared" si="32"/>
        <v>0</v>
      </c>
      <c r="AB38" s="272">
        <f t="shared" si="32"/>
        <v>0</v>
      </c>
      <c r="AC38" s="272">
        <f t="shared" si="32"/>
        <v>0</v>
      </c>
      <c r="AD38" s="272">
        <f t="shared" si="32"/>
        <v>11598.1</v>
      </c>
      <c r="AE38" s="272">
        <f t="shared" si="32"/>
        <v>11598.1</v>
      </c>
      <c r="AF38" s="273"/>
    </row>
    <row r="39" spans="1:32" ht="31.5" x14ac:dyDescent="0.25">
      <c r="A39" s="278" t="s">
        <v>374</v>
      </c>
      <c r="B39" s="272">
        <f t="shared" si="31"/>
        <v>0</v>
      </c>
      <c r="C39" s="272">
        <f>H39+J39</f>
        <v>0</v>
      </c>
      <c r="D39" s="272">
        <f>D42+K42</f>
        <v>0</v>
      </c>
      <c r="E39" s="272">
        <f t="shared" ref="E39" si="33">E27</f>
        <v>0</v>
      </c>
      <c r="F39" s="272">
        <f t="shared" si="19"/>
        <v>0</v>
      </c>
      <c r="G39" s="272">
        <f t="shared" si="20"/>
        <v>0</v>
      </c>
      <c r="H39" s="272">
        <f t="shared" si="32"/>
        <v>0</v>
      </c>
      <c r="I39" s="272">
        <f t="shared" si="32"/>
        <v>0</v>
      </c>
      <c r="J39" s="272">
        <f t="shared" si="32"/>
        <v>0</v>
      </c>
      <c r="K39" s="272">
        <f t="shared" si="32"/>
        <v>0</v>
      </c>
      <c r="L39" s="272">
        <f t="shared" si="32"/>
        <v>0</v>
      </c>
      <c r="M39" s="272">
        <f t="shared" si="32"/>
        <v>0</v>
      </c>
      <c r="N39" s="272">
        <f t="shared" si="32"/>
        <v>0</v>
      </c>
      <c r="O39" s="272">
        <f t="shared" si="32"/>
        <v>0</v>
      </c>
      <c r="P39" s="272">
        <f t="shared" si="32"/>
        <v>0</v>
      </c>
      <c r="Q39" s="272">
        <f t="shared" si="32"/>
        <v>0</v>
      </c>
      <c r="R39" s="272">
        <f t="shared" si="32"/>
        <v>0</v>
      </c>
      <c r="S39" s="272">
        <f t="shared" si="32"/>
        <v>0</v>
      </c>
      <c r="T39" s="272">
        <f t="shared" si="32"/>
        <v>0</v>
      </c>
      <c r="U39" s="272">
        <f t="shared" si="32"/>
        <v>0</v>
      </c>
      <c r="V39" s="272">
        <f t="shared" si="32"/>
        <v>0</v>
      </c>
      <c r="W39" s="272">
        <f t="shared" si="32"/>
        <v>0</v>
      </c>
      <c r="X39" s="272">
        <f t="shared" si="32"/>
        <v>0</v>
      </c>
      <c r="Y39" s="272">
        <f t="shared" si="32"/>
        <v>0</v>
      </c>
      <c r="Z39" s="272">
        <f t="shared" si="32"/>
        <v>0</v>
      </c>
      <c r="AA39" s="272">
        <f t="shared" si="32"/>
        <v>0</v>
      </c>
      <c r="AB39" s="272">
        <f t="shared" si="32"/>
        <v>0</v>
      </c>
      <c r="AC39" s="272">
        <f t="shared" si="32"/>
        <v>0</v>
      </c>
      <c r="AD39" s="272">
        <f t="shared" si="32"/>
        <v>0</v>
      </c>
      <c r="AE39" s="272">
        <f t="shared" si="32"/>
        <v>0</v>
      </c>
      <c r="AF39" s="273"/>
    </row>
    <row r="40" spans="1:32" ht="15.75" x14ac:dyDescent="0.25">
      <c r="A40" s="862" t="s">
        <v>587</v>
      </c>
      <c r="B40" s="862"/>
      <c r="C40" s="862"/>
      <c r="D40" s="862"/>
      <c r="E40" s="862"/>
      <c r="F40" s="862"/>
      <c r="G40" s="862"/>
      <c r="H40" s="862"/>
      <c r="I40" s="862"/>
      <c r="J40" s="862"/>
      <c r="K40" s="862"/>
      <c r="L40" s="862"/>
      <c r="M40" s="862"/>
      <c r="N40" s="862"/>
      <c r="O40" s="862"/>
      <c r="P40" s="862"/>
      <c r="Q40" s="862"/>
      <c r="R40" s="862"/>
      <c r="S40" s="862"/>
      <c r="T40" s="862"/>
      <c r="U40" s="862"/>
      <c r="V40" s="862"/>
      <c r="W40" s="862"/>
      <c r="X40" s="862"/>
      <c r="Y40" s="862"/>
      <c r="Z40" s="862"/>
      <c r="AA40" s="862"/>
      <c r="AB40" s="862"/>
      <c r="AC40" s="862"/>
      <c r="AD40" s="863"/>
      <c r="AE40" s="279"/>
      <c r="AF40" s="279"/>
    </row>
    <row r="41" spans="1:32" ht="15.75" x14ac:dyDescent="0.25">
      <c r="A41" s="858" t="s">
        <v>54</v>
      </c>
      <c r="B41" s="858"/>
      <c r="C41" s="858"/>
      <c r="D41" s="858"/>
      <c r="E41" s="858"/>
      <c r="F41" s="858"/>
      <c r="G41" s="858"/>
      <c r="H41" s="858"/>
      <c r="I41" s="858"/>
      <c r="J41" s="858"/>
      <c r="K41" s="858"/>
      <c r="L41" s="858"/>
      <c r="M41" s="858"/>
      <c r="N41" s="858"/>
      <c r="O41" s="858"/>
      <c r="P41" s="858"/>
      <c r="Q41" s="858"/>
      <c r="R41" s="858"/>
      <c r="S41" s="858"/>
      <c r="T41" s="858"/>
      <c r="U41" s="858"/>
      <c r="V41" s="858"/>
      <c r="W41" s="858"/>
      <c r="X41" s="858"/>
      <c r="Y41" s="858"/>
      <c r="Z41" s="858"/>
      <c r="AA41" s="858"/>
      <c r="AB41" s="858"/>
      <c r="AC41" s="858"/>
      <c r="AD41" s="858"/>
      <c r="AE41" s="859"/>
      <c r="AF41" s="279"/>
    </row>
    <row r="42" spans="1:32" ht="15.75" x14ac:dyDescent="0.25">
      <c r="A42" s="266" t="s">
        <v>395</v>
      </c>
      <c r="B42" s="280"/>
      <c r="C42" s="280"/>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281"/>
      <c r="AF42" s="279"/>
    </row>
    <row r="43" spans="1:32" ht="15.75" x14ac:dyDescent="0.25">
      <c r="A43" s="268" t="s">
        <v>31</v>
      </c>
      <c r="B43" s="269">
        <f>B44+B45+B47</f>
        <v>142599.09130999999</v>
      </c>
      <c r="C43" s="269">
        <f>C44+C45+C47</f>
        <v>142599.09130999999</v>
      </c>
      <c r="D43" s="269">
        <f t="shared" ref="D43" si="34">D44+D45+D47</f>
        <v>131483.71194000001</v>
      </c>
      <c r="E43" s="269">
        <f>E44+E45+E47</f>
        <v>131483.71194000001</v>
      </c>
      <c r="F43" s="269">
        <f>IFERROR(E43/B43*100,0)</f>
        <v>92.205154136756761</v>
      </c>
      <c r="G43" s="269">
        <f t="shared" ref="G43:G76" si="35">IFERROR(E43/C43*100,0)</f>
        <v>92.205154136756761</v>
      </c>
      <c r="H43" s="269">
        <f>H44+H45+H47</f>
        <v>0</v>
      </c>
      <c r="I43" s="269">
        <f t="shared" ref="I43:AC43" si="36">I44+I45+I47</f>
        <v>0</v>
      </c>
      <c r="J43" s="269">
        <f t="shared" si="36"/>
        <v>2609.3220000000001</v>
      </c>
      <c r="K43" s="269">
        <f t="shared" si="36"/>
        <v>0</v>
      </c>
      <c r="L43" s="269">
        <f t="shared" si="36"/>
        <v>30792.012999999999</v>
      </c>
      <c r="M43" s="269">
        <f t="shared" si="36"/>
        <v>0</v>
      </c>
      <c r="N43" s="269">
        <f t="shared" si="36"/>
        <v>0</v>
      </c>
      <c r="O43" s="269">
        <f t="shared" si="36"/>
        <v>0</v>
      </c>
      <c r="P43" s="269">
        <f t="shared" si="36"/>
        <v>0</v>
      </c>
      <c r="Q43" s="269">
        <f t="shared" si="36"/>
        <v>0</v>
      </c>
      <c r="R43" s="269">
        <f>R44+R45+R47</f>
        <v>1847.1479999999999</v>
      </c>
      <c r="S43" s="269">
        <f t="shared" si="36"/>
        <v>0</v>
      </c>
      <c r="T43" s="269">
        <f t="shared" si="36"/>
        <v>16900.631939999999</v>
      </c>
      <c r="U43" s="269">
        <f t="shared" si="36"/>
        <v>16900.631939999999</v>
      </c>
      <c r="V43" s="269">
        <f t="shared" si="36"/>
        <v>469.4</v>
      </c>
      <c r="W43" s="269">
        <f t="shared" si="36"/>
        <v>31365.57</v>
      </c>
      <c r="X43" s="269">
        <f t="shared" si="36"/>
        <v>118</v>
      </c>
      <c r="Y43" s="269">
        <f t="shared" si="36"/>
        <v>118</v>
      </c>
      <c r="Z43" s="269">
        <f t="shared" si="36"/>
        <v>37496.25</v>
      </c>
      <c r="AA43" s="269">
        <f t="shared" si="36"/>
        <v>37496.25</v>
      </c>
      <c r="AB43" s="269">
        <f t="shared" si="36"/>
        <v>0</v>
      </c>
      <c r="AC43" s="269">
        <f t="shared" si="36"/>
        <v>0</v>
      </c>
      <c r="AD43" s="269">
        <f>AD44+AD45+AD47</f>
        <v>52366.326369999995</v>
      </c>
      <c r="AE43" s="269">
        <f>AE44+AE45+AE47+AE46</f>
        <v>47343.93</v>
      </c>
      <c r="AF43" s="270"/>
    </row>
    <row r="44" spans="1:32" ht="15.75" x14ac:dyDescent="0.25">
      <c r="A44" s="271" t="s">
        <v>32</v>
      </c>
      <c r="B44" s="272">
        <f>H44+J44+L44+N44+P44+R44+T44+V44+X44+Z44+AB44+AD44</f>
        <v>76576.796340000001</v>
      </c>
      <c r="C44" s="272">
        <f>H44+J44+L44+P44+R44+T44+V44+X44+Z44+AB44+AD44</f>
        <v>76576.796340000001</v>
      </c>
      <c r="D44" s="272">
        <f>I44+K44+M44+Q44+S44+U44+W44+Y44+AA44+AC44+AE44</f>
        <v>76351.846340000004</v>
      </c>
      <c r="E44" s="272">
        <f>D44</f>
        <v>76351.846340000004</v>
      </c>
      <c r="F44" s="272">
        <f t="shared" ref="F44:F73" si="37">IFERROR(E44/B44*100,0)</f>
        <v>99.706242607746049</v>
      </c>
      <c r="G44" s="272">
        <f t="shared" si="35"/>
        <v>99.706242607746049</v>
      </c>
      <c r="H44" s="272">
        <f>H50</f>
        <v>0</v>
      </c>
      <c r="I44" s="272">
        <f t="shared" ref="I44:AE47" si="38">I50</f>
        <v>0</v>
      </c>
      <c r="J44" s="272">
        <f t="shared" si="38"/>
        <v>0</v>
      </c>
      <c r="K44" s="272">
        <f t="shared" si="38"/>
        <v>0</v>
      </c>
      <c r="L44" s="272">
        <f t="shared" si="38"/>
        <v>0</v>
      </c>
      <c r="M44" s="272">
        <f t="shared" si="38"/>
        <v>0</v>
      </c>
      <c r="N44" s="272">
        <f t="shared" si="38"/>
        <v>0</v>
      </c>
      <c r="O44" s="272">
        <f t="shared" si="38"/>
        <v>0</v>
      </c>
      <c r="P44" s="272">
        <f t="shared" si="38"/>
        <v>0</v>
      </c>
      <c r="Q44" s="272">
        <f t="shared" si="38"/>
        <v>0</v>
      </c>
      <c r="R44" s="272">
        <f>R50+R54+R62</f>
        <v>0</v>
      </c>
      <c r="S44" s="272">
        <f>S50+S54+S62</f>
        <v>0</v>
      </c>
      <c r="T44" s="272">
        <f>T50+T56+T62</f>
        <v>7657.67634</v>
      </c>
      <c r="U44" s="272">
        <f t="shared" ref="U44:AD45" si="39">U50+U56+U62</f>
        <v>7657.67634</v>
      </c>
      <c r="V44" s="272">
        <f t="shared" si="39"/>
        <v>0</v>
      </c>
      <c r="W44" s="272">
        <f t="shared" si="39"/>
        <v>0</v>
      </c>
      <c r="X44" s="272">
        <f t="shared" si="39"/>
        <v>0</v>
      </c>
      <c r="Y44" s="272">
        <f t="shared" si="39"/>
        <v>0</v>
      </c>
      <c r="Z44" s="272">
        <f t="shared" si="39"/>
        <v>35621.440000000002</v>
      </c>
      <c r="AA44" s="272">
        <f t="shared" si="39"/>
        <v>35621.440000000002</v>
      </c>
      <c r="AB44" s="272">
        <f t="shared" si="39"/>
        <v>0</v>
      </c>
      <c r="AC44" s="272">
        <f t="shared" si="39"/>
        <v>0</v>
      </c>
      <c r="AD44" s="272">
        <f t="shared" si="39"/>
        <v>33297.68</v>
      </c>
      <c r="AE44" s="272">
        <f>AE56</f>
        <v>33072.730000000003</v>
      </c>
      <c r="AF44" s="273"/>
    </row>
    <row r="45" spans="1:32" ht="15.75" x14ac:dyDescent="0.25">
      <c r="A45" s="271" t="s">
        <v>33</v>
      </c>
      <c r="B45" s="272">
        <f>H45+J45+L45+N45+P45+R45+T45+V45+X45+Z45+AB45+AD45</f>
        <v>4799.6955999999991</v>
      </c>
      <c r="C45" s="272">
        <f>H45+J45+L45+P45+R45+T45+V45+X45+Z45+AD45</f>
        <v>4799.6955999999991</v>
      </c>
      <c r="D45" s="272">
        <f>I45+K45+M45+Q45+S45+U45+W45+Y45+AA45+AE45</f>
        <v>4784.3356000000003</v>
      </c>
      <c r="E45" s="272">
        <f>D45</f>
        <v>4784.3356000000003</v>
      </c>
      <c r="F45" s="272">
        <f t="shared" si="37"/>
        <v>99.679979705379679</v>
      </c>
      <c r="G45" s="272">
        <f t="shared" si="35"/>
        <v>99.679979705379679</v>
      </c>
      <c r="H45" s="272">
        <f t="shared" ref="H45:Q47" si="40">H51</f>
        <v>0</v>
      </c>
      <c r="I45" s="272">
        <f t="shared" si="40"/>
        <v>0</v>
      </c>
      <c r="J45" s="272">
        <f t="shared" si="40"/>
        <v>0</v>
      </c>
      <c r="K45" s="272">
        <f t="shared" si="40"/>
        <v>0</v>
      </c>
      <c r="L45" s="272">
        <f t="shared" si="40"/>
        <v>0</v>
      </c>
      <c r="M45" s="272">
        <f t="shared" si="40"/>
        <v>0</v>
      </c>
      <c r="N45" s="272">
        <f t="shared" si="40"/>
        <v>0</v>
      </c>
      <c r="O45" s="272">
        <f t="shared" si="40"/>
        <v>0</v>
      </c>
      <c r="P45" s="272">
        <f t="shared" si="40"/>
        <v>0</v>
      </c>
      <c r="Q45" s="272">
        <f t="shared" si="40"/>
        <v>0</v>
      </c>
      <c r="R45" s="272">
        <f>R51+R57+R63</f>
        <v>107.6</v>
      </c>
      <c r="S45" s="272">
        <f>S51+S57+S63</f>
        <v>0</v>
      </c>
      <c r="T45" s="272">
        <f>T51+T57+T63</f>
        <v>403.03559999999999</v>
      </c>
      <c r="U45" s="272">
        <f t="shared" si="39"/>
        <v>403.03559999999999</v>
      </c>
      <c r="V45" s="272">
        <f t="shared" si="39"/>
        <v>469.4</v>
      </c>
      <c r="W45" s="272">
        <f t="shared" si="39"/>
        <v>573.55999999999995</v>
      </c>
      <c r="X45" s="272">
        <f>X51+X57+X63</f>
        <v>118</v>
      </c>
      <c r="Y45" s="272">
        <f t="shared" si="39"/>
        <v>118</v>
      </c>
      <c r="Z45" s="272">
        <f t="shared" si="39"/>
        <v>1874.81</v>
      </c>
      <c r="AA45" s="272">
        <f t="shared" si="39"/>
        <v>1874.81</v>
      </c>
      <c r="AB45" s="272">
        <f t="shared" si="39"/>
        <v>0</v>
      </c>
      <c r="AC45" s="272">
        <f t="shared" si="39"/>
        <v>0</v>
      </c>
      <c r="AD45" s="272">
        <f t="shared" si="39"/>
        <v>1826.85</v>
      </c>
      <c r="AE45" s="272">
        <v>1814.93</v>
      </c>
      <c r="AF45" s="273"/>
    </row>
    <row r="46" spans="1:32" ht="31.5" x14ac:dyDescent="0.25">
      <c r="A46" s="283" t="s">
        <v>174</v>
      </c>
      <c r="B46" s="272">
        <f>H46+J46+L46+N46+P46+R46+T46+V46+X46+Z46+AB46+AD46</f>
        <v>4030.3955999999998</v>
      </c>
      <c r="C46" s="272">
        <f>H46+J46+L46+N46+P46+R46+T46+V46+X46+Z46+AB46+AD46</f>
        <v>4030.3955999999998</v>
      </c>
      <c r="D46" s="272">
        <f>I46+K46+M46+O46+Q46+S46+U46+W46+Y46+AA46+AE46</f>
        <v>4018.52</v>
      </c>
      <c r="E46" s="272">
        <f>D46</f>
        <v>4018.52</v>
      </c>
      <c r="F46" s="272">
        <f t="shared" si="37"/>
        <v>99.705349023306795</v>
      </c>
      <c r="G46" s="272">
        <f t="shared" si="35"/>
        <v>99.705349023306795</v>
      </c>
      <c r="H46" s="272">
        <f t="shared" si="40"/>
        <v>0</v>
      </c>
      <c r="I46" s="272">
        <f t="shared" si="40"/>
        <v>0</v>
      </c>
      <c r="J46" s="272">
        <f t="shared" si="40"/>
        <v>0</v>
      </c>
      <c r="K46" s="272">
        <f t="shared" si="40"/>
        <v>0</v>
      </c>
      <c r="L46" s="272">
        <f t="shared" si="40"/>
        <v>0</v>
      </c>
      <c r="M46" s="272">
        <f t="shared" si="40"/>
        <v>0</v>
      </c>
      <c r="N46" s="272">
        <f t="shared" si="40"/>
        <v>0</v>
      </c>
      <c r="O46" s="272">
        <f t="shared" si="40"/>
        <v>0</v>
      </c>
      <c r="P46" s="272">
        <f t="shared" si="40"/>
        <v>0</v>
      </c>
      <c r="Q46" s="272">
        <f t="shared" si="40"/>
        <v>0</v>
      </c>
      <c r="R46" s="272">
        <f>R52+R58+R64</f>
        <v>0</v>
      </c>
      <c r="S46" s="272">
        <f t="shared" ref="S46:AD47" si="41">S52+S58+S64</f>
        <v>0</v>
      </c>
      <c r="T46" s="272">
        <f t="shared" si="41"/>
        <v>403.03559999999999</v>
      </c>
      <c r="U46" s="272">
        <f t="shared" si="41"/>
        <v>403.04</v>
      </c>
      <c r="V46" s="272">
        <f t="shared" si="41"/>
        <v>0</v>
      </c>
      <c r="W46" s="272">
        <f t="shared" si="41"/>
        <v>0</v>
      </c>
      <c r="X46" s="272">
        <f t="shared" si="41"/>
        <v>0</v>
      </c>
      <c r="Y46" s="272">
        <f t="shared" si="41"/>
        <v>0</v>
      </c>
      <c r="Z46" s="272">
        <f t="shared" si="41"/>
        <v>1874.81</v>
      </c>
      <c r="AA46" s="272">
        <f t="shared" si="41"/>
        <v>1874.81</v>
      </c>
      <c r="AB46" s="272">
        <f t="shared" si="41"/>
        <v>0</v>
      </c>
      <c r="AC46" s="272">
        <f t="shared" si="41"/>
        <v>0</v>
      </c>
      <c r="AD46" s="272">
        <f t="shared" si="41"/>
        <v>1752.55</v>
      </c>
      <c r="AE46" s="272">
        <v>1740.67</v>
      </c>
      <c r="AF46" s="273"/>
    </row>
    <row r="47" spans="1:32" ht="31.5" x14ac:dyDescent="0.25">
      <c r="A47" s="271" t="s">
        <v>374</v>
      </c>
      <c r="B47" s="272">
        <f>H47+J47+L47+N47+P47+R47+T47+V47+X47+Z47+AB47+AD47</f>
        <v>61222.599369999996</v>
      </c>
      <c r="C47" s="272">
        <f>H47+J47+L47+N47+P47+R47+T47+AD47</f>
        <v>61222.599369999996</v>
      </c>
      <c r="D47" s="272">
        <f>E47</f>
        <v>50347.53</v>
      </c>
      <c r="E47" s="272">
        <f>I47+K47+M47+O47+Q47+S47+U47+W47+Y47+AA47+AC47+AE47</f>
        <v>50347.53</v>
      </c>
      <c r="F47" s="272">
        <f t="shared" si="37"/>
        <v>82.236838223290235</v>
      </c>
      <c r="G47" s="272">
        <f t="shared" si="35"/>
        <v>82.236838223290235</v>
      </c>
      <c r="H47" s="272">
        <f t="shared" si="40"/>
        <v>0</v>
      </c>
      <c r="I47" s="272">
        <f t="shared" si="40"/>
        <v>0</v>
      </c>
      <c r="J47" s="272">
        <f t="shared" si="40"/>
        <v>2609.3220000000001</v>
      </c>
      <c r="K47" s="272">
        <f t="shared" si="40"/>
        <v>0</v>
      </c>
      <c r="L47" s="272">
        <f t="shared" si="40"/>
        <v>30792.012999999999</v>
      </c>
      <c r="M47" s="272">
        <f t="shared" si="40"/>
        <v>0</v>
      </c>
      <c r="N47" s="272">
        <f t="shared" si="40"/>
        <v>0</v>
      </c>
      <c r="O47" s="272">
        <f t="shared" si="40"/>
        <v>0</v>
      </c>
      <c r="P47" s="272">
        <f t="shared" si="40"/>
        <v>0</v>
      </c>
      <c r="Q47" s="272">
        <f t="shared" si="40"/>
        <v>0</v>
      </c>
      <c r="R47" s="272">
        <f>R53+R59+R65</f>
        <v>1739.548</v>
      </c>
      <c r="S47" s="272">
        <f t="shared" si="41"/>
        <v>0</v>
      </c>
      <c r="T47" s="272">
        <f t="shared" si="41"/>
        <v>8839.92</v>
      </c>
      <c r="U47" s="272">
        <f t="shared" si="41"/>
        <v>8839.92</v>
      </c>
      <c r="V47" s="272">
        <f t="shared" si="41"/>
        <v>0</v>
      </c>
      <c r="W47" s="272">
        <f t="shared" si="41"/>
        <v>30792.01</v>
      </c>
      <c r="X47" s="272">
        <f t="shared" si="41"/>
        <v>0</v>
      </c>
      <c r="Y47" s="272">
        <f t="shared" si="41"/>
        <v>0</v>
      </c>
      <c r="Z47" s="272">
        <f t="shared" si="41"/>
        <v>0</v>
      </c>
      <c r="AA47" s="272">
        <f t="shared" si="41"/>
        <v>0</v>
      </c>
      <c r="AB47" s="272">
        <f t="shared" si="41"/>
        <v>0</v>
      </c>
      <c r="AC47" s="272">
        <f t="shared" si="41"/>
        <v>0</v>
      </c>
      <c r="AD47" s="272">
        <f t="shared" si="41"/>
        <v>17241.79637</v>
      </c>
      <c r="AE47" s="272">
        <f t="shared" si="38"/>
        <v>10715.6</v>
      </c>
      <c r="AF47" s="273"/>
    </row>
    <row r="48" spans="1:32" s="926" customFormat="1" ht="220.5" x14ac:dyDescent="0.25">
      <c r="A48" s="927" t="s">
        <v>536</v>
      </c>
      <c r="B48" s="928"/>
      <c r="C48" s="928"/>
      <c r="D48" s="928"/>
      <c r="E48" s="928"/>
      <c r="F48" s="928"/>
      <c r="G48" s="928"/>
      <c r="H48" s="928"/>
      <c r="I48" s="928"/>
      <c r="J48" s="928"/>
      <c r="K48" s="928"/>
      <c r="L48" s="928"/>
      <c r="M48" s="928"/>
      <c r="N48" s="928"/>
      <c r="O48" s="928"/>
      <c r="P48" s="928"/>
      <c r="Q48" s="928"/>
      <c r="R48" s="928"/>
      <c r="S48" s="928"/>
      <c r="T48" s="928"/>
      <c r="U48" s="928"/>
      <c r="V48" s="928"/>
      <c r="W48" s="928"/>
      <c r="X48" s="928"/>
      <c r="Y48" s="928"/>
      <c r="Z48" s="928"/>
      <c r="AA48" s="928"/>
      <c r="AB48" s="928"/>
      <c r="AC48" s="928"/>
      <c r="AD48" s="928"/>
      <c r="AE48" s="928"/>
      <c r="AF48" s="935" t="s">
        <v>613</v>
      </c>
    </row>
    <row r="49" spans="1:32" ht="196.5" customHeight="1" x14ac:dyDescent="0.25">
      <c r="A49" s="268" t="s">
        <v>31</v>
      </c>
      <c r="B49" s="272">
        <f>B50+B51+B53</f>
        <v>61799.599369999996</v>
      </c>
      <c r="C49" s="272">
        <f>C50+C51+C53</f>
        <v>61799.599369999996</v>
      </c>
      <c r="D49" s="272">
        <f>E49</f>
        <v>50921.09</v>
      </c>
      <c r="E49" s="272">
        <f t="shared" ref="E49" si="42">E50+E51+E53</f>
        <v>50921.09</v>
      </c>
      <c r="F49" s="272">
        <f t="shared" si="37"/>
        <v>82.397119915180454</v>
      </c>
      <c r="G49" s="272">
        <f t="shared" si="35"/>
        <v>82.397119915180454</v>
      </c>
      <c r="H49" s="272">
        <f>H50+H51+H53</f>
        <v>0</v>
      </c>
      <c r="I49" s="272">
        <f t="shared" ref="I49:AE49" si="43">I50+I51+I53</f>
        <v>0</v>
      </c>
      <c r="J49" s="272">
        <f t="shared" si="43"/>
        <v>2609.3220000000001</v>
      </c>
      <c r="K49" s="272">
        <f t="shared" si="43"/>
        <v>0</v>
      </c>
      <c r="L49" s="272">
        <f t="shared" si="43"/>
        <v>30792.012999999999</v>
      </c>
      <c r="M49" s="272">
        <f t="shared" si="43"/>
        <v>0</v>
      </c>
      <c r="N49" s="272">
        <f t="shared" si="43"/>
        <v>0</v>
      </c>
      <c r="O49" s="272">
        <f t="shared" si="43"/>
        <v>0</v>
      </c>
      <c r="P49" s="272">
        <f t="shared" si="43"/>
        <v>0</v>
      </c>
      <c r="Q49" s="272">
        <f t="shared" si="43"/>
        <v>0</v>
      </c>
      <c r="R49" s="272">
        <f>R50+R51+R53</f>
        <v>1847.1479999999999</v>
      </c>
      <c r="S49" s="272">
        <f t="shared" si="43"/>
        <v>0</v>
      </c>
      <c r="T49" s="272">
        <f t="shared" si="43"/>
        <v>8839.92</v>
      </c>
      <c r="U49" s="272">
        <f t="shared" si="43"/>
        <v>8839.92</v>
      </c>
      <c r="V49" s="272">
        <f t="shared" si="43"/>
        <v>469.4</v>
      </c>
      <c r="W49" s="272">
        <f t="shared" si="43"/>
        <v>31365.57</v>
      </c>
      <c r="X49" s="272">
        <f t="shared" si="43"/>
        <v>0</v>
      </c>
      <c r="Y49" s="272">
        <f t="shared" si="43"/>
        <v>0</v>
      </c>
      <c r="Z49" s="272">
        <f t="shared" si="43"/>
        <v>0</v>
      </c>
      <c r="AA49" s="272">
        <f t="shared" si="43"/>
        <v>0</v>
      </c>
      <c r="AB49" s="272">
        <f t="shared" si="43"/>
        <v>0</v>
      </c>
      <c r="AC49" s="272">
        <f t="shared" si="43"/>
        <v>0</v>
      </c>
      <c r="AD49" s="272">
        <f t="shared" si="43"/>
        <v>17241.79637</v>
      </c>
      <c r="AE49" s="272">
        <f t="shared" si="43"/>
        <v>10715.6</v>
      </c>
      <c r="AF49" s="1034" t="s">
        <v>555</v>
      </c>
    </row>
    <row r="50" spans="1:32" ht="228.75" customHeight="1" x14ac:dyDescent="0.25">
      <c r="A50" s="271" t="s">
        <v>32</v>
      </c>
      <c r="B50" s="272">
        <f t="shared" ref="B50:B52" si="44">H50+J50+L50+N50+P50+R50+T50+V50+X50+Z50+AB50+AD50</f>
        <v>0</v>
      </c>
      <c r="C50" s="272">
        <f>H50+J50+L50+N50+P50+R50</f>
        <v>0</v>
      </c>
      <c r="D50" s="272">
        <v>0</v>
      </c>
      <c r="E50" s="272">
        <f t="shared" ref="E50:E52" si="45">I50+K50+M50+O50+Q50+S50+U50+W50+Y50+AA50+AC50+AE50</f>
        <v>0</v>
      </c>
      <c r="F50" s="272">
        <f t="shared" si="37"/>
        <v>0</v>
      </c>
      <c r="G50" s="272">
        <f t="shared" si="35"/>
        <v>0</v>
      </c>
      <c r="H50" s="272">
        <v>0</v>
      </c>
      <c r="I50" s="272">
        <v>0</v>
      </c>
      <c r="J50" s="272">
        <v>0</v>
      </c>
      <c r="K50" s="272">
        <v>0</v>
      </c>
      <c r="L50" s="272">
        <v>0</v>
      </c>
      <c r="M50" s="272">
        <v>0</v>
      </c>
      <c r="N50" s="272">
        <v>0</v>
      </c>
      <c r="O50" s="272">
        <v>0</v>
      </c>
      <c r="P50" s="272">
        <v>0</v>
      </c>
      <c r="Q50" s="272">
        <v>0</v>
      </c>
      <c r="R50" s="272">
        <v>0</v>
      </c>
      <c r="S50" s="272">
        <v>0</v>
      </c>
      <c r="T50" s="272">
        <v>0</v>
      </c>
      <c r="U50" s="272">
        <v>0</v>
      </c>
      <c r="V50" s="272">
        <v>0</v>
      </c>
      <c r="W50" s="272">
        <v>0</v>
      </c>
      <c r="X50" s="272">
        <v>0</v>
      </c>
      <c r="Y50" s="272">
        <v>0</v>
      </c>
      <c r="Z50" s="272">
        <v>0</v>
      </c>
      <c r="AA50" s="272">
        <v>0</v>
      </c>
      <c r="AB50" s="272">
        <v>0</v>
      </c>
      <c r="AC50" s="272">
        <v>0</v>
      </c>
      <c r="AD50" s="272">
        <v>0</v>
      </c>
      <c r="AE50" s="272">
        <v>0</v>
      </c>
      <c r="AF50" s="1035" t="s">
        <v>674</v>
      </c>
    </row>
    <row r="51" spans="1:32" ht="336" customHeight="1" x14ac:dyDescent="0.25">
      <c r="A51" s="271" t="s">
        <v>33</v>
      </c>
      <c r="B51" s="272">
        <f t="shared" si="44"/>
        <v>577</v>
      </c>
      <c r="C51" s="272">
        <f>H51+J51+L51+N51+P51+R51+V51</f>
        <v>577</v>
      </c>
      <c r="D51" s="272">
        <f>E51</f>
        <v>573.55999999999995</v>
      </c>
      <c r="E51" s="272">
        <f t="shared" si="45"/>
        <v>573.55999999999995</v>
      </c>
      <c r="F51" s="272">
        <f t="shared" si="37"/>
        <v>99.40381282495666</v>
      </c>
      <c r="G51" s="272">
        <f t="shared" si="35"/>
        <v>99.40381282495666</v>
      </c>
      <c r="H51" s="272">
        <v>0</v>
      </c>
      <c r="I51" s="272">
        <v>0</v>
      </c>
      <c r="J51" s="272">
        <v>0</v>
      </c>
      <c r="K51" s="272">
        <v>0</v>
      </c>
      <c r="L51" s="272">
        <v>0</v>
      </c>
      <c r="M51" s="272">
        <v>0</v>
      </c>
      <c r="N51" s="272">
        <v>0</v>
      </c>
      <c r="O51" s="272">
        <v>0</v>
      </c>
      <c r="P51" s="272">
        <v>0</v>
      </c>
      <c r="Q51" s="272">
        <v>0</v>
      </c>
      <c r="R51" s="272">
        <v>107.6</v>
      </c>
      <c r="S51" s="272">
        <v>0</v>
      </c>
      <c r="T51" s="272">
        <v>0</v>
      </c>
      <c r="U51" s="272">
        <v>0</v>
      </c>
      <c r="V51" s="272">
        <v>469.4</v>
      </c>
      <c r="W51" s="272">
        <v>573.55999999999995</v>
      </c>
      <c r="X51" s="272">
        <v>0</v>
      </c>
      <c r="Y51" s="272">
        <v>0</v>
      </c>
      <c r="Z51" s="272">
        <v>0</v>
      </c>
      <c r="AA51" s="272">
        <v>0</v>
      </c>
      <c r="AB51" s="272">
        <v>0</v>
      </c>
      <c r="AC51" s="272">
        <v>0</v>
      </c>
      <c r="AD51" s="272">
        <v>0</v>
      </c>
      <c r="AE51" s="272">
        <v>0</v>
      </c>
      <c r="AF51" s="1036" t="s">
        <v>614</v>
      </c>
    </row>
    <row r="52" spans="1:32" ht="243.75" x14ac:dyDescent="0.25">
      <c r="A52" s="283" t="s">
        <v>174</v>
      </c>
      <c r="B52" s="272">
        <f t="shared" si="44"/>
        <v>0</v>
      </c>
      <c r="C52" s="272">
        <f>H52+J52+L52+N52+P52+R52</f>
        <v>0</v>
      </c>
      <c r="D52" s="272">
        <v>0</v>
      </c>
      <c r="E52" s="272">
        <f t="shared" si="45"/>
        <v>0</v>
      </c>
      <c r="F52" s="272">
        <f t="shared" si="37"/>
        <v>0</v>
      </c>
      <c r="G52" s="272">
        <f t="shared" si="35"/>
        <v>0</v>
      </c>
      <c r="H52" s="272">
        <v>0</v>
      </c>
      <c r="I52" s="272">
        <v>0</v>
      </c>
      <c r="J52" s="272">
        <v>0</v>
      </c>
      <c r="K52" s="272">
        <v>0</v>
      </c>
      <c r="L52" s="272">
        <v>0</v>
      </c>
      <c r="M52" s="272">
        <v>0</v>
      </c>
      <c r="N52" s="272">
        <v>0</v>
      </c>
      <c r="O52" s="272">
        <v>0</v>
      </c>
      <c r="P52" s="272">
        <v>0</v>
      </c>
      <c r="Q52" s="272">
        <v>0</v>
      </c>
      <c r="R52" s="272">
        <v>0</v>
      </c>
      <c r="S52" s="272">
        <v>0</v>
      </c>
      <c r="T52" s="272">
        <v>0</v>
      </c>
      <c r="U52" s="272">
        <v>0</v>
      </c>
      <c r="V52" s="272">
        <v>0</v>
      </c>
      <c r="W52" s="272">
        <v>0</v>
      </c>
      <c r="X52" s="272">
        <v>0</v>
      </c>
      <c r="Y52" s="272">
        <v>0</v>
      </c>
      <c r="Z52" s="272">
        <v>0</v>
      </c>
      <c r="AA52" s="272">
        <v>0</v>
      </c>
      <c r="AB52" s="272">
        <v>0</v>
      </c>
      <c r="AC52" s="272">
        <v>0</v>
      </c>
      <c r="AD52" s="272">
        <v>0</v>
      </c>
      <c r="AE52" s="272">
        <v>0</v>
      </c>
      <c r="AF52" s="936" t="s">
        <v>615</v>
      </c>
    </row>
    <row r="53" spans="1:32" ht="31.5" x14ac:dyDescent="0.25">
      <c r="A53" s="271" t="s">
        <v>374</v>
      </c>
      <c r="B53" s="272">
        <f>H53+J53+L53+N53+P53+R53+T53+V53+X53+Z53+AB53+AD53</f>
        <v>61222.599369999996</v>
      </c>
      <c r="C53" s="272">
        <f>H53+J53+L53+N53+P53+R53+T53+V53+AD53</f>
        <v>61222.599369999996</v>
      </c>
      <c r="D53" s="272">
        <f>E53</f>
        <v>50347.53</v>
      </c>
      <c r="E53" s="272">
        <f>I53+K53+M53+O53+Q53+S53+U53+W53+Y53+AA53+AC53+AE53</f>
        <v>50347.53</v>
      </c>
      <c r="F53" s="272">
        <f t="shared" si="37"/>
        <v>82.236838223290235</v>
      </c>
      <c r="G53" s="272">
        <f t="shared" si="35"/>
        <v>82.236838223290235</v>
      </c>
      <c r="H53" s="272">
        <v>0</v>
      </c>
      <c r="I53" s="272">
        <v>0</v>
      </c>
      <c r="J53" s="272">
        <v>2609.3220000000001</v>
      </c>
      <c r="K53" s="272">
        <v>0</v>
      </c>
      <c r="L53" s="272">
        <v>30792.012999999999</v>
      </c>
      <c r="M53" s="272">
        <v>0</v>
      </c>
      <c r="N53" s="272">
        <v>0</v>
      </c>
      <c r="O53" s="272">
        <v>0</v>
      </c>
      <c r="P53" s="272">
        <v>0</v>
      </c>
      <c r="Q53" s="272">
        <v>0</v>
      </c>
      <c r="R53" s="272">
        <v>1739.548</v>
      </c>
      <c r="S53" s="272">
        <v>0</v>
      </c>
      <c r="T53" s="272">
        <v>8839.92</v>
      </c>
      <c r="U53" s="272">
        <v>8839.92</v>
      </c>
      <c r="V53" s="272">
        <v>0</v>
      </c>
      <c r="W53" s="272">
        <v>30792.01</v>
      </c>
      <c r="X53" s="272">
        <v>0</v>
      </c>
      <c r="Y53" s="272">
        <v>0</v>
      </c>
      <c r="Z53" s="272">
        <v>0</v>
      </c>
      <c r="AA53" s="272">
        <v>0</v>
      </c>
      <c r="AB53" s="272">
        <v>0</v>
      </c>
      <c r="AC53" s="272">
        <v>0</v>
      </c>
      <c r="AD53" s="272">
        <v>17241.79637</v>
      </c>
      <c r="AE53" s="272">
        <v>10715.6</v>
      </c>
      <c r="AF53" s="937"/>
    </row>
    <row r="54" spans="1:32" s="926" customFormat="1" ht="330.75" x14ac:dyDescent="0.25">
      <c r="A54" s="921" t="s">
        <v>537</v>
      </c>
      <c r="B54" s="1037">
        <f>B55</f>
        <v>80681.491940000007</v>
      </c>
      <c r="C54" s="1038">
        <f>C55</f>
        <v>80681.491940000007</v>
      </c>
      <c r="D54" s="1038">
        <f>D55</f>
        <v>80444.621939999997</v>
      </c>
      <c r="E54" s="1038">
        <f>E55</f>
        <v>80444.621939999997</v>
      </c>
      <c r="F54" s="923">
        <f t="shared" si="37"/>
        <v>99.706413460752358</v>
      </c>
      <c r="G54" s="923">
        <f t="shared" si="35"/>
        <v>99.706413460752358</v>
      </c>
      <c r="H54" s="923">
        <v>0</v>
      </c>
      <c r="I54" s="923">
        <v>0</v>
      </c>
      <c r="J54" s="923">
        <v>0</v>
      </c>
      <c r="K54" s="923">
        <v>0</v>
      </c>
      <c r="L54" s="923">
        <v>0</v>
      </c>
      <c r="M54" s="923">
        <v>0</v>
      </c>
      <c r="N54" s="923">
        <v>0</v>
      </c>
      <c r="O54" s="923">
        <v>0</v>
      </c>
      <c r="P54" s="923">
        <v>0</v>
      </c>
      <c r="Q54" s="923">
        <v>0</v>
      </c>
      <c r="R54" s="923">
        <v>0</v>
      </c>
      <c r="S54" s="923">
        <v>0</v>
      </c>
      <c r="T54" s="924">
        <f>T56+T57</f>
        <v>8060.7119400000001</v>
      </c>
      <c r="U54" s="923">
        <v>0</v>
      </c>
      <c r="V54" s="923">
        <v>0</v>
      </c>
      <c r="W54" s="923">
        <v>0</v>
      </c>
      <c r="X54" s="923">
        <v>0</v>
      </c>
      <c r="Y54" s="923">
        <v>0</v>
      </c>
      <c r="Z54" s="923">
        <v>0</v>
      </c>
      <c r="AA54" s="923">
        <v>0</v>
      </c>
      <c r="AB54" s="924">
        <f>AB56+AB57</f>
        <v>0</v>
      </c>
      <c r="AC54" s="923">
        <v>0</v>
      </c>
      <c r="AD54" s="923">
        <v>0</v>
      </c>
      <c r="AE54" s="923">
        <v>0</v>
      </c>
      <c r="AF54" s="972" t="s">
        <v>637</v>
      </c>
    </row>
    <row r="55" spans="1:32" s="873" customFormat="1" ht="18.75" x14ac:dyDescent="0.25">
      <c r="A55" s="916" t="s">
        <v>31</v>
      </c>
      <c r="B55" s="774">
        <f>B56+B57+B59</f>
        <v>80681.491940000007</v>
      </c>
      <c r="C55" s="370">
        <f>C56+C57+C59</f>
        <v>80681.491940000007</v>
      </c>
      <c r="D55" s="370">
        <f t="shared" ref="D55:AE55" si="46">D56+D57+D59</f>
        <v>80444.621939999997</v>
      </c>
      <c r="E55" s="370">
        <f t="shared" si="46"/>
        <v>80444.621939999997</v>
      </c>
      <c r="F55" s="370">
        <f>IFERROR(E55/B55*100,0)</f>
        <v>99.706413460752358</v>
      </c>
      <c r="G55" s="370">
        <f>IFERROR(E55/C55*100,0)</f>
        <v>99.706413460752358</v>
      </c>
      <c r="H55" s="370">
        <f t="shared" si="46"/>
        <v>0</v>
      </c>
      <c r="I55" s="370">
        <f t="shared" si="46"/>
        <v>0</v>
      </c>
      <c r="J55" s="370">
        <f t="shared" si="46"/>
        <v>0</v>
      </c>
      <c r="K55" s="370">
        <f t="shared" si="46"/>
        <v>0</v>
      </c>
      <c r="L55" s="370">
        <f t="shared" si="46"/>
        <v>0</v>
      </c>
      <c r="M55" s="370">
        <f t="shared" si="46"/>
        <v>0</v>
      </c>
      <c r="N55" s="370">
        <f t="shared" si="46"/>
        <v>0</v>
      </c>
      <c r="O55" s="370">
        <f t="shared" si="46"/>
        <v>0</v>
      </c>
      <c r="P55" s="370">
        <f t="shared" si="46"/>
        <v>0</v>
      </c>
      <c r="Q55" s="370">
        <f t="shared" si="46"/>
        <v>0</v>
      </c>
      <c r="R55" s="370">
        <f t="shared" si="46"/>
        <v>0</v>
      </c>
      <c r="S55" s="370">
        <f t="shared" si="46"/>
        <v>0</v>
      </c>
      <c r="T55" s="370">
        <f t="shared" si="46"/>
        <v>8060.7119400000001</v>
      </c>
      <c r="U55" s="370">
        <f t="shared" si="46"/>
        <v>8060.7119400000001</v>
      </c>
      <c r="V55" s="370">
        <f t="shared" si="46"/>
        <v>0</v>
      </c>
      <c r="W55" s="370">
        <f t="shared" si="46"/>
        <v>0</v>
      </c>
      <c r="X55" s="370">
        <f t="shared" si="46"/>
        <v>0</v>
      </c>
      <c r="Y55" s="370">
        <f t="shared" si="46"/>
        <v>0</v>
      </c>
      <c r="Z55" s="370">
        <f t="shared" si="46"/>
        <v>37496.25</v>
      </c>
      <c r="AA55" s="370">
        <f t="shared" si="46"/>
        <v>37496.25</v>
      </c>
      <c r="AB55" s="370">
        <f t="shared" si="46"/>
        <v>0</v>
      </c>
      <c r="AC55" s="370">
        <f t="shared" si="46"/>
        <v>0</v>
      </c>
      <c r="AD55" s="971">
        <f>AD56+AD57+AD59+AD58</f>
        <v>36877.08</v>
      </c>
      <c r="AE55" s="370">
        <f t="shared" si="46"/>
        <v>34887.660000000003</v>
      </c>
      <c r="AF55" s="934"/>
    </row>
    <row r="56" spans="1:32" s="873" customFormat="1" ht="31.5" x14ac:dyDescent="0.25">
      <c r="A56" s="773" t="s">
        <v>538</v>
      </c>
      <c r="B56" s="774">
        <f>H56+J56+L56+N56+P56+R56+T56+V56+X56+Z56+AB56+AD56</f>
        <v>76576.796340000001</v>
      </c>
      <c r="C56" s="370">
        <f>T56+Z56+AD56</f>
        <v>76576.796340000001</v>
      </c>
      <c r="D56" s="370">
        <f>E56</f>
        <v>76351.846340000004</v>
      </c>
      <c r="E56" s="370">
        <f>I56+K56+M56+O56+Q56+S56+U56+W56+Y56+AA56+AC56+AE56</f>
        <v>76351.846340000004</v>
      </c>
      <c r="F56" s="370">
        <f t="shared" si="37"/>
        <v>99.706242607746049</v>
      </c>
      <c r="G56" s="370">
        <f t="shared" si="35"/>
        <v>99.706242607746049</v>
      </c>
      <c r="H56" s="370">
        <v>0</v>
      </c>
      <c r="I56" s="370">
        <v>0</v>
      </c>
      <c r="J56" s="370">
        <v>0</v>
      </c>
      <c r="K56" s="370">
        <v>0</v>
      </c>
      <c r="L56" s="370">
        <v>0</v>
      </c>
      <c r="M56" s="370">
        <v>0</v>
      </c>
      <c r="N56" s="370">
        <v>0</v>
      </c>
      <c r="O56" s="370">
        <v>0</v>
      </c>
      <c r="P56" s="370">
        <v>0</v>
      </c>
      <c r="Q56" s="370">
        <v>0</v>
      </c>
      <c r="R56" s="370">
        <v>0</v>
      </c>
      <c r="S56" s="370">
        <v>0</v>
      </c>
      <c r="T56" s="774">
        <v>7657.67634</v>
      </c>
      <c r="U56" s="370">
        <v>7657.67634</v>
      </c>
      <c r="V56" s="370">
        <v>0</v>
      </c>
      <c r="W56" s="370">
        <v>0</v>
      </c>
      <c r="X56" s="370">
        <v>0</v>
      </c>
      <c r="Y56" s="370">
        <v>0</v>
      </c>
      <c r="Z56" s="370">
        <v>35621.440000000002</v>
      </c>
      <c r="AA56" s="370">
        <v>35621.440000000002</v>
      </c>
      <c r="AB56" s="370">
        <v>0</v>
      </c>
      <c r="AC56" s="370">
        <v>0</v>
      </c>
      <c r="AD56" s="370">
        <v>33297.68</v>
      </c>
      <c r="AE56" s="370">
        <v>33072.730000000003</v>
      </c>
      <c r="AF56" s="917"/>
    </row>
    <row r="57" spans="1:32" s="873" customFormat="1" ht="15.75" x14ac:dyDescent="0.25">
      <c r="A57" s="773" t="s">
        <v>33</v>
      </c>
      <c r="B57" s="774">
        <f>H57+J57+L57+N57+P57+R57+T57+V57+X57+Z57+AB57+AD57</f>
        <v>4104.6956</v>
      </c>
      <c r="C57" s="370">
        <f>T57+Z57+AD57</f>
        <v>4104.6956</v>
      </c>
      <c r="D57" s="370">
        <f>E57</f>
        <v>4092.7755999999999</v>
      </c>
      <c r="E57" s="370">
        <f>I57+K57+M57+O57+Q57+S57+U57+W57+Y57+AA57+AC57+AE57</f>
        <v>4092.7755999999999</v>
      </c>
      <c r="F57" s="370">
        <f t="shared" si="37"/>
        <v>99.709600877590049</v>
      </c>
      <c r="G57" s="370">
        <f>IFERROR(E57/C57*100,0)</f>
        <v>99.709600877590049</v>
      </c>
      <c r="H57" s="370">
        <v>0</v>
      </c>
      <c r="I57" s="370">
        <v>0</v>
      </c>
      <c r="J57" s="370">
        <v>0</v>
      </c>
      <c r="K57" s="370">
        <v>0</v>
      </c>
      <c r="L57" s="370">
        <v>0</v>
      </c>
      <c r="M57" s="370">
        <v>0</v>
      </c>
      <c r="N57" s="370">
        <v>0</v>
      </c>
      <c r="O57" s="370">
        <v>0</v>
      </c>
      <c r="P57" s="370">
        <v>0</v>
      </c>
      <c r="Q57" s="370">
        <v>0</v>
      </c>
      <c r="R57" s="370">
        <v>0</v>
      </c>
      <c r="S57" s="370">
        <v>0</v>
      </c>
      <c r="T57" s="774">
        <v>403.03559999999999</v>
      </c>
      <c r="U57" s="370">
        <v>403.03559999999999</v>
      </c>
      <c r="V57" s="370">
        <v>0</v>
      </c>
      <c r="W57" s="370">
        <v>0</v>
      </c>
      <c r="X57" s="370">
        <v>0</v>
      </c>
      <c r="Y57" s="370">
        <v>0</v>
      </c>
      <c r="Z57" s="370">
        <v>1874.81</v>
      </c>
      <c r="AA57" s="370">
        <v>1874.81</v>
      </c>
      <c r="AB57" s="370">
        <v>0</v>
      </c>
      <c r="AC57" s="370">
        <v>0</v>
      </c>
      <c r="AD57" s="918">
        <v>1826.85</v>
      </c>
      <c r="AE57" s="370">
        <v>1814.93</v>
      </c>
      <c r="AF57" s="917"/>
    </row>
    <row r="58" spans="1:32" s="873" customFormat="1" ht="47.25" x14ac:dyDescent="0.25">
      <c r="A58" s="919" t="s">
        <v>174</v>
      </c>
      <c r="B58" s="774">
        <f>T58+Z58+AD58</f>
        <v>4030.3955999999998</v>
      </c>
      <c r="C58" s="370">
        <f>T58+Z58+AD58</f>
        <v>4030.3955999999998</v>
      </c>
      <c r="D58" s="370">
        <f>E58</f>
        <v>4018.52</v>
      </c>
      <c r="E58" s="370">
        <f>I58+K58+M58+O58+Q58+S58+U58+W58+Y58+AA58+AC58+AE58</f>
        <v>4018.52</v>
      </c>
      <c r="F58" s="370">
        <f t="shared" si="37"/>
        <v>99.705349023306795</v>
      </c>
      <c r="G58" s="370">
        <f t="shared" si="35"/>
        <v>99.705349023306795</v>
      </c>
      <c r="H58" s="370">
        <v>0</v>
      </c>
      <c r="I58" s="370">
        <v>0</v>
      </c>
      <c r="J58" s="370">
        <v>0</v>
      </c>
      <c r="K58" s="370">
        <v>0</v>
      </c>
      <c r="L58" s="370">
        <v>0</v>
      </c>
      <c r="M58" s="370">
        <v>0</v>
      </c>
      <c r="N58" s="370">
        <v>0</v>
      </c>
      <c r="O58" s="370">
        <v>0</v>
      </c>
      <c r="P58" s="370">
        <v>0</v>
      </c>
      <c r="Q58" s="370">
        <v>0</v>
      </c>
      <c r="R58" s="370">
        <v>0</v>
      </c>
      <c r="S58" s="370">
        <v>0</v>
      </c>
      <c r="T58" s="774">
        <f t="shared" ref="T58" si="47">T57</f>
        <v>403.03559999999999</v>
      </c>
      <c r="U58" s="370">
        <v>403.04</v>
      </c>
      <c r="V58" s="370">
        <v>0</v>
      </c>
      <c r="W58" s="370">
        <v>0</v>
      </c>
      <c r="X58" s="370">
        <v>0</v>
      </c>
      <c r="Y58" s="370">
        <v>0</v>
      </c>
      <c r="Z58" s="370">
        <f>Z57</f>
        <v>1874.81</v>
      </c>
      <c r="AA58" s="370">
        <f>AA57</f>
        <v>1874.81</v>
      </c>
      <c r="AB58" s="370">
        <v>0</v>
      </c>
      <c r="AC58" s="370">
        <v>0</v>
      </c>
      <c r="AD58" s="970">
        <v>1752.55</v>
      </c>
      <c r="AE58" s="370">
        <v>1740.67</v>
      </c>
      <c r="AF58" s="917"/>
    </row>
    <row r="59" spans="1:32" s="873" customFormat="1" ht="15.75" x14ac:dyDescent="0.25">
      <c r="A59" s="773" t="s">
        <v>170</v>
      </c>
      <c r="B59" s="370">
        <v>0</v>
      </c>
      <c r="C59" s="370">
        <v>0</v>
      </c>
      <c r="D59" s="370">
        <v>0</v>
      </c>
      <c r="E59" s="370">
        <f>I59+K59+M59+O59+Q59+S59+U59+W59+Y59+AA59+AC59+AE59</f>
        <v>0</v>
      </c>
      <c r="F59" s="370">
        <v>0</v>
      </c>
      <c r="G59" s="370">
        <v>0</v>
      </c>
      <c r="H59" s="370">
        <v>0</v>
      </c>
      <c r="I59" s="370">
        <v>0</v>
      </c>
      <c r="J59" s="370">
        <v>0</v>
      </c>
      <c r="K59" s="370">
        <v>0</v>
      </c>
      <c r="L59" s="370">
        <v>0</v>
      </c>
      <c r="M59" s="370">
        <v>0</v>
      </c>
      <c r="N59" s="370">
        <v>0</v>
      </c>
      <c r="O59" s="370">
        <v>0</v>
      </c>
      <c r="P59" s="370">
        <v>0</v>
      </c>
      <c r="Q59" s="370">
        <v>0</v>
      </c>
      <c r="R59" s="370">
        <v>0</v>
      </c>
      <c r="S59" s="370">
        <v>0</v>
      </c>
      <c r="T59" s="370">
        <v>0</v>
      </c>
      <c r="U59" s="370">
        <v>0</v>
      </c>
      <c r="V59" s="370">
        <v>0</v>
      </c>
      <c r="W59" s="370">
        <v>0</v>
      </c>
      <c r="X59" s="370">
        <v>0</v>
      </c>
      <c r="Y59" s="370">
        <v>0</v>
      </c>
      <c r="Z59" s="370">
        <v>0</v>
      </c>
      <c r="AA59" s="370">
        <v>0</v>
      </c>
      <c r="AB59" s="370">
        <v>0</v>
      </c>
      <c r="AC59" s="370">
        <v>0</v>
      </c>
      <c r="AD59" s="370">
        <v>0</v>
      </c>
      <c r="AE59" s="370">
        <v>0</v>
      </c>
      <c r="AF59" s="920"/>
    </row>
    <row r="60" spans="1:32" s="926" customFormat="1" ht="78.75" customHeight="1" x14ac:dyDescent="0.25">
      <c r="A60" s="921" t="s">
        <v>556</v>
      </c>
      <c r="B60" s="922">
        <f>B61</f>
        <v>118</v>
      </c>
      <c r="C60" s="923">
        <f>C61</f>
        <v>118</v>
      </c>
      <c r="D60" s="923">
        <v>118</v>
      </c>
      <c r="E60" s="923">
        <v>118</v>
      </c>
      <c r="F60" s="923">
        <v>0</v>
      </c>
      <c r="G60" s="923">
        <v>0</v>
      </c>
      <c r="H60" s="923">
        <v>0</v>
      </c>
      <c r="I60" s="923">
        <v>0</v>
      </c>
      <c r="J60" s="923">
        <v>0</v>
      </c>
      <c r="K60" s="923">
        <v>0</v>
      </c>
      <c r="L60" s="923">
        <v>0</v>
      </c>
      <c r="M60" s="923">
        <v>0</v>
      </c>
      <c r="N60" s="923">
        <v>0</v>
      </c>
      <c r="O60" s="923">
        <v>0</v>
      </c>
      <c r="P60" s="923">
        <v>0</v>
      </c>
      <c r="Q60" s="923">
        <v>0</v>
      </c>
      <c r="R60" s="923">
        <v>0</v>
      </c>
      <c r="S60" s="923">
        <v>0</v>
      </c>
      <c r="T60" s="923">
        <v>0</v>
      </c>
      <c r="U60" s="923">
        <v>0</v>
      </c>
      <c r="V60" s="923">
        <v>0</v>
      </c>
      <c r="W60" s="923">
        <v>0</v>
      </c>
      <c r="X60" s="924">
        <f>X63</f>
        <v>118</v>
      </c>
      <c r="Y60" s="923">
        <f>Y63</f>
        <v>118</v>
      </c>
      <c r="Z60" s="923">
        <v>0</v>
      </c>
      <c r="AA60" s="923">
        <v>0</v>
      </c>
      <c r="AB60" s="923">
        <v>0</v>
      </c>
      <c r="AC60" s="923">
        <v>0</v>
      </c>
      <c r="AD60" s="923">
        <v>0</v>
      </c>
      <c r="AE60" s="923">
        <v>0</v>
      </c>
      <c r="AF60" s="925" t="s">
        <v>612</v>
      </c>
    </row>
    <row r="61" spans="1:32" ht="15.75" customHeight="1" x14ac:dyDescent="0.25">
      <c r="A61" s="487" t="s">
        <v>31</v>
      </c>
      <c r="B61" s="829">
        <f>B62+B63+B65</f>
        <v>118</v>
      </c>
      <c r="C61" s="272">
        <f>C63</f>
        <v>118</v>
      </c>
      <c r="D61" s="272">
        <f>D63</f>
        <v>118</v>
      </c>
      <c r="E61" s="272">
        <f>E63</f>
        <v>118</v>
      </c>
      <c r="F61" s="272">
        <f>IFERROR(E61/B61*100,0)</f>
        <v>100</v>
      </c>
      <c r="G61" s="272">
        <f>IFERROR(E61/C61*100,0)</f>
        <v>100</v>
      </c>
      <c r="H61" s="272">
        <v>0</v>
      </c>
      <c r="I61" s="272">
        <v>0</v>
      </c>
      <c r="J61" s="272">
        <v>0</v>
      </c>
      <c r="K61" s="272">
        <v>0</v>
      </c>
      <c r="L61" s="272">
        <v>0</v>
      </c>
      <c r="M61" s="272">
        <v>0</v>
      </c>
      <c r="N61" s="272">
        <v>0</v>
      </c>
      <c r="O61" s="272">
        <v>0</v>
      </c>
      <c r="P61" s="272">
        <v>0</v>
      </c>
      <c r="Q61" s="272">
        <v>0</v>
      </c>
      <c r="R61" s="272">
        <v>0</v>
      </c>
      <c r="S61" s="272">
        <v>0</v>
      </c>
      <c r="T61" s="272">
        <v>0</v>
      </c>
      <c r="U61" s="272">
        <v>0</v>
      </c>
      <c r="V61" s="272">
        <v>0</v>
      </c>
      <c r="W61" s="272">
        <v>0</v>
      </c>
      <c r="X61" s="829">
        <f>X62+X63+X65</f>
        <v>118</v>
      </c>
      <c r="Y61" s="272">
        <v>0</v>
      </c>
      <c r="Z61" s="272">
        <v>0</v>
      </c>
      <c r="AA61" s="272">
        <v>0</v>
      </c>
      <c r="AB61" s="272">
        <v>0</v>
      </c>
      <c r="AC61" s="272">
        <v>0</v>
      </c>
      <c r="AD61" s="272">
        <v>0</v>
      </c>
      <c r="AE61" s="272">
        <v>0</v>
      </c>
      <c r="AF61" s="777"/>
    </row>
    <row r="62" spans="1:32" ht="31.5" x14ac:dyDescent="0.25">
      <c r="A62" s="487" t="s">
        <v>538</v>
      </c>
      <c r="B62" s="272">
        <v>0</v>
      </c>
      <c r="C62" s="272">
        <v>0</v>
      </c>
      <c r="D62" s="272">
        <v>0</v>
      </c>
      <c r="E62" s="272">
        <v>0</v>
      </c>
      <c r="F62" s="272">
        <v>0</v>
      </c>
      <c r="G62" s="272">
        <v>0</v>
      </c>
      <c r="H62" s="272">
        <v>0</v>
      </c>
      <c r="I62" s="272">
        <v>0</v>
      </c>
      <c r="J62" s="272">
        <v>0</v>
      </c>
      <c r="K62" s="272">
        <v>0</v>
      </c>
      <c r="L62" s="272">
        <v>0</v>
      </c>
      <c r="M62" s="272">
        <v>0</v>
      </c>
      <c r="N62" s="272">
        <v>0</v>
      </c>
      <c r="O62" s="272">
        <v>0</v>
      </c>
      <c r="P62" s="272">
        <v>0</v>
      </c>
      <c r="Q62" s="272">
        <v>0</v>
      </c>
      <c r="R62" s="272">
        <v>0</v>
      </c>
      <c r="S62" s="272">
        <v>0</v>
      </c>
      <c r="T62" s="272">
        <v>0</v>
      </c>
      <c r="U62" s="272">
        <v>0</v>
      </c>
      <c r="V62" s="272">
        <v>0</v>
      </c>
      <c r="W62" s="272">
        <v>0</v>
      </c>
      <c r="X62" s="272">
        <v>0</v>
      </c>
      <c r="Y62" s="272">
        <v>0</v>
      </c>
      <c r="Z62" s="272">
        <v>0</v>
      </c>
      <c r="AA62" s="272">
        <v>0</v>
      </c>
      <c r="AB62" s="272">
        <v>0</v>
      </c>
      <c r="AC62" s="272">
        <v>0</v>
      </c>
      <c r="AD62" s="272">
        <v>0</v>
      </c>
      <c r="AE62" s="272">
        <v>0</v>
      </c>
      <c r="AF62" s="777"/>
    </row>
    <row r="63" spans="1:32" ht="15.75" customHeight="1" x14ac:dyDescent="0.25">
      <c r="A63" s="487" t="s">
        <v>33</v>
      </c>
      <c r="B63" s="829">
        <f>X63</f>
        <v>118</v>
      </c>
      <c r="C63" s="272">
        <f>X63</f>
        <v>118</v>
      </c>
      <c r="D63" s="272">
        <f>E63</f>
        <v>118</v>
      </c>
      <c r="E63" s="272">
        <f>Y63</f>
        <v>118</v>
      </c>
      <c r="F63" s="272">
        <f>IFERROR(E63/B63*100,0)</f>
        <v>100</v>
      </c>
      <c r="G63" s="370">
        <f>IFERROR(E63/C63*100,0)</f>
        <v>100</v>
      </c>
      <c r="H63" s="272">
        <v>0</v>
      </c>
      <c r="I63" s="272">
        <v>0</v>
      </c>
      <c r="J63" s="272">
        <v>0</v>
      </c>
      <c r="K63" s="272">
        <v>0</v>
      </c>
      <c r="L63" s="272">
        <v>0</v>
      </c>
      <c r="M63" s="272">
        <v>0</v>
      </c>
      <c r="N63" s="272">
        <v>0</v>
      </c>
      <c r="O63" s="272">
        <v>0</v>
      </c>
      <c r="P63" s="272">
        <v>0</v>
      </c>
      <c r="Q63" s="272">
        <v>0</v>
      </c>
      <c r="R63" s="272">
        <v>0</v>
      </c>
      <c r="S63" s="272">
        <v>0</v>
      </c>
      <c r="T63" s="272">
        <v>0</v>
      </c>
      <c r="U63" s="272">
        <v>0</v>
      </c>
      <c r="V63" s="272">
        <v>0</v>
      </c>
      <c r="W63" s="272">
        <v>0</v>
      </c>
      <c r="X63" s="775">
        <v>118</v>
      </c>
      <c r="Y63" s="272">
        <v>118</v>
      </c>
      <c r="Z63" s="272">
        <v>0</v>
      </c>
      <c r="AA63" s="272">
        <v>0</v>
      </c>
      <c r="AB63" s="272">
        <v>0</v>
      </c>
      <c r="AC63" s="272">
        <v>0</v>
      </c>
      <c r="AD63" s="272">
        <v>0</v>
      </c>
      <c r="AE63" s="775">
        <v>0</v>
      </c>
      <c r="AF63" s="777"/>
    </row>
    <row r="64" spans="1:32" ht="47.25" x14ac:dyDescent="0.25">
      <c r="A64" s="776" t="s">
        <v>174</v>
      </c>
      <c r="B64" s="272">
        <v>0</v>
      </c>
      <c r="C64" s="272">
        <v>0</v>
      </c>
      <c r="D64" s="272">
        <v>0</v>
      </c>
      <c r="E64" s="272">
        <v>0</v>
      </c>
      <c r="F64" s="272">
        <v>0</v>
      </c>
      <c r="G64" s="272">
        <v>0</v>
      </c>
      <c r="H64" s="272">
        <v>0</v>
      </c>
      <c r="I64" s="272">
        <v>0</v>
      </c>
      <c r="J64" s="272">
        <v>0</v>
      </c>
      <c r="K64" s="272">
        <v>0</v>
      </c>
      <c r="L64" s="272">
        <v>0</v>
      </c>
      <c r="M64" s="272">
        <v>0</v>
      </c>
      <c r="N64" s="272">
        <v>0</v>
      </c>
      <c r="O64" s="272">
        <v>0</v>
      </c>
      <c r="P64" s="272">
        <v>0</v>
      </c>
      <c r="Q64" s="272">
        <v>0</v>
      </c>
      <c r="R64" s="272">
        <v>0</v>
      </c>
      <c r="S64" s="272">
        <v>0</v>
      </c>
      <c r="T64" s="272">
        <v>0</v>
      </c>
      <c r="U64" s="272">
        <v>0</v>
      </c>
      <c r="V64" s="272">
        <v>0</v>
      </c>
      <c r="W64" s="272">
        <v>0</v>
      </c>
      <c r="X64" s="272">
        <v>0</v>
      </c>
      <c r="Y64" s="272">
        <v>0</v>
      </c>
      <c r="Z64" s="272">
        <v>0</v>
      </c>
      <c r="AA64" s="272">
        <v>0</v>
      </c>
      <c r="AB64" s="272">
        <v>0</v>
      </c>
      <c r="AC64" s="272">
        <v>0</v>
      </c>
      <c r="AD64" s="272">
        <v>0</v>
      </c>
      <c r="AE64" s="272">
        <v>0</v>
      </c>
      <c r="AF64" s="777"/>
    </row>
    <row r="65" spans="1:32" ht="15.75" customHeight="1" x14ac:dyDescent="0.25">
      <c r="A65" s="487" t="s">
        <v>170</v>
      </c>
      <c r="B65" s="272">
        <v>0</v>
      </c>
      <c r="C65" s="272">
        <v>0</v>
      </c>
      <c r="D65" s="272">
        <v>0</v>
      </c>
      <c r="E65" s="272">
        <v>0</v>
      </c>
      <c r="F65" s="272">
        <v>0</v>
      </c>
      <c r="G65" s="272">
        <v>0</v>
      </c>
      <c r="H65" s="272">
        <v>0</v>
      </c>
      <c r="I65" s="272">
        <v>0</v>
      </c>
      <c r="J65" s="272">
        <v>0</v>
      </c>
      <c r="K65" s="272">
        <v>0</v>
      </c>
      <c r="L65" s="272">
        <v>0</v>
      </c>
      <c r="M65" s="272">
        <v>0</v>
      </c>
      <c r="N65" s="272">
        <v>0</v>
      </c>
      <c r="O65" s="272">
        <v>0</v>
      </c>
      <c r="P65" s="272">
        <v>0</v>
      </c>
      <c r="Q65" s="272">
        <v>0</v>
      </c>
      <c r="R65" s="272">
        <v>0</v>
      </c>
      <c r="S65" s="272">
        <v>0</v>
      </c>
      <c r="T65" s="272">
        <v>0</v>
      </c>
      <c r="U65" s="272">
        <v>0</v>
      </c>
      <c r="V65" s="272">
        <v>0</v>
      </c>
      <c r="W65" s="272">
        <v>0</v>
      </c>
      <c r="X65" s="272">
        <v>0</v>
      </c>
      <c r="Y65" s="272">
        <v>0</v>
      </c>
      <c r="Z65" s="272">
        <v>0</v>
      </c>
      <c r="AA65" s="272">
        <v>0</v>
      </c>
      <c r="AB65" s="272">
        <v>0</v>
      </c>
      <c r="AC65" s="272">
        <v>0</v>
      </c>
      <c r="AD65" s="272">
        <v>0</v>
      </c>
      <c r="AE65" s="272">
        <v>0</v>
      </c>
      <c r="AF65" s="777"/>
    </row>
    <row r="66" spans="1:32" ht="15.75" customHeight="1" x14ac:dyDescent="0.25">
      <c r="A66" s="276" t="s">
        <v>62</v>
      </c>
      <c r="B66" s="272"/>
      <c r="C66" s="272"/>
      <c r="D66" s="272"/>
      <c r="E66" s="272"/>
      <c r="F66" s="272"/>
      <c r="G66" s="272"/>
      <c r="H66" s="272"/>
      <c r="I66" s="272"/>
      <c r="J66" s="272"/>
      <c r="K66" s="272"/>
      <c r="L66" s="272"/>
      <c r="M66" s="272"/>
      <c r="N66" s="272"/>
      <c r="O66" s="272"/>
      <c r="P66" s="272"/>
      <c r="Q66" s="272"/>
      <c r="R66" s="272"/>
      <c r="S66" s="272"/>
      <c r="T66" s="272"/>
      <c r="U66" s="272"/>
      <c r="V66" s="272"/>
      <c r="W66" s="272"/>
      <c r="X66" s="272"/>
      <c r="Y66" s="272"/>
      <c r="Z66" s="272"/>
      <c r="AA66" s="272"/>
      <c r="AB66" s="272"/>
      <c r="AC66" s="272"/>
      <c r="AD66" s="272"/>
      <c r="AE66" s="272"/>
      <c r="AF66" s="273"/>
    </row>
    <row r="67" spans="1:32" ht="15.75" x14ac:dyDescent="0.25">
      <c r="A67" s="277" t="s">
        <v>31</v>
      </c>
      <c r="B67" s="269">
        <f>B68+B69+B71</f>
        <v>142599.09130999999</v>
      </c>
      <c r="C67" s="269">
        <f t="shared" ref="C67:E67" si="48">C68+C69+C71</f>
        <v>142599.09130999999</v>
      </c>
      <c r="D67" s="269">
        <f>E67</f>
        <v>131483.71194000001</v>
      </c>
      <c r="E67" s="269">
        <f t="shared" si="48"/>
        <v>131483.71194000001</v>
      </c>
      <c r="F67" s="269">
        <f t="shared" si="37"/>
        <v>92.205154136756761</v>
      </c>
      <c r="G67" s="269">
        <f t="shared" si="35"/>
        <v>92.205154136756761</v>
      </c>
      <c r="H67" s="269">
        <f>H68+H69+H71</f>
        <v>0</v>
      </c>
      <c r="I67" s="269">
        <f t="shared" ref="I67:AE67" si="49">I68+I69+I71</f>
        <v>0</v>
      </c>
      <c r="J67" s="269">
        <f t="shared" si="49"/>
        <v>2609.3220000000001</v>
      </c>
      <c r="K67" s="269">
        <f t="shared" si="49"/>
        <v>0</v>
      </c>
      <c r="L67" s="269">
        <f t="shared" si="49"/>
        <v>30792.012999999999</v>
      </c>
      <c r="M67" s="269">
        <f t="shared" si="49"/>
        <v>0</v>
      </c>
      <c r="N67" s="269">
        <f t="shared" si="49"/>
        <v>0</v>
      </c>
      <c r="O67" s="269">
        <f t="shared" si="49"/>
        <v>0</v>
      </c>
      <c r="P67" s="269">
        <f t="shared" si="49"/>
        <v>0</v>
      </c>
      <c r="Q67" s="269">
        <f t="shared" si="49"/>
        <v>0</v>
      </c>
      <c r="R67" s="269">
        <f t="shared" si="49"/>
        <v>1847.1479999999999</v>
      </c>
      <c r="S67" s="269">
        <f t="shared" si="49"/>
        <v>0</v>
      </c>
      <c r="T67" s="269">
        <f t="shared" si="49"/>
        <v>16900.631939999999</v>
      </c>
      <c r="U67" s="269">
        <f t="shared" si="49"/>
        <v>16900.631939999999</v>
      </c>
      <c r="V67" s="269">
        <f t="shared" si="49"/>
        <v>469.4</v>
      </c>
      <c r="W67" s="269">
        <f t="shared" si="49"/>
        <v>31365.57</v>
      </c>
      <c r="X67" s="269">
        <f t="shared" si="49"/>
        <v>118</v>
      </c>
      <c r="Y67" s="269">
        <f t="shared" si="49"/>
        <v>118</v>
      </c>
      <c r="Z67" s="269">
        <f t="shared" si="49"/>
        <v>41245.870000000003</v>
      </c>
      <c r="AA67" s="269">
        <f t="shared" si="49"/>
        <v>74992.5</v>
      </c>
      <c r="AB67" s="269">
        <f t="shared" si="49"/>
        <v>0</v>
      </c>
      <c r="AC67" s="269">
        <f t="shared" si="49"/>
        <v>0</v>
      </c>
      <c r="AD67" s="269">
        <f>AD68+AD69+AD71</f>
        <v>52366.326369999995</v>
      </c>
      <c r="AE67" s="269">
        <f t="shared" si="49"/>
        <v>45603.26</v>
      </c>
      <c r="AF67" s="270"/>
    </row>
    <row r="68" spans="1:32" ht="15.75" x14ac:dyDescent="0.25">
      <c r="A68" s="278" t="s">
        <v>32</v>
      </c>
      <c r="B68" s="272">
        <f>B44</f>
        <v>76576.796340000001</v>
      </c>
      <c r="C68" s="272">
        <f>C44</f>
        <v>76576.796340000001</v>
      </c>
      <c r="D68" s="272">
        <f>E68</f>
        <v>76351.846340000004</v>
      </c>
      <c r="E68" s="272">
        <f>E44</f>
        <v>76351.846340000004</v>
      </c>
      <c r="F68" s="272">
        <f t="shared" ref="C68:S71" si="50">F44+F56</f>
        <v>199.4124852154921</v>
      </c>
      <c r="G68" s="272">
        <f>IFERROR(E68/C68*100,0)</f>
        <v>99.706242607746049</v>
      </c>
      <c r="H68" s="272">
        <f t="shared" si="50"/>
        <v>0</v>
      </c>
      <c r="I68" s="272">
        <f t="shared" si="50"/>
        <v>0</v>
      </c>
      <c r="J68" s="272">
        <f t="shared" si="50"/>
        <v>0</v>
      </c>
      <c r="K68" s="272">
        <f t="shared" si="50"/>
        <v>0</v>
      </c>
      <c r="L68" s="272">
        <f t="shared" si="50"/>
        <v>0</v>
      </c>
      <c r="M68" s="272">
        <f t="shared" si="50"/>
        <v>0</v>
      </c>
      <c r="N68" s="272">
        <f t="shared" si="50"/>
        <v>0</v>
      </c>
      <c r="O68" s="272">
        <f t="shared" si="50"/>
        <v>0</v>
      </c>
      <c r="P68" s="272">
        <f t="shared" si="50"/>
        <v>0</v>
      </c>
      <c r="Q68" s="272">
        <f t="shared" si="50"/>
        <v>0</v>
      </c>
      <c r="R68" s="272">
        <f t="shared" si="50"/>
        <v>0</v>
      </c>
      <c r="S68" s="272">
        <f t="shared" si="50"/>
        <v>0</v>
      </c>
      <c r="T68" s="272">
        <f>T44</f>
        <v>7657.67634</v>
      </c>
      <c r="U68" s="272">
        <f>T44</f>
        <v>7657.67634</v>
      </c>
      <c r="V68" s="272">
        <f t="shared" ref="U68:AA71" si="51">V44+V56</f>
        <v>0</v>
      </c>
      <c r="W68" s="272">
        <f t="shared" si="51"/>
        <v>0</v>
      </c>
      <c r="X68" s="272">
        <f t="shared" si="51"/>
        <v>0</v>
      </c>
      <c r="Y68" s="272">
        <f t="shared" si="51"/>
        <v>0</v>
      </c>
      <c r="Z68" s="272">
        <f>Z9+Z23+Z43</f>
        <v>37496.25</v>
      </c>
      <c r="AA68" s="272">
        <f t="shared" si="51"/>
        <v>71242.880000000005</v>
      </c>
      <c r="AB68" s="272">
        <f>AB44</f>
        <v>0</v>
      </c>
      <c r="AC68" s="272">
        <f t="shared" ref="AC68:AC71" si="52">AC44+AC56</f>
        <v>0</v>
      </c>
      <c r="AD68" s="272">
        <f>AD44</f>
        <v>33297.68</v>
      </c>
      <c r="AE68" s="272">
        <f>AE44</f>
        <v>33072.730000000003</v>
      </c>
      <c r="AF68" s="273"/>
    </row>
    <row r="69" spans="1:32" ht="15.75" x14ac:dyDescent="0.25">
      <c r="A69" s="278" t="s">
        <v>33</v>
      </c>
      <c r="B69" s="272">
        <f>B45</f>
        <v>4799.6955999999991</v>
      </c>
      <c r="C69" s="370">
        <f>C63+C57+C51</f>
        <v>4799.6956</v>
      </c>
      <c r="D69" s="272">
        <f>E69</f>
        <v>4784.3356000000003</v>
      </c>
      <c r="E69" s="272">
        <f>E63+E57+E51</f>
        <v>4784.3356000000003</v>
      </c>
      <c r="F69" s="272">
        <f t="shared" si="50"/>
        <v>199.38958058296973</v>
      </c>
      <c r="G69" s="272">
        <f>IFERROR(E69/C69*100,0)</f>
        <v>99.679979705379651</v>
      </c>
      <c r="H69" s="272">
        <f t="shared" si="50"/>
        <v>0</v>
      </c>
      <c r="I69" s="272">
        <f t="shared" si="50"/>
        <v>0</v>
      </c>
      <c r="J69" s="272">
        <f t="shared" si="50"/>
        <v>0</v>
      </c>
      <c r="K69" s="272">
        <f t="shared" si="50"/>
        <v>0</v>
      </c>
      <c r="L69" s="272">
        <f t="shared" si="50"/>
        <v>0</v>
      </c>
      <c r="M69" s="272">
        <f t="shared" si="50"/>
        <v>0</v>
      </c>
      <c r="N69" s="272">
        <f t="shared" si="50"/>
        <v>0</v>
      </c>
      <c r="O69" s="272">
        <f t="shared" si="50"/>
        <v>0</v>
      </c>
      <c r="P69" s="272">
        <f t="shared" si="50"/>
        <v>0</v>
      </c>
      <c r="Q69" s="272">
        <f t="shared" si="50"/>
        <v>0</v>
      </c>
      <c r="R69" s="272">
        <f t="shared" si="50"/>
        <v>107.6</v>
      </c>
      <c r="S69" s="272">
        <f t="shared" si="50"/>
        <v>0</v>
      </c>
      <c r="T69" s="272">
        <f>T45</f>
        <v>403.03559999999999</v>
      </c>
      <c r="U69" s="272">
        <f>U45</f>
        <v>403.03559999999999</v>
      </c>
      <c r="V69" s="272">
        <f t="shared" si="51"/>
        <v>469.4</v>
      </c>
      <c r="W69" s="272">
        <f t="shared" si="51"/>
        <v>573.55999999999995</v>
      </c>
      <c r="X69" s="272">
        <f t="shared" si="51"/>
        <v>118</v>
      </c>
      <c r="Y69" s="272">
        <f t="shared" si="51"/>
        <v>118</v>
      </c>
      <c r="Z69" s="272">
        <f t="shared" si="51"/>
        <v>3749.62</v>
      </c>
      <c r="AA69" s="272">
        <f t="shared" si="51"/>
        <v>3749.62</v>
      </c>
      <c r="AB69" s="272">
        <f>AB45</f>
        <v>0</v>
      </c>
      <c r="AC69" s="272">
        <f t="shared" si="52"/>
        <v>0</v>
      </c>
      <c r="AD69" s="272">
        <f>AD63+AD57+AD51</f>
        <v>1826.85</v>
      </c>
      <c r="AE69" s="272">
        <f>AE45</f>
        <v>1814.93</v>
      </c>
      <c r="AF69" s="273"/>
    </row>
    <row r="70" spans="1:32" ht="31.5" x14ac:dyDescent="0.25">
      <c r="A70" s="285" t="s">
        <v>174</v>
      </c>
      <c r="B70" s="272">
        <f>B46</f>
        <v>4030.3955999999998</v>
      </c>
      <c r="C70" s="272">
        <f>C46+C58</f>
        <v>8060.7911999999997</v>
      </c>
      <c r="D70" s="272">
        <f t="shared" si="50"/>
        <v>8037.04</v>
      </c>
      <c r="E70" s="272">
        <f t="shared" si="50"/>
        <v>8037.04</v>
      </c>
      <c r="F70" s="272">
        <f t="shared" si="50"/>
        <v>199.41069804661359</v>
      </c>
      <c r="G70" s="272">
        <f>IFERROR(E70/C70*100,0)</f>
        <v>99.705349023306795</v>
      </c>
      <c r="H70" s="272">
        <f t="shared" si="50"/>
        <v>0</v>
      </c>
      <c r="I70" s="272">
        <f t="shared" si="50"/>
        <v>0</v>
      </c>
      <c r="J70" s="272">
        <f t="shared" si="50"/>
        <v>0</v>
      </c>
      <c r="K70" s="272">
        <f t="shared" si="50"/>
        <v>0</v>
      </c>
      <c r="L70" s="272">
        <f t="shared" si="50"/>
        <v>0</v>
      </c>
      <c r="M70" s="272">
        <f t="shared" si="50"/>
        <v>0</v>
      </c>
      <c r="N70" s="272">
        <f t="shared" si="50"/>
        <v>0</v>
      </c>
      <c r="O70" s="272">
        <f t="shared" si="50"/>
        <v>0</v>
      </c>
      <c r="P70" s="272">
        <f t="shared" si="50"/>
        <v>0</v>
      </c>
      <c r="Q70" s="272">
        <f t="shared" si="50"/>
        <v>0</v>
      </c>
      <c r="R70" s="272">
        <f t="shared" si="50"/>
        <v>0</v>
      </c>
      <c r="S70" s="272">
        <f t="shared" si="50"/>
        <v>0</v>
      </c>
      <c r="T70" s="272">
        <f>T46</f>
        <v>403.03559999999999</v>
      </c>
      <c r="U70" s="272">
        <f t="shared" si="51"/>
        <v>806.08</v>
      </c>
      <c r="V70" s="272">
        <f t="shared" si="51"/>
        <v>0</v>
      </c>
      <c r="W70" s="272">
        <f t="shared" si="51"/>
        <v>0</v>
      </c>
      <c r="X70" s="272">
        <f t="shared" si="51"/>
        <v>0</v>
      </c>
      <c r="Y70" s="272">
        <f t="shared" si="51"/>
        <v>0</v>
      </c>
      <c r="Z70" s="272">
        <f t="shared" si="51"/>
        <v>3749.62</v>
      </c>
      <c r="AA70" s="272">
        <f t="shared" si="51"/>
        <v>3749.62</v>
      </c>
      <c r="AB70" s="272">
        <f>AB46+AB58</f>
        <v>0</v>
      </c>
      <c r="AC70" s="272">
        <f t="shared" si="52"/>
        <v>0</v>
      </c>
      <c r="AD70" s="272">
        <f>AD58+AD52</f>
        <v>1752.55</v>
      </c>
      <c r="AE70" s="272">
        <f>AE46</f>
        <v>1740.67</v>
      </c>
      <c r="AF70" s="273"/>
    </row>
    <row r="71" spans="1:32" ht="15.75" x14ac:dyDescent="0.25">
      <c r="A71" s="278" t="s">
        <v>221</v>
      </c>
      <c r="B71" s="272">
        <f>B47</f>
        <v>61222.599369999996</v>
      </c>
      <c r="C71" s="272">
        <f t="shared" si="50"/>
        <v>61222.599369999996</v>
      </c>
      <c r="D71" s="272">
        <f t="shared" si="50"/>
        <v>50347.53</v>
      </c>
      <c r="E71" s="272">
        <f t="shared" si="50"/>
        <v>50347.53</v>
      </c>
      <c r="F71" s="272">
        <f t="shared" si="50"/>
        <v>82.236838223290235</v>
      </c>
      <c r="G71" s="272">
        <f>IFERROR(E71/C71*100,0)</f>
        <v>82.236838223290235</v>
      </c>
      <c r="H71" s="272">
        <f t="shared" si="50"/>
        <v>0</v>
      </c>
      <c r="I71" s="272">
        <f t="shared" si="50"/>
        <v>0</v>
      </c>
      <c r="J71" s="272">
        <f t="shared" si="50"/>
        <v>2609.3220000000001</v>
      </c>
      <c r="K71" s="272">
        <f t="shared" si="50"/>
        <v>0</v>
      </c>
      <c r="L71" s="272">
        <f t="shared" si="50"/>
        <v>30792.012999999999</v>
      </c>
      <c r="M71" s="272">
        <f t="shared" si="50"/>
        <v>0</v>
      </c>
      <c r="N71" s="272">
        <f t="shared" si="50"/>
        <v>0</v>
      </c>
      <c r="O71" s="272">
        <f t="shared" si="50"/>
        <v>0</v>
      </c>
      <c r="P71" s="272">
        <f t="shared" si="50"/>
        <v>0</v>
      </c>
      <c r="Q71" s="272">
        <f t="shared" si="50"/>
        <v>0</v>
      </c>
      <c r="R71" s="272">
        <f t="shared" si="50"/>
        <v>1739.548</v>
      </c>
      <c r="S71" s="272">
        <f t="shared" si="50"/>
        <v>0</v>
      </c>
      <c r="T71" s="272">
        <f>T47+T59</f>
        <v>8839.92</v>
      </c>
      <c r="U71" s="272">
        <f t="shared" si="51"/>
        <v>8839.92</v>
      </c>
      <c r="V71" s="272">
        <f t="shared" si="51"/>
        <v>0</v>
      </c>
      <c r="W71" s="272">
        <f t="shared" si="51"/>
        <v>30792.01</v>
      </c>
      <c r="X71" s="272">
        <f t="shared" si="51"/>
        <v>0</v>
      </c>
      <c r="Y71" s="272">
        <f t="shared" si="51"/>
        <v>0</v>
      </c>
      <c r="Z71" s="272">
        <f t="shared" si="51"/>
        <v>0</v>
      </c>
      <c r="AA71" s="272">
        <f t="shared" si="51"/>
        <v>0</v>
      </c>
      <c r="AB71" s="272">
        <f>AB47+AB59</f>
        <v>0</v>
      </c>
      <c r="AC71" s="272">
        <f t="shared" si="52"/>
        <v>0</v>
      </c>
      <c r="AD71" s="272">
        <f>AD53</f>
        <v>17241.79637</v>
      </c>
      <c r="AE71" s="272">
        <f>AE47</f>
        <v>10715.6</v>
      </c>
      <c r="AF71" s="273"/>
    </row>
    <row r="72" spans="1:32" ht="31.5" x14ac:dyDescent="0.25">
      <c r="A72" s="286" t="s">
        <v>63</v>
      </c>
      <c r="B72" s="269">
        <f>B73+B74+B76</f>
        <v>204008.59130999999</v>
      </c>
      <c r="C72" s="269">
        <f>C73+C74+C76</f>
        <v>203547.69130999997</v>
      </c>
      <c r="D72" s="269">
        <f>E72</f>
        <v>192428.45194000003</v>
      </c>
      <c r="E72" s="269">
        <f t="shared" ref="E72" si="53">E73+E74+E76</f>
        <v>192428.45194000003</v>
      </c>
      <c r="F72" s="269">
        <f>IFERROR(E72/B72*100,0)</f>
        <v>94.323700146331859</v>
      </c>
      <c r="G72" s="269">
        <f>IFERROR(E72/C72*100,0)</f>
        <v>94.537280527016392</v>
      </c>
      <c r="H72" s="269">
        <f>H73+H74+H76</f>
        <v>0</v>
      </c>
      <c r="I72" s="269">
        <f t="shared" ref="I72:AE72" si="54">I73+I74+I76</f>
        <v>0</v>
      </c>
      <c r="J72" s="269">
        <f t="shared" si="54"/>
        <v>2609.3220000000001</v>
      </c>
      <c r="K72" s="269">
        <f t="shared" si="54"/>
        <v>0</v>
      </c>
      <c r="L72" s="269">
        <f t="shared" si="54"/>
        <v>30792.012999999999</v>
      </c>
      <c r="M72" s="269">
        <f t="shared" si="54"/>
        <v>0</v>
      </c>
      <c r="N72" s="269">
        <f t="shared" si="54"/>
        <v>0</v>
      </c>
      <c r="O72" s="269">
        <f t="shared" si="54"/>
        <v>0</v>
      </c>
      <c r="P72" s="269">
        <f t="shared" si="54"/>
        <v>0</v>
      </c>
      <c r="Q72" s="269">
        <f t="shared" si="54"/>
        <v>0</v>
      </c>
      <c r="R72" s="269">
        <f t="shared" si="54"/>
        <v>1847.1479999999999</v>
      </c>
      <c r="S72" s="269">
        <f t="shared" si="54"/>
        <v>0</v>
      </c>
      <c r="T72" s="269">
        <f t="shared" si="54"/>
        <v>16900.631939999999</v>
      </c>
      <c r="U72" s="269">
        <f t="shared" si="54"/>
        <v>16900.631939999999</v>
      </c>
      <c r="V72" s="269">
        <f t="shared" si="54"/>
        <v>469.4</v>
      </c>
      <c r="W72" s="269">
        <f t="shared" si="54"/>
        <v>31365.57</v>
      </c>
      <c r="X72" s="269">
        <f t="shared" si="54"/>
        <v>977.58</v>
      </c>
      <c r="Y72" s="269">
        <f t="shared" si="54"/>
        <v>977.58</v>
      </c>
      <c r="Z72" s="269">
        <f t="shared" si="54"/>
        <v>41245.870000000003</v>
      </c>
      <c r="AA72" s="269">
        <f t="shared" si="54"/>
        <v>74992.5</v>
      </c>
      <c r="AB72" s="269">
        <f>AB73+AB74+AB76</f>
        <v>2098.52</v>
      </c>
      <c r="AC72" s="269">
        <f t="shared" si="54"/>
        <v>0</v>
      </c>
      <c r="AD72" s="269">
        <f>AD73+AD74+AD76</f>
        <v>110817.72637</v>
      </c>
      <c r="AE72" s="269">
        <f t="shared" si="54"/>
        <v>105688.42000000001</v>
      </c>
      <c r="AF72" s="270"/>
    </row>
    <row r="73" spans="1:32" ht="15.75" x14ac:dyDescent="0.25">
      <c r="A73" s="287" t="s">
        <v>32</v>
      </c>
      <c r="B73" s="272">
        <f>B68+B36</f>
        <v>122969.19633999999</v>
      </c>
      <c r="C73" s="272">
        <f>C24+C44</f>
        <v>122969.19633999999</v>
      </c>
      <c r="D73" s="272">
        <f>D68+D36</f>
        <v>122744.24634000001</v>
      </c>
      <c r="E73" s="272">
        <f>E68+E36</f>
        <v>122744.24634000001</v>
      </c>
      <c r="F73" s="272">
        <f t="shared" si="37"/>
        <v>99.81706800833436</v>
      </c>
      <c r="G73" s="272">
        <f t="shared" si="35"/>
        <v>99.81706800833436</v>
      </c>
      <c r="H73" s="272">
        <f t="shared" ref="H73:AE73" si="55">H68+H36</f>
        <v>0</v>
      </c>
      <c r="I73" s="272">
        <f t="shared" si="55"/>
        <v>0</v>
      </c>
      <c r="J73" s="272">
        <f t="shared" si="55"/>
        <v>0</v>
      </c>
      <c r="K73" s="272">
        <f t="shared" si="55"/>
        <v>0</v>
      </c>
      <c r="L73" s="272">
        <f t="shared" si="55"/>
        <v>0</v>
      </c>
      <c r="M73" s="272">
        <f t="shared" si="55"/>
        <v>0</v>
      </c>
      <c r="N73" s="272">
        <f t="shared" si="55"/>
        <v>0</v>
      </c>
      <c r="O73" s="272">
        <f t="shared" si="55"/>
        <v>0</v>
      </c>
      <c r="P73" s="272">
        <f t="shared" si="55"/>
        <v>0</v>
      </c>
      <c r="Q73" s="272">
        <f t="shared" si="55"/>
        <v>0</v>
      </c>
      <c r="R73" s="272">
        <f t="shared" si="55"/>
        <v>0</v>
      </c>
      <c r="S73" s="272">
        <f t="shared" si="55"/>
        <v>0</v>
      </c>
      <c r="T73" s="272">
        <f t="shared" si="55"/>
        <v>7657.67634</v>
      </c>
      <c r="U73" s="272">
        <f>U68+U36</f>
        <v>7657.67634</v>
      </c>
      <c r="V73" s="272">
        <f t="shared" si="55"/>
        <v>0</v>
      </c>
      <c r="W73" s="272">
        <f t="shared" si="55"/>
        <v>0</v>
      </c>
      <c r="X73" s="272">
        <f t="shared" si="55"/>
        <v>0</v>
      </c>
      <c r="Y73" s="272">
        <f t="shared" si="55"/>
        <v>0</v>
      </c>
      <c r="Z73" s="272">
        <f t="shared" si="55"/>
        <v>37496.25</v>
      </c>
      <c r="AA73" s="272">
        <f t="shared" si="55"/>
        <v>71242.880000000005</v>
      </c>
      <c r="AB73" s="272">
        <f t="shared" si="55"/>
        <v>0</v>
      </c>
      <c r="AC73" s="272">
        <f t="shared" si="55"/>
        <v>0</v>
      </c>
      <c r="AD73" s="272">
        <f t="shared" si="55"/>
        <v>79690.080000000002</v>
      </c>
      <c r="AE73" s="272">
        <f t="shared" si="55"/>
        <v>79465.13</v>
      </c>
      <c r="AF73" s="273"/>
    </row>
    <row r="74" spans="1:32" ht="15.75" x14ac:dyDescent="0.25">
      <c r="A74" s="287" t="s">
        <v>33</v>
      </c>
      <c r="B74" s="272">
        <f>B69+B37+B19</f>
        <v>19816.795599999998</v>
      </c>
      <c r="C74" s="272">
        <f>C9+C25+C45</f>
        <v>19355.8956</v>
      </c>
      <c r="D74" s="272">
        <f t="shared" ref="D74:AE74" si="56">D69+D37+D19</f>
        <v>16382.435600000001</v>
      </c>
      <c r="E74" s="272">
        <f>E69+E37+E19</f>
        <v>19336.675600000002</v>
      </c>
      <c r="F74" s="272">
        <f t="shared" si="56"/>
        <v>385.7961322062514</v>
      </c>
      <c r="G74" s="272">
        <f t="shared" si="56"/>
        <v>99.679979705379651</v>
      </c>
      <c r="H74" s="272">
        <f t="shared" si="56"/>
        <v>0</v>
      </c>
      <c r="I74" s="272">
        <f t="shared" si="56"/>
        <v>0</v>
      </c>
      <c r="J74" s="272">
        <f t="shared" si="56"/>
        <v>0</v>
      </c>
      <c r="K74" s="272">
        <f t="shared" si="56"/>
        <v>0</v>
      </c>
      <c r="L74" s="272">
        <f t="shared" si="56"/>
        <v>0</v>
      </c>
      <c r="M74" s="272">
        <f t="shared" si="56"/>
        <v>0</v>
      </c>
      <c r="N74" s="272">
        <f t="shared" si="56"/>
        <v>0</v>
      </c>
      <c r="O74" s="272">
        <f t="shared" si="56"/>
        <v>0</v>
      </c>
      <c r="P74" s="272">
        <f t="shared" si="56"/>
        <v>0</v>
      </c>
      <c r="Q74" s="272">
        <f t="shared" si="56"/>
        <v>0</v>
      </c>
      <c r="R74" s="272">
        <f t="shared" si="56"/>
        <v>107.6</v>
      </c>
      <c r="S74" s="272">
        <f t="shared" si="56"/>
        <v>0</v>
      </c>
      <c r="T74" s="272">
        <f t="shared" si="56"/>
        <v>403.03559999999999</v>
      </c>
      <c r="U74" s="272">
        <f t="shared" si="56"/>
        <v>403.03559999999999</v>
      </c>
      <c r="V74" s="272">
        <f t="shared" si="56"/>
        <v>469.4</v>
      </c>
      <c r="W74" s="272">
        <f t="shared" si="56"/>
        <v>573.55999999999995</v>
      </c>
      <c r="X74" s="272">
        <f t="shared" si="56"/>
        <v>977.58</v>
      </c>
      <c r="Y74" s="272">
        <f t="shared" si="56"/>
        <v>977.58</v>
      </c>
      <c r="Z74" s="272">
        <f t="shared" si="56"/>
        <v>3749.62</v>
      </c>
      <c r="AA74" s="272">
        <f t="shared" si="56"/>
        <v>3749.62</v>
      </c>
      <c r="AB74" s="272">
        <f t="shared" si="56"/>
        <v>2098.52</v>
      </c>
      <c r="AC74" s="272">
        <f t="shared" si="56"/>
        <v>0</v>
      </c>
      <c r="AD74" s="272">
        <f>AD69+AD37+AD19</f>
        <v>13885.85</v>
      </c>
      <c r="AE74" s="272">
        <f t="shared" si="56"/>
        <v>15507.69</v>
      </c>
      <c r="AF74" s="273"/>
    </row>
    <row r="75" spans="1:32" ht="31.5" x14ac:dyDescent="0.25">
      <c r="A75" s="283" t="s">
        <v>174</v>
      </c>
      <c r="B75" s="272">
        <f t="shared" ref="B75:AD75" si="57">B70+B38+B19</f>
        <v>19047.495600000002</v>
      </c>
      <c r="C75" s="272">
        <f t="shared" si="57"/>
        <v>8060.7911999999997</v>
      </c>
      <c r="D75" s="272">
        <f t="shared" si="57"/>
        <v>19635.14</v>
      </c>
      <c r="E75" s="272">
        <v>403.04</v>
      </c>
      <c r="F75" s="272">
        <f t="shared" si="57"/>
        <v>385.8172496698952</v>
      </c>
      <c r="G75" s="272">
        <f t="shared" si="57"/>
        <v>99.705349023306795</v>
      </c>
      <c r="H75" s="272">
        <f t="shared" si="57"/>
        <v>0</v>
      </c>
      <c r="I75" s="272">
        <f t="shared" si="57"/>
        <v>0</v>
      </c>
      <c r="J75" s="272">
        <f t="shared" si="57"/>
        <v>0</v>
      </c>
      <c r="K75" s="272">
        <f t="shared" si="57"/>
        <v>0</v>
      </c>
      <c r="L75" s="272">
        <f t="shared" si="57"/>
        <v>0</v>
      </c>
      <c r="M75" s="272">
        <f t="shared" si="57"/>
        <v>0</v>
      </c>
      <c r="N75" s="272">
        <f t="shared" si="57"/>
        <v>0</v>
      </c>
      <c r="O75" s="272">
        <f t="shared" si="57"/>
        <v>0</v>
      </c>
      <c r="P75" s="272">
        <f t="shared" si="57"/>
        <v>0</v>
      </c>
      <c r="Q75" s="272">
        <f t="shared" si="57"/>
        <v>0</v>
      </c>
      <c r="R75" s="272">
        <f t="shared" si="57"/>
        <v>0</v>
      </c>
      <c r="S75" s="272">
        <f t="shared" si="57"/>
        <v>0</v>
      </c>
      <c r="T75" s="272">
        <f t="shared" si="57"/>
        <v>403.03559999999999</v>
      </c>
      <c r="U75" s="272">
        <f t="shared" si="57"/>
        <v>806.08</v>
      </c>
      <c r="V75" s="272">
        <f t="shared" si="57"/>
        <v>0</v>
      </c>
      <c r="W75" s="272">
        <f t="shared" si="57"/>
        <v>0</v>
      </c>
      <c r="X75" s="272">
        <f t="shared" si="57"/>
        <v>859.58</v>
      </c>
      <c r="Y75" s="272">
        <f t="shared" si="57"/>
        <v>859.58</v>
      </c>
      <c r="Z75" s="272">
        <f t="shared" si="57"/>
        <v>3749.62</v>
      </c>
      <c r="AA75" s="272">
        <f t="shared" si="57"/>
        <v>3749.62</v>
      </c>
      <c r="AB75" s="272">
        <f t="shared" si="57"/>
        <v>2098.52</v>
      </c>
      <c r="AC75" s="272">
        <f t="shared" si="57"/>
        <v>0</v>
      </c>
      <c r="AD75" s="272">
        <f t="shared" si="57"/>
        <v>13811.55</v>
      </c>
      <c r="AE75" s="272">
        <f>AE70+AE38</f>
        <v>13338.77</v>
      </c>
      <c r="AF75" s="273"/>
    </row>
    <row r="76" spans="1:32" ht="31.5" x14ac:dyDescent="0.25">
      <c r="A76" s="271" t="s">
        <v>374</v>
      </c>
      <c r="B76" s="272">
        <f>B71+B39</f>
        <v>61222.599369999996</v>
      </c>
      <c r="C76" s="272">
        <f>C71+C39</f>
        <v>61222.599369999996</v>
      </c>
      <c r="D76" s="272">
        <f>D71+D39</f>
        <v>50347.53</v>
      </c>
      <c r="E76" s="272">
        <f>E71+E39</f>
        <v>50347.53</v>
      </c>
      <c r="F76" s="272">
        <f>IFERROR(E76/B76*100,0)</f>
        <v>82.236838223290235</v>
      </c>
      <c r="G76" s="272">
        <f t="shared" si="35"/>
        <v>82.236838223290235</v>
      </c>
      <c r="H76" s="272">
        <f t="shared" ref="H76:AD76" si="58">H71+H39</f>
        <v>0</v>
      </c>
      <c r="I76" s="272">
        <f t="shared" si="58"/>
        <v>0</v>
      </c>
      <c r="J76" s="272">
        <f t="shared" si="58"/>
        <v>2609.3220000000001</v>
      </c>
      <c r="K76" s="272">
        <f t="shared" si="58"/>
        <v>0</v>
      </c>
      <c r="L76" s="272">
        <f t="shared" si="58"/>
        <v>30792.012999999999</v>
      </c>
      <c r="M76" s="272">
        <f t="shared" si="58"/>
        <v>0</v>
      </c>
      <c r="N76" s="272">
        <f t="shared" si="58"/>
        <v>0</v>
      </c>
      <c r="O76" s="272">
        <f t="shared" si="58"/>
        <v>0</v>
      </c>
      <c r="P76" s="272">
        <f t="shared" si="58"/>
        <v>0</v>
      </c>
      <c r="Q76" s="272">
        <f t="shared" si="58"/>
        <v>0</v>
      </c>
      <c r="R76" s="272">
        <f t="shared" si="58"/>
        <v>1739.548</v>
      </c>
      <c r="S76" s="272">
        <f t="shared" si="58"/>
        <v>0</v>
      </c>
      <c r="T76" s="272">
        <f t="shared" si="58"/>
        <v>8839.92</v>
      </c>
      <c r="U76" s="272">
        <f t="shared" si="58"/>
        <v>8839.92</v>
      </c>
      <c r="V76" s="272">
        <f t="shared" si="58"/>
        <v>0</v>
      </c>
      <c r="W76" s="272">
        <f t="shared" si="58"/>
        <v>30792.01</v>
      </c>
      <c r="X76" s="272">
        <f t="shared" si="58"/>
        <v>0</v>
      </c>
      <c r="Y76" s="272">
        <f t="shared" si="58"/>
        <v>0</v>
      </c>
      <c r="Z76" s="272">
        <f t="shared" si="58"/>
        <v>0</v>
      </c>
      <c r="AA76" s="272">
        <f t="shared" si="58"/>
        <v>0</v>
      </c>
      <c r="AB76" s="272">
        <f t="shared" si="58"/>
        <v>0</v>
      </c>
      <c r="AC76" s="272">
        <f t="shared" si="58"/>
        <v>0</v>
      </c>
      <c r="AD76" s="272">
        <f t="shared" si="58"/>
        <v>17241.79637</v>
      </c>
      <c r="AE76" s="272">
        <f>AE71+AE39</f>
        <v>10715.6</v>
      </c>
      <c r="AF76" s="273"/>
    </row>
    <row r="77" spans="1:32" ht="31.5" x14ac:dyDescent="0.25">
      <c r="A77" s="771" t="s">
        <v>381</v>
      </c>
      <c r="B77" s="772"/>
      <c r="C77" s="772"/>
      <c r="D77" s="772"/>
      <c r="E77" s="772"/>
      <c r="F77" s="772"/>
      <c r="G77" s="772"/>
      <c r="H77" s="772"/>
      <c r="I77" s="772"/>
      <c r="J77" s="772"/>
      <c r="K77" s="772"/>
      <c r="L77" s="772"/>
      <c r="M77" s="772"/>
      <c r="N77" s="772"/>
      <c r="O77" s="772"/>
      <c r="P77" s="772"/>
      <c r="Q77" s="772"/>
      <c r="R77" s="772"/>
      <c r="S77" s="772"/>
      <c r="T77" s="772"/>
      <c r="U77" s="772"/>
      <c r="V77" s="772"/>
      <c r="W77" s="772"/>
      <c r="X77" s="772"/>
      <c r="Y77" s="772"/>
      <c r="Z77" s="772"/>
      <c r="AA77" s="772"/>
      <c r="AB77" s="772"/>
      <c r="AC77" s="772"/>
      <c r="AD77" s="772"/>
      <c r="AE77" s="772"/>
      <c r="AF77" s="288"/>
    </row>
    <row r="78" spans="1:32" ht="15.75" x14ac:dyDescent="0.25">
      <c r="A78" s="268" t="s">
        <v>31</v>
      </c>
      <c r="B78" s="269">
        <f>B79+B80+B82</f>
        <v>204008.59130999999</v>
      </c>
      <c r="C78" s="269">
        <f>C79+C80+C82</f>
        <v>203547.69130999997</v>
      </c>
      <c r="D78" s="269">
        <f>D79+D80+D82</f>
        <v>192428.45194000003</v>
      </c>
      <c r="E78" s="269">
        <f>E79+E80+E82</f>
        <v>192428.45194000003</v>
      </c>
      <c r="F78" s="269">
        <f>IFERROR(E78/B78*100,0)</f>
        <v>94.323700146331859</v>
      </c>
      <c r="G78" s="269">
        <f>IFERROR(E78/C78*100,0)</f>
        <v>94.537280527016392</v>
      </c>
      <c r="H78" s="269">
        <f>H79+H80+H82</f>
        <v>0</v>
      </c>
      <c r="I78" s="269">
        <f t="shared" ref="I78:AE78" si="59">I79+I80+I82</f>
        <v>0</v>
      </c>
      <c r="J78" s="269">
        <f t="shared" si="59"/>
        <v>2609.3220000000001</v>
      </c>
      <c r="K78" s="269">
        <f t="shared" si="59"/>
        <v>0</v>
      </c>
      <c r="L78" s="269">
        <f t="shared" si="59"/>
        <v>30792.012999999999</v>
      </c>
      <c r="M78" s="269">
        <f t="shared" si="59"/>
        <v>0</v>
      </c>
      <c r="N78" s="269">
        <f t="shared" si="59"/>
        <v>0</v>
      </c>
      <c r="O78" s="269">
        <f t="shared" si="59"/>
        <v>0</v>
      </c>
      <c r="P78" s="269">
        <f t="shared" si="59"/>
        <v>0</v>
      </c>
      <c r="Q78" s="269">
        <f t="shared" si="59"/>
        <v>0</v>
      </c>
      <c r="R78" s="269">
        <f t="shared" si="59"/>
        <v>1847.1479999999999</v>
      </c>
      <c r="S78" s="269">
        <f t="shared" si="59"/>
        <v>0</v>
      </c>
      <c r="T78" s="269">
        <f t="shared" si="59"/>
        <v>16900.631939999999</v>
      </c>
      <c r="U78" s="269">
        <f t="shared" si="59"/>
        <v>16900.631939999999</v>
      </c>
      <c r="V78" s="269">
        <f t="shared" si="59"/>
        <v>469.4</v>
      </c>
      <c r="W78" s="269">
        <f t="shared" si="59"/>
        <v>31365.57</v>
      </c>
      <c r="X78" s="269">
        <f t="shared" si="59"/>
        <v>977.58</v>
      </c>
      <c r="Y78" s="269">
        <f t="shared" si="59"/>
        <v>977.58</v>
      </c>
      <c r="Z78" s="269">
        <f t="shared" si="59"/>
        <v>41245.870000000003</v>
      </c>
      <c r="AA78" s="269">
        <f t="shared" si="59"/>
        <v>74992.5</v>
      </c>
      <c r="AB78" s="269">
        <f t="shared" si="59"/>
        <v>2098.52</v>
      </c>
      <c r="AC78" s="269">
        <f t="shared" si="59"/>
        <v>0</v>
      </c>
      <c r="AD78" s="269">
        <f t="shared" si="59"/>
        <v>110817.72637</v>
      </c>
      <c r="AE78" s="269">
        <f t="shared" si="59"/>
        <v>105688.42000000001</v>
      </c>
      <c r="AF78" s="289"/>
    </row>
    <row r="79" spans="1:32" ht="15.75" x14ac:dyDescent="0.25">
      <c r="A79" s="287" t="s">
        <v>32</v>
      </c>
      <c r="B79" s="272">
        <f>B24+B44</f>
        <v>122969.19633999999</v>
      </c>
      <c r="C79" s="272">
        <f>C24+C44</f>
        <v>122969.19633999999</v>
      </c>
      <c r="D79" s="272">
        <f>E79</f>
        <v>122744.24634000001</v>
      </c>
      <c r="E79" s="272">
        <f>E24+E44</f>
        <v>122744.24634000001</v>
      </c>
      <c r="F79" s="272">
        <f t="shared" ref="F79:F82" si="60">IFERROR(E79/B79*100,0)</f>
        <v>99.81706800833436</v>
      </c>
      <c r="G79" s="272">
        <f>IFERROR(E79/C79*100,0)</f>
        <v>99.81706800833436</v>
      </c>
      <c r="H79" s="272">
        <f>H73</f>
        <v>0</v>
      </c>
      <c r="I79" s="272">
        <f t="shared" ref="I79:AE82" si="61">I73</f>
        <v>0</v>
      </c>
      <c r="J79" s="272">
        <f t="shared" si="61"/>
        <v>0</v>
      </c>
      <c r="K79" s="272">
        <f t="shared" si="61"/>
        <v>0</v>
      </c>
      <c r="L79" s="272">
        <f t="shared" si="61"/>
        <v>0</v>
      </c>
      <c r="M79" s="272">
        <f t="shared" si="61"/>
        <v>0</v>
      </c>
      <c r="N79" s="272">
        <f t="shared" si="61"/>
        <v>0</v>
      </c>
      <c r="O79" s="272">
        <f t="shared" si="61"/>
        <v>0</v>
      </c>
      <c r="P79" s="272">
        <f t="shared" si="61"/>
        <v>0</v>
      </c>
      <c r="Q79" s="272">
        <f t="shared" si="61"/>
        <v>0</v>
      </c>
      <c r="R79" s="272">
        <f t="shared" si="61"/>
        <v>0</v>
      </c>
      <c r="S79" s="272">
        <f t="shared" si="61"/>
        <v>0</v>
      </c>
      <c r="T79" s="272">
        <f t="shared" si="61"/>
        <v>7657.67634</v>
      </c>
      <c r="U79" s="272">
        <f t="shared" si="61"/>
        <v>7657.67634</v>
      </c>
      <c r="V79" s="272">
        <f t="shared" si="61"/>
        <v>0</v>
      </c>
      <c r="W79" s="272">
        <f t="shared" si="61"/>
        <v>0</v>
      </c>
      <c r="X79" s="272">
        <f t="shared" si="61"/>
        <v>0</v>
      </c>
      <c r="Y79" s="272">
        <f t="shared" si="61"/>
        <v>0</v>
      </c>
      <c r="Z79" s="272">
        <f t="shared" si="61"/>
        <v>37496.25</v>
      </c>
      <c r="AA79" s="272">
        <f t="shared" si="61"/>
        <v>71242.880000000005</v>
      </c>
      <c r="AB79" s="272">
        <f t="shared" si="61"/>
        <v>0</v>
      </c>
      <c r="AC79" s="272">
        <f t="shared" si="61"/>
        <v>0</v>
      </c>
      <c r="AD79" s="272">
        <f t="shared" si="61"/>
        <v>79690.080000000002</v>
      </c>
      <c r="AE79" s="272">
        <f t="shared" si="61"/>
        <v>79465.13</v>
      </c>
      <c r="AF79" s="290"/>
    </row>
    <row r="80" spans="1:32" ht="15.75" x14ac:dyDescent="0.25">
      <c r="A80" s="287" t="s">
        <v>33</v>
      </c>
      <c r="B80" s="272">
        <f>B9+B25+B45</f>
        <v>19816.795599999998</v>
      </c>
      <c r="C80" s="272">
        <f>C9+C25+C45</f>
        <v>19355.8956</v>
      </c>
      <c r="D80" s="272">
        <f>E80</f>
        <v>19336.675600000002</v>
      </c>
      <c r="E80" s="272">
        <f>E9+E25+E45</f>
        <v>19336.675600000002</v>
      </c>
      <c r="F80" s="272">
        <f t="shared" si="60"/>
        <v>97.577206680175905</v>
      </c>
      <c r="G80" s="272">
        <f>IFERROR(E80/C80*100,0)</f>
        <v>99.900702088928412</v>
      </c>
      <c r="H80" s="272">
        <f t="shared" ref="H80:W82" si="62">H74</f>
        <v>0</v>
      </c>
      <c r="I80" s="272">
        <f t="shared" si="62"/>
        <v>0</v>
      </c>
      <c r="J80" s="272">
        <f t="shared" si="62"/>
        <v>0</v>
      </c>
      <c r="K80" s="272">
        <f t="shared" si="62"/>
        <v>0</v>
      </c>
      <c r="L80" s="272">
        <f t="shared" si="62"/>
        <v>0</v>
      </c>
      <c r="M80" s="272">
        <f t="shared" si="62"/>
        <v>0</v>
      </c>
      <c r="N80" s="272">
        <f t="shared" si="62"/>
        <v>0</v>
      </c>
      <c r="O80" s="272">
        <f t="shared" si="62"/>
        <v>0</v>
      </c>
      <c r="P80" s="272">
        <f t="shared" si="62"/>
        <v>0</v>
      </c>
      <c r="Q80" s="272">
        <f t="shared" si="62"/>
        <v>0</v>
      </c>
      <c r="R80" s="272">
        <f t="shared" si="62"/>
        <v>107.6</v>
      </c>
      <c r="S80" s="272">
        <f t="shared" si="62"/>
        <v>0</v>
      </c>
      <c r="T80" s="272">
        <f t="shared" si="62"/>
        <v>403.03559999999999</v>
      </c>
      <c r="U80" s="272">
        <f t="shared" si="62"/>
        <v>403.03559999999999</v>
      </c>
      <c r="V80" s="272">
        <f t="shared" si="62"/>
        <v>469.4</v>
      </c>
      <c r="W80" s="272">
        <f t="shared" si="62"/>
        <v>573.55999999999995</v>
      </c>
      <c r="X80" s="272">
        <f t="shared" si="61"/>
        <v>977.58</v>
      </c>
      <c r="Y80" s="272">
        <f t="shared" si="61"/>
        <v>977.58</v>
      </c>
      <c r="Z80" s="272">
        <f t="shared" si="61"/>
        <v>3749.62</v>
      </c>
      <c r="AA80" s="272">
        <f t="shared" si="61"/>
        <v>3749.62</v>
      </c>
      <c r="AB80" s="272">
        <f t="shared" si="61"/>
        <v>2098.52</v>
      </c>
      <c r="AC80" s="272">
        <f t="shared" si="61"/>
        <v>0</v>
      </c>
      <c r="AD80" s="272">
        <f>AD74</f>
        <v>13885.85</v>
      </c>
      <c r="AE80" s="272">
        <f t="shared" si="61"/>
        <v>15507.69</v>
      </c>
      <c r="AF80" s="290"/>
    </row>
    <row r="81" spans="1:32" ht="31.5" x14ac:dyDescent="0.25">
      <c r="A81" s="283" t="s">
        <v>174</v>
      </c>
      <c r="B81" s="272">
        <f>B70</f>
        <v>4030.3955999999998</v>
      </c>
      <c r="C81" s="272">
        <f>C70</f>
        <v>8060.7911999999997</v>
      </c>
      <c r="D81" s="272">
        <f>E81</f>
        <v>8037.04</v>
      </c>
      <c r="E81" s="272">
        <f>E70</f>
        <v>8037.04</v>
      </c>
      <c r="F81" s="272">
        <f t="shared" si="60"/>
        <v>199.41069804661359</v>
      </c>
      <c r="G81" s="272">
        <f>IFERROR(E81/C81*100,0)</f>
        <v>99.705349023306795</v>
      </c>
      <c r="H81" s="272">
        <f t="shared" si="62"/>
        <v>0</v>
      </c>
      <c r="I81" s="272">
        <f t="shared" si="62"/>
        <v>0</v>
      </c>
      <c r="J81" s="272">
        <f t="shared" si="62"/>
        <v>0</v>
      </c>
      <c r="K81" s="272">
        <f t="shared" si="62"/>
        <v>0</v>
      </c>
      <c r="L81" s="272">
        <f t="shared" si="62"/>
        <v>0</v>
      </c>
      <c r="M81" s="272">
        <f t="shared" si="62"/>
        <v>0</v>
      </c>
      <c r="N81" s="272">
        <f t="shared" si="62"/>
        <v>0</v>
      </c>
      <c r="O81" s="272">
        <f t="shared" si="62"/>
        <v>0</v>
      </c>
      <c r="P81" s="272">
        <f t="shared" si="62"/>
        <v>0</v>
      </c>
      <c r="Q81" s="272">
        <f t="shared" si="62"/>
        <v>0</v>
      </c>
      <c r="R81" s="272">
        <f t="shared" si="62"/>
        <v>0</v>
      </c>
      <c r="S81" s="272">
        <f t="shared" si="62"/>
        <v>0</v>
      </c>
      <c r="T81" s="272">
        <f t="shared" si="62"/>
        <v>403.03559999999999</v>
      </c>
      <c r="U81" s="272">
        <f t="shared" si="62"/>
        <v>806.08</v>
      </c>
      <c r="V81" s="272">
        <f t="shared" si="62"/>
        <v>0</v>
      </c>
      <c r="W81" s="272">
        <f t="shared" si="62"/>
        <v>0</v>
      </c>
      <c r="X81" s="272">
        <f t="shared" si="61"/>
        <v>859.58</v>
      </c>
      <c r="Y81" s="272">
        <f t="shared" si="61"/>
        <v>859.58</v>
      </c>
      <c r="Z81" s="272">
        <f t="shared" si="61"/>
        <v>3749.62</v>
      </c>
      <c r="AA81" s="272">
        <f t="shared" si="61"/>
        <v>3749.62</v>
      </c>
      <c r="AB81" s="272">
        <f t="shared" si="61"/>
        <v>2098.52</v>
      </c>
      <c r="AC81" s="272">
        <f t="shared" si="61"/>
        <v>0</v>
      </c>
      <c r="AD81" s="272">
        <f>AD75</f>
        <v>13811.55</v>
      </c>
      <c r="AE81" s="272">
        <f t="shared" si="61"/>
        <v>13338.77</v>
      </c>
      <c r="AF81" s="290"/>
    </row>
    <row r="82" spans="1:32" ht="31.5" x14ac:dyDescent="0.25">
      <c r="A82" s="271" t="s">
        <v>374</v>
      </c>
      <c r="B82" s="272">
        <f>H82+J82+L82+N82+P82+R82+T82+V82+X82+Z82+AB82+AD82</f>
        <v>61222.599369999996</v>
      </c>
      <c r="C82" s="272">
        <f>C27+C47</f>
        <v>61222.599369999996</v>
      </c>
      <c r="D82" s="272">
        <f t="shared" ref="D82" si="63">E82</f>
        <v>50347.53</v>
      </c>
      <c r="E82" s="272">
        <f t="shared" ref="E82" si="64">I82+K82+M82+O82+Q82+S82+U82+W82+Y82+AA82+AC82+AE82</f>
        <v>50347.53</v>
      </c>
      <c r="F82" s="272">
        <f t="shared" si="60"/>
        <v>82.236838223290235</v>
      </c>
      <c r="G82" s="272">
        <f>IFERROR(E82/C82*100,0)</f>
        <v>82.236838223290235</v>
      </c>
      <c r="H82" s="272">
        <f t="shared" si="62"/>
        <v>0</v>
      </c>
      <c r="I82" s="272">
        <f t="shared" si="62"/>
        <v>0</v>
      </c>
      <c r="J82" s="272">
        <f t="shared" si="62"/>
        <v>2609.3220000000001</v>
      </c>
      <c r="K82" s="272">
        <f t="shared" si="62"/>
        <v>0</v>
      </c>
      <c r="L82" s="272">
        <f t="shared" si="62"/>
        <v>30792.012999999999</v>
      </c>
      <c r="M82" s="272">
        <f t="shared" si="62"/>
        <v>0</v>
      </c>
      <c r="N82" s="272">
        <f t="shared" si="62"/>
        <v>0</v>
      </c>
      <c r="O82" s="272">
        <f t="shared" si="62"/>
        <v>0</v>
      </c>
      <c r="P82" s="272">
        <f t="shared" si="62"/>
        <v>0</v>
      </c>
      <c r="Q82" s="272">
        <f t="shared" si="62"/>
        <v>0</v>
      </c>
      <c r="R82" s="272">
        <f t="shared" si="62"/>
        <v>1739.548</v>
      </c>
      <c r="S82" s="272">
        <f t="shared" si="62"/>
        <v>0</v>
      </c>
      <c r="T82" s="272">
        <f t="shared" si="62"/>
        <v>8839.92</v>
      </c>
      <c r="U82" s="272">
        <f t="shared" si="62"/>
        <v>8839.92</v>
      </c>
      <c r="V82" s="272">
        <f t="shared" si="62"/>
        <v>0</v>
      </c>
      <c r="W82" s="272">
        <f t="shared" si="62"/>
        <v>30792.01</v>
      </c>
      <c r="X82" s="272">
        <f t="shared" si="61"/>
        <v>0</v>
      </c>
      <c r="Y82" s="272">
        <f t="shared" si="61"/>
        <v>0</v>
      </c>
      <c r="Z82" s="272">
        <f t="shared" si="61"/>
        <v>0</v>
      </c>
      <c r="AA82" s="272">
        <f t="shared" si="61"/>
        <v>0</v>
      </c>
      <c r="AB82" s="272">
        <f t="shared" si="61"/>
        <v>0</v>
      </c>
      <c r="AC82" s="272">
        <f t="shared" si="61"/>
        <v>0</v>
      </c>
      <c r="AD82" s="272">
        <f t="shared" si="61"/>
        <v>17241.79637</v>
      </c>
      <c r="AE82" s="272">
        <f t="shared" si="61"/>
        <v>10715.6</v>
      </c>
      <c r="AF82" s="290"/>
    </row>
  </sheetData>
  <customSheetViews>
    <customSheetView guid="{7C130984-112A-4861-AA43-E2940708E3DC}" scale="70" state="hidden" topLeftCell="P1">
      <pane ySplit="3" topLeftCell="A52" activePane="bottomLeft" state="frozen"/>
      <selection pane="bottomLeft" activeCell="AG54" sqref="AG54"/>
      <pageMargins left="0.7" right="0.7" top="0.75" bottom="0.75" header="0.3" footer="0.3"/>
      <pageSetup paperSize="9" orientation="portrait" r:id="rId1"/>
    </customSheetView>
    <customSheetView guid="{533DC55B-6AD4-4674-9488-685EF2039F3E}" scale="70" state="hidden" topLeftCell="P1">
      <pane ySplit="3" topLeftCell="A52" activePane="bottomLeft" state="frozen"/>
      <selection pane="bottomLeft" activeCell="AG54" sqref="AG54"/>
      <pageMargins left="0.7" right="0.7" top="0.75" bottom="0.75" header="0.3" footer="0.3"/>
      <pageSetup paperSize="9" orientation="portrait" r:id="rId2"/>
    </customSheetView>
    <customSheetView guid="{09C3E205-981E-4A4E-BE89-8B7044192060}" scale="70" topLeftCell="P1">
      <pane ySplit="3" topLeftCell="A52" activePane="bottomLeft" state="frozen"/>
      <selection pane="bottomLeft" activeCell="AG54" sqref="AG54"/>
      <pageMargins left="0.7" right="0.7" top="0.75" bottom="0.75" header="0.3" footer="0.3"/>
      <pageSetup paperSize="9" orientation="portrait" r:id="rId3"/>
    </customSheetView>
    <customSheetView guid="{B1BF08D1-D416-4B47-ADD0-4F59132DC9E8}" scale="70">
      <pane ySplit="3" topLeftCell="A4" activePane="bottomLeft" state="frozen"/>
      <selection pane="bottomLeft" activeCell="A17" sqref="A17:XFD17"/>
      <pageMargins left="0.7" right="0.7" top="0.75" bottom="0.75" header="0.3" footer="0.3"/>
      <pageSetup paperSize="9" orientation="portrait" r:id="rId4"/>
    </customSheetView>
    <customSheetView guid="{4F41B9CC-959D-442C-80B0-1F0DB2C76D27}" scale="70">
      <pane ySplit="3" topLeftCell="A4" activePane="bottomLeft" state="frozen"/>
      <selection pane="bottomLeft" activeCell="A17" sqref="A17:XFD17"/>
      <pageMargins left="0.7" right="0.7" top="0.75" bottom="0.75" header="0.3" footer="0.3"/>
      <pageSetup paperSize="9" orientation="portrait" r:id="rId5"/>
    </customSheetView>
    <customSheetView guid="{84867370-1F3E-4368-AF79-FBCE46FFFE92}" scale="70">
      <pane ySplit="3" topLeftCell="A4" activePane="bottomLeft" state="frozen"/>
      <selection pane="bottomLeft" activeCell="A17" sqref="A17:XFD17"/>
      <pageMargins left="0.7" right="0.7" top="0.75" bottom="0.75" header="0.3" footer="0.3"/>
      <pageSetup paperSize="9" orientation="portrait" r:id="rId6"/>
    </customSheetView>
    <customSheetView guid="{E508E171-4ED9-4B07-84DF-DA28C60E1969}" scale="70">
      <pane ySplit="3" topLeftCell="A4" activePane="bottomLeft" state="frozen"/>
      <selection pane="bottomLeft" activeCell="A21" sqref="A21"/>
      <pageMargins left="0.7" right="0.7" top="0.75" bottom="0.75" header="0.3" footer="0.3"/>
      <pageSetup paperSize="9" orientation="portrait" r:id="rId7"/>
    </customSheetView>
    <customSheetView guid="{602C8EDB-B9EF-4C85-B0D5-0558C3A0ABAB}" scale="70">
      <pane ySplit="3" topLeftCell="A4" activePane="bottomLeft" state="frozen"/>
      <selection pane="bottomLeft" activeCell="A21" sqref="A21"/>
      <pageMargins left="0.7" right="0.7" top="0.75" bottom="0.75" header="0.3" footer="0.3"/>
      <pageSetup paperSize="9" orientation="portrait" r:id="rId8"/>
    </customSheetView>
    <customSheetView guid="{84B3377A-1CDD-4881-99FA-112F8B470D6F}" scale="70">
      <pane ySplit="3" topLeftCell="A4" activePane="bottomLeft" state="frozen"/>
      <selection pane="bottomLeft" activeCell="A21" sqref="A21"/>
      <pageMargins left="0.7" right="0.7" top="0.75" bottom="0.75" header="0.3" footer="0.3"/>
      <pageSetup paperSize="9" orientation="portrait" r:id="rId9"/>
    </customSheetView>
    <customSheetView guid="{87218168-6C8E-4D5B-A5E5-DCCC26803AA3}" scale="70">
      <pane ySplit="3" topLeftCell="A4" activePane="bottomLeft" state="frozen"/>
      <selection pane="bottomLeft" activeCell="A21" sqref="A21"/>
      <pageMargins left="0.7" right="0.7" top="0.75" bottom="0.75" header="0.3" footer="0.3"/>
      <pageSetup paperSize="9" orientation="portrait" r:id="rId10"/>
    </customSheetView>
    <customSheetView guid="{6A602CB8-B24C-4ED4-B378-B27354BE0A1A}" scale="70">
      <pane ySplit="3" topLeftCell="A4" activePane="bottomLeft" state="frozen"/>
      <selection pane="bottomLeft" activeCell="A21" sqref="A21"/>
      <pageMargins left="0.7" right="0.7" top="0.75" bottom="0.75" header="0.3" footer="0.3"/>
      <pageSetup paperSize="9" orientation="portrait" r:id="rId11"/>
    </customSheetView>
    <customSheetView guid="{D01FA037-9AEC-4167-ADB8-2F327C01ECE6}" scale="70">
      <pane ySplit="3" topLeftCell="A61" activePane="bottomLeft" state="frozen"/>
      <selection pane="bottomLeft" activeCell="C71" sqref="C71"/>
      <pageMargins left="0.7" right="0.7" top="0.75" bottom="0.75" header="0.3" footer="0.3"/>
      <pageSetup paperSize="9" orientation="portrait" r:id="rId12"/>
    </customSheetView>
    <customSheetView guid="{74870EE6-26B9-40F7-9DC9-260EF16D8959}" scale="70">
      <pane ySplit="4" topLeftCell="A56" activePane="bottomLeft" state="frozen"/>
      <selection pane="bottomLeft" activeCell="E72" sqref="E72"/>
      <pageMargins left="0.7" right="0.7" top="0.75" bottom="0.75" header="0.3" footer="0.3"/>
      <pageSetup paperSize="9" orientation="portrait" r:id="rId13"/>
    </customSheetView>
    <customSheetView guid="{7226EA2B-7866-416F-9240-410CC1BF0336}" scale="70">
      <pane ySplit="4" topLeftCell="A56" activePane="bottomLeft" state="frozen"/>
      <selection pane="bottomLeft" activeCell="E72" sqref="E72"/>
      <pageMargins left="0.7" right="0.7" top="0.75" bottom="0.75" header="0.3" footer="0.3"/>
      <pageSetup paperSize="9" orientation="portrait" r:id="rId14"/>
    </customSheetView>
    <customSheetView guid="{F8CAB90F-9980-4EC7-B30B-1637EB515304}" scale="85" hiddenRows="1" topLeftCell="I1">
      <pane ySplit="3" topLeftCell="A54" activePane="bottomLeft" state="frozen"/>
      <selection pane="bottomLeft" activeCell="AD59" sqref="AD53:AD59"/>
      <pageMargins left="0.7" right="0.7" top="0.75" bottom="0.75" header="0.3" footer="0.3"/>
      <pageSetup paperSize="9" orientation="portrait" r:id="rId15"/>
    </customSheetView>
    <customSheetView guid="{415078CD-EB99-432D-90BA-2F3D5A746E20}" scale="75" topLeftCell="D1">
      <pane ySplit="4" topLeftCell="A53" activePane="bottomLeft" state="frozen"/>
      <selection pane="bottomLeft" activeCell="AF53" sqref="AF53"/>
      <pageMargins left="0.7" right="0.7" top="0.75" bottom="0.75" header="0.3" footer="0.3"/>
      <pageSetup paperSize="9" orientation="portrait" r:id="rId16"/>
    </customSheetView>
    <customSheetView guid="{CB4792DB-A624-4844-AEB6-A6ADA80946BB}" scale="75">
      <pane ySplit="4" topLeftCell="A5" activePane="bottomLeft" state="frozen"/>
      <selection pane="bottomLeft" activeCell="G46" sqref="G46"/>
      <pageMargins left="0.7" right="0.7" top="0.75" bottom="0.75" header="0.3" footer="0.3"/>
      <pageSetup paperSize="9" orientation="portrait" r:id="rId17"/>
    </customSheetView>
    <customSheetView guid="{0C2B9C2A-7B94-41EF-A2E6-F8AC9A67DE25}" scale="75">
      <pane ySplit="4" topLeftCell="A50" activePane="bottomLeft" state="frozen"/>
      <selection pane="bottomLeft" activeCell="AR50" sqref="AR50"/>
      <pageMargins left="0.7" right="0.7" top="0.75" bottom="0.75" header="0.3" footer="0.3"/>
      <pageSetup paperSize="9" orientation="portrait" r:id="rId18"/>
    </customSheetView>
    <customSheetView guid="{391AB76E-B386-49C1-800F-016A48AA1A46}" scale="75">
      <pane ySplit="4" topLeftCell="A11" activePane="bottomLeft" state="frozen"/>
      <selection pane="bottomLeft" activeCell="AD69" sqref="AD69"/>
      <pageMargins left="0.7" right="0.7" top="0.75" bottom="0.75" header="0.3" footer="0.3"/>
      <pageSetup paperSize="9" orientation="portrait" r:id="rId19"/>
    </customSheetView>
    <customSheetView guid="{959E901C-5DDE-42EE-AE94-AB8976B5E00B}" scale="75">
      <pane ySplit="4" topLeftCell="A5" activePane="bottomLeft" state="frozen"/>
      <selection pane="bottomLeft" activeCell="D67" sqref="D67"/>
      <pageMargins left="0.7" right="0.7" top="0.75" bottom="0.75" header="0.3" footer="0.3"/>
    </customSheetView>
    <customSheetView guid="{F679EF4A-C5FD-4B86-B87B-D85968E0F2CA}" scale="75">
      <pane ySplit="4" topLeftCell="A5" activePane="bottomLeft" state="frozen"/>
      <selection pane="bottomLeft" activeCell="D67" sqref="D67"/>
      <pageMargins left="0.7" right="0.7" top="0.75" bottom="0.75" header="0.3" footer="0.3"/>
    </customSheetView>
    <customSheetView guid="{009B3074-D8EC-4952-BF50-43CD64449612}" scale="75">
      <pane ySplit="4" topLeftCell="A5" activePane="bottomLeft" state="frozen"/>
      <selection pane="bottomLeft" activeCell="D67" sqref="D67"/>
      <pageMargins left="0.7" right="0.7" top="0.75" bottom="0.75" header="0.3" footer="0.3"/>
    </customSheetView>
    <customSheetView guid="{770624BF-07F3-44B6-94C3-4CC447CDD45C}" scale="80">
      <pane ySplit="4" topLeftCell="A50" activePane="bottomLeft" state="frozen"/>
      <selection pane="bottomLeft" activeCell="D68" sqref="D68"/>
      <pageMargins left="0.7" right="0.7" top="0.75" bottom="0.75" header="0.3" footer="0.3"/>
    </customSheetView>
    <customSheetView guid="{B82BA08A-1A30-4F4D-A478-74A6BD09EA97}" scale="80" topLeftCell="A55">
      <selection sqref="A1:AD1"/>
      <pageMargins left="0.7" right="0.7" top="0.75" bottom="0.75" header="0.3" footer="0.3"/>
    </customSheetView>
    <customSheetView guid="{874882D1-E741-4CCA-BF0D-E72FA60B771D}" scale="80" topLeftCell="A37">
      <selection sqref="A1:AD1"/>
      <pageMargins left="0.7" right="0.7" top="0.75" bottom="0.75" header="0.3" footer="0.3"/>
    </customSheetView>
    <customSheetView guid="{C236B307-BD63-48C4-A75F-B3F3717BF55C}" scale="80" topLeftCell="A55">
      <selection sqref="A1:AD1"/>
      <pageMargins left="0.7" right="0.7" top="0.75" bottom="0.75" header="0.3" footer="0.3"/>
    </customSheetView>
    <customSheetView guid="{BCD82A82-B724-4763-8580-D765356E09BA}" scale="80">
      <selection sqref="A1:AD1"/>
      <pageMargins left="0.7" right="0.7" top="0.75" bottom="0.75" header="0.3" footer="0.3"/>
    </customSheetView>
    <customSheetView guid="{85F4575B-DBC5-482A-9916-255D8F0BC94E}" scale="75">
      <pane ySplit="4" topLeftCell="A44" activePane="bottomLeft" state="frozen"/>
      <selection pane="bottomLeft" activeCell="A47" sqref="A47"/>
      <pageMargins left="0.7" right="0.7" top="0.75" bottom="0.75" header="0.3" footer="0.3"/>
    </customSheetView>
    <customSheetView guid="{4D0DFB57-2CBA-42F2-9A97-C453A6851FBA}" scale="75">
      <pane ySplit="4" topLeftCell="A54" activePane="bottomLeft" state="frozen"/>
      <selection pane="bottomLeft" activeCell="E83" sqref="E83"/>
      <pageMargins left="0.7" right="0.7" top="0.75" bottom="0.75" header="0.3" footer="0.3"/>
    </customSheetView>
    <customSheetView guid="{CE1CCA00-200D-4EAA-9FBE-F8EE7C5F82FE}" scale="75">
      <pane ySplit="4" topLeftCell="A54" activePane="bottomLeft" state="frozen"/>
      <selection pane="bottomLeft" activeCell="E83" sqref="E83"/>
      <pageMargins left="0.7" right="0.7" top="0.75" bottom="0.75" header="0.3" footer="0.3"/>
    </customSheetView>
    <customSheetView guid="{AC2D5927-4079-4C74-AF69-1BFAC505648F}" scale="75">
      <pane ySplit="4" topLeftCell="A11" activePane="bottomLeft" state="frozen"/>
      <selection pane="bottomLeft" activeCell="AD69" sqref="AD69"/>
      <pageMargins left="0.7" right="0.7" top="0.75" bottom="0.75" header="0.3" footer="0.3"/>
      <pageSetup paperSize="9" orientation="portrait" r:id="rId20"/>
    </customSheetView>
    <customSheetView guid="{3C3F523F-5F34-4CF7-831E-F1ABC4278CEB}" scale="75">
      <pane ySplit="4" topLeftCell="A32" activePane="bottomLeft" state="frozen"/>
      <selection pane="bottomLeft" activeCell="G46" sqref="G46"/>
      <pageMargins left="0.7" right="0.7" top="0.75" bottom="0.75" header="0.3" footer="0.3"/>
      <pageSetup paperSize="9" orientation="portrait" r:id="rId21"/>
    </customSheetView>
    <customSheetView guid="{69DABE6F-6182-4403-A4A2-969F10F1C13A}" scale="70">
      <pane ySplit="3" topLeftCell="A4" activePane="bottomLeft" state="frozen"/>
      <selection pane="bottomLeft" activeCell="A21" sqref="A21"/>
      <pageMargins left="0.7" right="0.7" top="0.75" bottom="0.75" header="0.3" footer="0.3"/>
      <pageSetup paperSize="9" orientation="portrait" r:id="rId22"/>
    </customSheetView>
    <customSheetView guid="{DAA8A688-7558-4B5B-8DBD-E2629BD9E9A8}" scale="70">
      <pane ySplit="3" topLeftCell="A4" activePane="bottomLeft" state="frozen"/>
      <selection pane="bottomLeft" activeCell="A21" sqref="A21"/>
      <pageMargins left="0.7" right="0.7" top="0.75" bottom="0.75" header="0.3" footer="0.3"/>
      <pageSetup paperSize="9" orientation="portrait" r:id="rId23"/>
    </customSheetView>
    <customSheetView guid="{47B983AB-FE5F-4725-860C-A2F29420596D}" scale="70">
      <pane ySplit="3" topLeftCell="A4" activePane="bottomLeft" state="frozen"/>
      <selection pane="bottomLeft" activeCell="A21" sqref="A21"/>
      <pageMargins left="0.7" right="0.7" top="0.75" bottom="0.75" header="0.3" footer="0.3"/>
      <pageSetup paperSize="9" orientation="portrait" r:id="rId24"/>
    </customSheetView>
    <customSheetView guid="{442F2C94-DD1B-4A01-8694-513D4D6F3BD9}" scale="70">
      <pane ySplit="3" topLeftCell="A4" activePane="bottomLeft" state="frozen"/>
      <selection pane="bottomLeft" activeCell="A21" sqref="A21"/>
      <pageMargins left="0.7" right="0.7" top="0.75" bottom="0.75" header="0.3" footer="0.3"/>
      <pageSetup paperSize="9" orientation="portrait" r:id="rId25"/>
    </customSheetView>
    <customSheetView guid="{472DFAFE-DC7C-463D-92A0-F6A14555FDD6}" scale="70">
      <pane ySplit="3" topLeftCell="A4" activePane="bottomLeft" state="frozen"/>
      <selection pane="bottomLeft" activeCell="A17" sqref="A17:XFD17"/>
      <pageMargins left="0.7" right="0.7" top="0.75" bottom="0.75" header="0.3" footer="0.3"/>
      <pageSetup paperSize="9" orientation="portrait" r:id="rId26"/>
    </customSheetView>
    <customSheetView guid="{B43381A8-767B-4F49-BD2E-0056691293F3}" scale="70">
      <pane ySplit="3" topLeftCell="A4" activePane="bottomLeft" state="frozen"/>
      <selection pane="bottomLeft" activeCell="A17" sqref="A17:XFD17"/>
      <pageMargins left="0.7" right="0.7" top="0.75" bottom="0.75" header="0.3" footer="0.3"/>
      <pageSetup paperSize="9" orientation="portrait" r:id="rId27"/>
    </customSheetView>
  </customSheetViews>
  <hyperlinks>
    <hyperlink ref="A1:AD1" location="Оглавление!A1" display="Оглавление!A1"/>
  </hyperlinks>
  <pageMargins left="0.7" right="0.7" top="0.75" bottom="0.75" header="0.3" footer="0.3"/>
  <pageSetup paperSize="9" orientation="portrait" r:id="rId28"/>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75"/>
  <sheetViews>
    <sheetView zoomScale="60" zoomScaleNormal="60" workbookViewId="0">
      <pane xSplit="1" ySplit="8" topLeftCell="R21" activePane="bottomRight" state="frozen"/>
      <selection pane="topRight" activeCell="B1" sqref="B1"/>
      <selection pane="bottomLeft" activeCell="A9" sqref="A9"/>
      <selection pane="bottomRight" activeCell="AF28" sqref="AF28:AF32"/>
    </sheetView>
  </sheetViews>
  <sheetFormatPr defaultColWidth="9.140625" defaultRowHeight="15.75" x14ac:dyDescent="0.25"/>
  <cols>
    <col min="1" max="1" width="35.85546875" style="292" customWidth="1"/>
    <col min="2" max="3" width="16" style="292" customWidth="1"/>
    <col min="4" max="4" width="17" style="292" customWidth="1"/>
    <col min="5" max="5" width="15.7109375" style="292" customWidth="1"/>
    <col min="6" max="6" width="13.42578125" style="292" customWidth="1"/>
    <col min="7" max="7" width="14.7109375" style="292" customWidth="1"/>
    <col min="8" max="23" width="13.42578125" style="292" customWidth="1"/>
    <col min="24" max="24" width="15.28515625" style="292" customWidth="1"/>
    <col min="25" max="25" width="13.42578125" style="292" customWidth="1"/>
    <col min="26" max="26" width="14.42578125" style="292" customWidth="1"/>
    <col min="27" max="31" width="13.42578125" style="292" customWidth="1"/>
    <col min="32" max="32" width="57.140625" style="292" customWidth="1"/>
    <col min="33" max="16384" width="9.140625" style="292"/>
  </cols>
  <sheetData>
    <row r="1" spans="1:32" ht="18.75" x14ac:dyDescent="0.25">
      <c r="A1" s="1255" t="s">
        <v>396</v>
      </c>
      <c r="B1" s="1255"/>
      <c r="C1" s="1255"/>
      <c r="D1" s="1255"/>
      <c r="E1" s="1255"/>
      <c r="F1" s="1255"/>
      <c r="G1" s="1255"/>
      <c r="H1" s="1255"/>
      <c r="I1" s="1255"/>
      <c r="J1" s="1255"/>
      <c r="K1" s="1255"/>
      <c r="L1" s="1255"/>
      <c r="M1" s="1255"/>
      <c r="N1" s="1255"/>
      <c r="O1" s="1255"/>
      <c r="P1" s="1255"/>
      <c r="Q1" s="1255"/>
      <c r="R1" s="1255"/>
      <c r="S1" s="1255"/>
      <c r="T1" s="1255"/>
      <c r="U1" s="1255"/>
      <c r="V1" s="1255"/>
      <c r="W1" s="1255"/>
      <c r="X1" s="1255"/>
      <c r="Y1" s="1255"/>
      <c r="Z1" s="1255"/>
      <c r="AA1" s="1255"/>
      <c r="AB1" s="1255"/>
      <c r="AC1" s="1255"/>
      <c r="AD1" s="1255"/>
      <c r="AE1" s="291"/>
      <c r="AF1" s="291"/>
    </row>
    <row r="2" spans="1:32" x14ac:dyDescent="0.25">
      <c r="A2" s="293"/>
      <c r="B2" s="293"/>
      <c r="C2" s="293"/>
      <c r="D2" s="293"/>
      <c r="E2" s="293"/>
      <c r="F2" s="293"/>
      <c r="G2" s="293"/>
      <c r="H2" s="293"/>
      <c r="I2" s="291"/>
      <c r="J2" s="291"/>
      <c r="K2" s="291"/>
      <c r="L2" s="291"/>
      <c r="M2" s="291"/>
      <c r="N2" s="291"/>
      <c r="O2" s="291"/>
      <c r="P2" s="291"/>
      <c r="Q2" s="291"/>
      <c r="R2" s="291"/>
      <c r="S2" s="291"/>
      <c r="T2" s="291"/>
      <c r="U2" s="291"/>
      <c r="V2" s="291"/>
      <c r="W2" s="291"/>
      <c r="X2" s="291"/>
      <c r="Y2" s="291"/>
      <c r="Z2" s="291"/>
      <c r="AA2" s="291"/>
      <c r="AB2" s="291"/>
      <c r="AC2" s="291"/>
      <c r="AD2" s="291"/>
      <c r="AE2" s="291"/>
      <c r="AF2" s="291"/>
    </row>
    <row r="3" spans="1:32" ht="40.5" customHeight="1" x14ac:dyDescent="0.25">
      <c r="A3" s="1256" t="s">
        <v>383</v>
      </c>
      <c r="B3" s="1256" t="s">
        <v>384</v>
      </c>
      <c r="C3" s="1256" t="s">
        <v>580</v>
      </c>
      <c r="D3" s="1256" t="s">
        <v>581</v>
      </c>
      <c r="E3" s="1256" t="s">
        <v>582</v>
      </c>
      <c r="F3" s="1258" t="s">
        <v>385</v>
      </c>
      <c r="G3" s="1258"/>
      <c r="H3" s="1259" t="s">
        <v>7</v>
      </c>
      <c r="I3" s="1260"/>
      <c r="J3" s="1259" t="s">
        <v>8</v>
      </c>
      <c r="K3" s="1260"/>
      <c r="L3" s="1259" t="s">
        <v>9</v>
      </c>
      <c r="M3" s="1260"/>
      <c r="N3" s="1259" t="s">
        <v>10</v>
      </c>
      <c r="O3" s="1260"/>
      <c r="P3" s="1259" t="s">
        <v>11</v>
      </c>
      <c r="Q3" s="1260"/>
      <c r="R3" s="1259" t="s">
        <v>12</v>
      </c>
      <c r="S3" s="1260"/>
      <c r="T3" s="1259" t="s">
        <v>13</v>
      </c>
      <c r="U3" s="1260"/>
      <c r="V3" s="1259" t="s">
        <v>14</v>
      </c>
      <c r="W3" s="1260"/>
      <c r="X3" s="1259" t="s">
        <v>15</v>
      </c>
      <c r="Y3" s="1260"/>
      <c r="Z3" s="1259" t="s">
        <v>16</v>
      </c>
      <c r="AA3" s="1260"/>
      <c r="AB3" s="1259" t="s">
        <v>17</v>
      </c>
      <c r="AC3" s="1260"/>
      <c r="AD3" s="1267" t="s">
        <v>18</v>
      </c>
      <c r="AE3" s="1267"/>
      <c r="AF3" s="294" t="s">
        <v>19</v>
      </c>
    </row>
    <row r="4" spans="1:32" ht="51.75" customHeight="1" x14ac:dyDescent="0.25">
      <c r="A4" s="1257"/>
      <c r="B4" s="1257"/>
      <c r="C4" s="1257"/>
      <c r="D4" s="1257"/>
      <c r="E4" s="1257"/>
      <c r="F4" s="295" t="s">
        <v>386</v>
      </c>
      <c r="G4" s="295" t="s">
        <v>21</v>
      </c>
      <c r="H4" s="296" t="s">
        <v>165</v>
      </c>
      <c r="I4" s="296" t="s">
        <v>23</v>
      </c>
      <c r="J4" s="296" t="s">
        <v>165</v>
      </c>
      <c r="K4" s="297" t="s">
        <v>23</v>
      </c>
      <c r="L4" s="296" t="s">
        <v>165</v>
      </c>
      <c r="M4" s="296" t="s">
        <v>23</v>
      </c>
      <c r="N4" s="296" t="s">
        <v>165</v>
      </c>
      <c r="O4" s="296" t="s">
        <v>23</v>
      </c>
      <c r="P4" s="296" t="s">
        <v>165</v>
      </c>
      <c r="Q4" s="296" t="s">
        <v>23</v>
      </c>
      <c r="R4" s="296" t="s">
        <v>165</v>
      </c>
      <c r="S4" s="296" t="s">
        <v>23</v>
      </c>
      <c r="T4" s="296" t="s">
        <v>165</v>
      </c>
      <c r="U4" s="296" t="s">
        <v>23</v>
      </c>
      <c r="V4" s="296" t="s">
        <v>165</v>
      </c>
      <c r="W4" s="296" t="s">
        <v>23</v>
      </c>
      <c r="X4" s="296" t="s">
        <v>165</v>
      </c>
      <c r="Y4" s="296" t="s">
        <v>23</v>
      </c>
      <c r="Z4" s="296" t="s">
        <v>165</v>
      </c>
      <c r="AA4" s="296" t="s">
        <v>23</v>
      </c>
      <c r="AB4" s="296" t="s">
        <v>165</v>
      </c>
      <c r="AC4" s="296" t="s">
        <v>23</v>
      </c>
      <c r="AD4" s="296" t="s">
        <v>165</v>
      </c>
      <c r="AE4" s="296" t="s">
        <v>23</v>
      </c>
      <c r="AF4" s="298"/>
    </row>
    <row r="5" spans="1:32" x14ac:dyDescent="0.25">
      <c r="A5" s="294">
        <v>1</v>
      </c>
      <c r="B5" s="294">
        <v>2</v>
      </c>
      <c r="C5" s="294">
        <v>3</v>
      </c>
      <c r="D5" s="294">
        <v>4</v>
      </c>
      <c r="E5" s="294">
        <v>5</v>
      </c>
      <c r="F5" s="294">
        <v>6</v>
      </c>
      <c r="G5" s="294">
        <v>7</v>
      </c>
      <c r="H5" s="296">
        <v>8</v>
      </c>
      <c r="I5" s="296">
        <v>9</v>
      </c>
      <c r="J5" s="296">
        <v>10</v>
      </c>
      <c r="K5" s="296">
        <v>11</v>
      </c>
      <c r="L5" s="296">
        <v>12</v>
      </c>
      <c r="M5" s="296">
        <v>13</v>
      </c>
      <c r="N5" s="296">
        <v>14</v>
      </c>
      <c r="O5" s="296">
        <v>15</v>
      </c>
      <c r="P5" s="296">
        <v>16</v>
      </c>
      <c r="Q5" s="296">
        <v>17</v>
      </c>
      <c r="R5" s="296">
        <v>18</v>
      </c>
      <c r="S5" s="296">
        <v>19</v>
      </c>
      <c r="T5" s="296">
        <v>20</v>
      </c>
      <c r="U5" s="296">
        <v>21</v>
      </c>
      <c r="V5" s="296">
        <v>22</v>
      </c>
      <c r="W5" s="296">
        <v>23</v>
      </c>
      <c r="X5" s="296">
        <v>24</v>
      </c>
      <c r="Y5" s="296">
        <v>25</v>
      </c>
      <c r="Z5" s="296">
        <v>26</v>
      </c>
      <c r="AA5" s="296">
        <v>27</v>
      </c>
      <c r="AB5" s="296">
        <v>28</v>
      </c>
      <c r="AC5" s="296">
        <v>29</v>
      </c>
      <c r="AD5" s="296">
        <v>30</v>
      </c>
      <c r="AE5" s="296">
        <v>31</v>
      </c>
      <c r="AF5" s="296">
        <v>32</v>
      </c>
    </row>
    <row r="6" spans="1:32" x14ac:dyDescent="0.25">
      <c r="A6" s="1261" t="s">
        <v>397</v>
      </c>
      <c r="B6" s="1262"/>
      <c r="C6" s="1262"/>
      <c r="D6" s="1262"/>
      <c r="E6" s="1262"/>
      <c r="F6" s="1262"/>
      <c r="G6" s="1262"/>
      <c r="H6" s="1262"/>
      <c r="I6" s="1262"/>
      <c r="J6" s="1262"/>
      <c r="K6" s="1262"/>
      <c r="L6" s="1262"/>
      <c r="M6" s="1262"/>
      <c r="N6" s="1262"/>
      <c r="O6" s="1262"/>
      <c r="P6" s="1262"/>
      <c r="Q6" s="1262"/>
      <c r="R6" s="1262"/>
      <c r="S6" s="1262"/>
      <c r="T6" s="1262"/>
      <c r="U6" s="1262"/>
      <c r="V6" s="1262"/>
      <c r="W6" s="1262"/>
      <c r="X6" s="1262"/>
      <c r="Y6" s="1262"/>
      <c r="Z6" s="1262"/>
      <c r="AA6" s="1262"/>
      <c r="AB6" s="1262"/>
      <c r="AC6" s="1262"/>
      <c r="AD6" s="1262"/>
      <c r="AE6" s="1263"/>
      <c r="AF6" s="299"/>
    </row>
    <row r="7" spans="1:32" x14ac:dyDescent="0.25">
      <c r="A7" s="300" t="s">
        <v>54</v>
      </c>
      <c r="B7" s="301"/>
      <c r="C7" s="302"/>
      <c r="D7" s="302"/>
      <c r="E7" s="301"/>
      <c r="F7" s="303"/>
      <c r="G7" s="303"/>
      <c r="H7" s="304"/>
      <c r="I7" s="304"/>
      <c r="J7" s="304"/>
      <c r="K7" s="304"/>
      <c r="L7" s="304"/>
      <c r="M7" s="304"/>
      <c r="N7" s="304"/>
      <c r="O7" s="304"/>
      <c r="P7" s="304"/>
      <c r="Q7" s="304"/>
      <c r="R7" s="304"/>
      <c r="S7" s="304"/>
      <c r="T7" s="304"/>
      <c r="U7" s="304"/>
      <c r="V7" s="304"/>
      <c r="W7" s="305"/>
      <c r="X7" s="306"/>
      <c r="Y7" s="307"/>
      <c r="Z7" s="307"/>
      <c r="AA7" s="307"/>
      <c r="AB7" s="307"/>
      <c r="AC7" s="307"/>
      <c r="AD7" s="307"/>
      <c r="AE7" s="307"/>
      <c r="AF7" s="288"/>
    </row>
    <row r="8" spans="1:32" ht="31.5" customHeight="1" x14ac:dyDescent="0.25">
      <c r="A8" s="1264" t="s">
        <v>398</v>
      </c>
      <c r="B8" s="1265"/>
      <c r="C8" s="1265"/>
      <c r="D8" s="1265"/>
      <c r="E8" s="1265"/>
      <c r="F8" s="1265"/>
      <c r="G8" s="1265"/>
      <c r="H8" s="1265"/>
      <c r="I8" s="1265"/>
      <c r="J8" s="1265"/>
      <c r="K8" s="1265"/>
      <c r="L8" s="1265"/>
      <c r="M8" s="1265"/>
      <c r="N8" s="1265"/>
      <c r="O8" s="1265"/>
      <c r="P8" s="1265"/>
      <c r="Q8" s="1265"/>
      <c r="R8" s="1265"/>
      <c r="S8" s="1265"/>
      <c r="T8" s="1265"/>
      <c r="U8" s="1265"/>
      <c r="V8" s="1265"/>
      <c r="W8" s="1265"/>
      <c r="X8" s="1265"/>
      <c r="Y8" s="1265"/>
      <c r="Z8" s="1265"/>
      <c r="AA8" s="1265"/>
      <c r="AB8" s="1265"/>
      <c r="AC8" s="1265"/>
      <c r="AD8" s="1265"/>
      <c r="AE8" s="1266"/>
      <c r="AF8" s="1254" t="s">
        <v>491</v>
      </c>
    </row>
    <row r="9" spans="1:32" x14ac:dyDescent="0.25">
      <c r="A9" s="308" t="s">
        <v>65</v>
      </c>
      <c r="B9" s="309">
        <f>B10</f>
        <v>39754.091999999997</v>
      </c>
      <c r="C9" s="309">
        <f>C10</f>
        <v>22978.753000000001</v>
      </c>
      <c r="D9" s="309">
        <f>D10</f>
        <v>22938.39</v>
      </c>
      <c r="E9" s="309">
        <f>E10</f>
        <v>22938.39</v>
      </c>
      <c r="F9" s="309">
        <f>E9/B9*100</f>
        <v>57.700701603246287</v>
      </c>
      <c r="G9" s="309">
        <f>E9/C9*100</f>
        <v>99.824346429938998</v>
      </c>
      <c r="H9" s="309">
        <f>H10</f>
        <v>3465.99</v>
      </c>
      <c r="I9" s="309">
        <f t="shared" ref="I9:AE9" si="0">I10</f>
        <v>3465.99</v>
      </c>
      <c r="J9" s="309">
        <f t="shared" si="0"/>
        <v>3281.82</v>
      </c>
      <c r="K9" s="309">
        <f t="shared" si="0"/>
        <v>3281.82</v>
      </c>
      <c r="L9" s="309">
        <f t="shared" si="0"/>
        <v>3069.62</v>
      </c>
      <c r="M9" s="309">
        <f t="shared" si="0"/>
        <v>3069.62</v>
      </c>
      <c r="N9" s="309">
        <f t="shared" si="0"/>
        <v>3281.8249999999998</v>
      </c>
      <c r="O9" s="309">
        <f t="shared" si="0"/>
        <v>3281.83</v>
      </c>
      <c r="P9" s="309">
        <f t="shared" si="0"/>
        <v>3175.873</v>
      </c>
      <c r="Q9" s="309">
        <f t="shared" si="0"/>
        <v>3156.01</v>
      </c>
      <c r="R9" s="309">
        <f t="shared" si="0"/>
        <v>3281.8249999999998</v>
      </c>
      <c r="S9" s="309">
        <f t="shared" si="0"/>
        <v>3261.28</v>
      </c>
      <c r="T9" s="309">
        <f t="shared" si="0"/>
        <v>3421.8</v>
      </c>
      <c r="U9" s="309">
        <f t="shared" si="0"/>
        <v>3421.84</v>
      </c>
      <c r="V9" s="309">
        <f t="shared" si="0"/>
        <v>3554.777</v>
      </c>
      <c r="W9" s="309">
        <f t="shared" si="0"/>
        <v>0</v>
      </c>
      <c r="X9" s="309">
        <f t="shared" si="0"/>
        <v>3527.212</v>
      </c>
      <c r="Y9" s="309">
        <f t="shared" si="0"/>
        <v>0</v>
      </c>
      <c r="Z9" s="309">
        <f t="shared" si="0"/>
        <v>3175.873</v>
      </c>
      <c r="AA9" s="309">
        <f t="shared" si="0"/>
        <v>0</v>
      </c>
      <c r="AB9" s="309">
        <f t="shared" si="0"/>
        <v>3281.8249999999998</v>
      </c>
      <c r="AC9" s="309">
        <f t="shared" si="0"/>
        <v>0</v>
      </c>
      <c r="AD9" s="309">
        <f t="shared" si="0"/>
        <v>3235.652</v>
      </c>
      <c r="AE9" s="309">
        <f t="shared" si="0"/>
        <v>0</v>
      </c>
      <c r="AF9" s="1243"/>
    </row>
    <row r="10" spans="1:32" x14ac:dyDescent="0.25">
      <c r="A10" s="311" t="s">
        <v>33</v>
      </c>
      <c r="B10" s="312">
        <f>B12</f>
        <v>39754.091999999997</v>
      </c>
      <c r="C10" s="312">
        <f>C12</f>
        <v>22978.753000000001</v>
      </c>
      <c r="D10" s="312">
        <f>E10</f>
        <v>22938.39</v>
      </c>
      <c r="E10" s="312">
        <f>E12</f>
        <v>22938.39</v>
      </c>
      <c r="F10" s="312">
        <f>E10/B10*100</f>
        <v>57.700701603246287</v>
      </c>
      <c r="G10" s="312">
        <f>E10/C10*100</f>
        <v>99.824346429938998</v>
      </c>
      <c r="H10" s="313">
        <f>H12</f>
        <v>3465.99</v>
      </c>
      <c r="I10" s="313">
        <f t="shared" ref="I10:AE10" si="1">I12</f>
        <v>3465.99</v>
      </c>
      <c r="J10" s="313">
        <f t="shared" si="1"/>
        <v>3281.82</v>
      </c>
      <c r="K10" s="313">
        <f t="shared" si="1"/>
        <v>3281.82</v>
      </c>
      <c r="L10" s="313">
        <f t="shared" si="1"/>
        <v>3069.62</v>
      </c>
      <c r="M10" s="313">
        <f t="shared" si="1"/>
        <v>3069.62</v>
      </c>
      <c r="N10" s="313">
        <f t="shared" si="1"/>
        <v>3281.8249999999998</v>
      </c>
      <c r="O10" s="313">
        <f t="shared" si="1"/>
        <v>3281.83</v>
      </c>
      <c r="P10" s="313">
        <f t="shared" si="1"/>
        <v>3175.873</v>
      </c>
      <c r="Q10" s="313">
        <f t="shared" si="1"/>
        <v>3156.01</v>
      </c>
      <c r="R10" s="313">
        <f t="shared" si="1"/>
        <v>3281.8249999999998</v>
      </c>
      <c r="S10" s="313">
        <f t="shared" si="1"/>
        <v>3261.28</v>
      </c>
      <c r="T10" s="313">
        <f t="shared" si="1"/>
        <v>3421.8</v>
      </c>
      <c r="U10" s="313">
        <f t="shared" si="1"/>
        <v>3421.84</v>
      </c>
      <c r="V10" s="313">
        <f t="shared" si="1"/>
        <v>3554.777</v>
      </c>
      <c r="W10" s="313">
        <f t="shared" si="1"/>
        <v>0</v>
      </c>
      <c r="X10" s="313">
        <f t="shared" si="1"/>
        <v>3527.212</v>
      </c>
      <c r="Y10" s="313">
        <f t="shared" si="1"/>
        <v>0</v>
      </c>
      <c r="Z10" s="313">
        <f t="shared" si="1"/>
        <v>3175.873</v>
      </c>
      <c r="AA10" s="313">
        <f t="shared" si="1"/>
        <v>0</v>
      </c>
      <c r="AB10" s="313">
        <f t="shared" si="1"/>
        <v>3281.8249999999998</v>
      </c>
      <c r="AC10" s="313">
        <f t="shared" si="1"/>
        <v>0</v>
      </c>
      <c r="AD10" s="313">
        <f t="shared" si="1"/>
        <v>3235.652</v>
      </c>
      <c r="AE10" s="313">
        <f t="shared" si="1"/>
        <v>0</v>
      </c>
      <c r="AF10" s="1243"/>
    </row>
    <row r="11" spans="1:32" ht="32.25" customHeight="1" x14ac:dyDescent="0.25">
      <c r="A11" s="314" t="s">
        <v>53</v>
      </c>
      <c r="B11" s="576">
        <f>B12</f>
        <v>39754.091999999997</v>
      </c>
      <c r="C11" s="576">
        <f>C12</f>
        <v>22978.753000000001</v>
      </c>
      <c r="D11" s="576">
        <f>D12</f>
        <v>22938.39</v>
      </c>
      <c r="E11" s="576">
        <f>E12</f>
        <v>22938.39</v>
      </c>
      <c r="F11" s="315">
        <f>E11/B11*100</f>
        <v>57.700701603246287</v>
      </c>
      <c r="G11" s="315">
        <f>E11/C11*100</f>
        <v>99.824346429938998</v>
      </c>
      <c r="H11" s="315">
        <f>H12</f>
        <v>3465.99</v>
      </c>
      <c r="I11" s="315">
        <f t="shared" ref="I11:AE11" si="2">I12</f>
        <v>3465.99</v>
      </c>
      <c r="J11" s="315">
        <f t="shared" si="2"/>
        <v>3281.82</v>
      </c>
      <c r="K11" s="315">
        <f t="shared" si="2"/>
        <v>3281.82</v>
      </c>
      <c r="L11" s="315">
        <f t="shared" si="2"/>
        <v>3069.62</v>
      </c>
      <c r="M11" s="315">
        <f t="shared" si="2"/>
        <v>3069.62</v>
      </c>
      <c r="N11" s="315">
        <f t="shared" si="2"/>
        <v>3281.8249999999998</v>
      </c>
      <c r="O11" s="315">
        <f t="shared" si="2"/>
        <v>3281.83</v>
      </c>
      <c r="P11" s="315">
        <f t="shared" si="2"/>
        <v>3175.873</v>
      </c>
      <c r="Q11" s="315">
        <f t="shared" si="2"/>
        <v>3156.01</v>
      </c>
      <c r="R11" s="315">
        <f t="shared" si="2"/>
        <v>3281.8249999999998</v>
      </c>
      <c r="S11" s="315">
        <f t="shared" si="2"/>
        <v>3261.28</v>
      </c>
      <c r="T11" s="315">
        <f t="shared" si="2"/>
        <v>3421.8</v>
      </c>
      <c r="U11" s="315">
        <f t="shared" si="2"/>
        <v>3421.84</v>
      </c>
      <c r="V11" s="315">
        <f t="shared" si="2"/>
        <v>3554.777</v>
      </c>
      <c r="W11" s="315">
        <f t="shared" si="2"/>
        <v>0</v>
      </c>
      <c r="X11" s="315">
        <f t="shared" si="2"/>
        <v>3527.212</v>
      </c>
      <c r="Y11" s="315">
        <f t="shared" si="2"/>
        <v>0</v>
      </c>
      <c r="Z11" s="315">
        <f t="shared" si="2"/>
        <v>3175.873</v>
      </c>
      <c r="AA11" s="315">
        <f t="shared" si="2"/>
        <v>0</v>
      </c>
      <c r="AB11" s="315">
        <f t="shared" si="2"/>
        <v>3281.8249999999998</v>
      </c>
      <c r="AC11" s="315">
        <f t="shared" si="2"/>
        <v>0</v>
      </c>
      <c r="AD11" s="315">
        <f t="shared" si="2"/>
        <v>3235.652</v>
      </c>
      <c r="AE11" s="315">
        <f t="shared" si="2"/>
        <v>0</v>
      </c>
      <c r="AF11" s="1243"/>
    </row>
    <row r="12" spans="1:32" ht="32.25" customHeight="1" x14ac:dyDescent="0.25">
      <c r="A12" s="311" t="s">
        <v>93</v>
      </c>
      <c r="B12" s="312">
        <f>H12+J12+L12+N12+P12+R12+T12+V12+X12+Z12+AB12+AD12</f>
        <v>39754.091999999997</v>
      </c>
      <c r="C12" s="312">
        <f>H12+J12+L12+N12+P12+R12+T12</f>
        <v>22978.753000000001</v>
      </c>
      <c r="D12" s="312">
        <f>E12</f>
        <v>22938.39</v>
      </c>
      <c r="E12" s="312">
        <f>I12+K12+M12+O12+Q12+S12+U12+W12+Y12+AA12+AC12+AE12</f>
        <v>22938.39</v>
      </c>
      <c r="F12" s="312">
        <f>E12/B12*100</f>
        <v>57.700701603246287</v>
      </c>
      <c r="G12" s="312">
        <f>E12/C12*100</f>
        <v>99.824346429938998</v>
      </c>
      <c r="H12" s="312">
        <v>3465.99</v>
      </c>
      <c r="I12" s="312">
        <v>3465.99</v>
      </c>
      <c r="J12" s="312">
        <v>3281.82</v>
      </c>
      <c r="K12" s="312">
        <v>3281.82</v>
      </c>
      <c r="L12" s="312">
        <v>3069.62</v>
      </c>
      <c r="M12" s="312">
        <v>3069.62</v>
      </c>
      <c r="N12" s="312">
        <v>3281.8249999999998</v>
      </c>
      <c r="O12" s="312">
        <v>3281.83</v>
      </c>
      <c r="P12" s="312">
        <v>3175.873</v>
      </c>
      <c r="Q12" s="312">
        <v>3156.01</v>
      </c>
      <c r="R12" s="312">
        <v>3281.8249999999998</v>
      </c>
      <c r="S12" s="312">
        <v>3261.28</v>
      </c>
      <c r="T12" s="312">
        <v>3421.8</v>
      </c>
      <c r="U12" s="312">
        <v>3421.84</v>
      </c>
      <c r="V12" s="312">
        <v>3554.777</v>
      </c>
      <c r="W12" s="312"/>
      <c r="X12" s="312">
        <v>3527.212</v>
      </c>
      <c r="Y12" s="312"/>
      <c r="Z12" s="312">
        <v>3175.873</v>
      </c>
      <c r="AA12" s="312"/>
      <c r="AB12" s="312">
        <v>3281.8249999999998</v>
      </c>
      <c r="AC12" s="312"/>
      <c r="AD12" s="312">
        <v>3235.652</v>
      </c>
      <c r="AE12" s="312"/>
      <c r="AF12" s="1243"/>
    </row>
    <row r="13" spans="1:32" x14ac:dyDescent="0.25">
      <c r="A13" s="1261" t="s">
        <v>399</v>
      </c>
      <c r="B13" s="1262"/>
      <c r="C13" s="1262"/>
      <c r="D13" s="1262"/>
      <c r="E13" s="1262"/>
      <c r="F13" s="1262"/>
      <c r="G13" s="1262"/>
      <c r="H13" s="1262"/>
      <c r="I13" s="1262"/>
      <c r="J13" s="1262"/>
      <c r="K13" s="1262"/>
      <c r="L13" s="1262"/>
      <c r="M13" s="1262"/>
      <c r="N13" s="1262"/>
      <c r="O13" s="1262"/>
      <c r="P13" s="1262"/>
      <c r="Q13" s="1262"/>
      <c r="R13" s="1262"/>
      <c r="S13" s="1262"/>
      <c r="T13" s="1262"/>
      <c r="U13" s="1262"/>
      <c r="V13" s="1262"/>
      <c r="W13" s="1262"/>
      <c r="X13" s="1262"/>
      <c r="Y13" s="1262"/>
      <c r="Z13" s="1262"/>
      <c r="AA13" s="1262"/>
      <c r="AB13" s="1262"/>
      <c r="AC13" s="1262"/>
      <c r="AD13" s="1262"/>
      <c r="AE13" s="1263"/>
      <c r="AF13" s="298"/>
    </row>
    <row r="14" spans="1:32" x14ac:dyDescent="0.25">
      <c r="A14" s="300" t="s">
        <v>54</v>
      </c>
      <c r="B14" s="316"/>
      <c r="C14" s="316"/>
      <c r="D14" s="316"/>
      <c r="E14" s="316"/>
      <c r="F14" s="316"/>
      <c r="G14" s="316"/>
      <c r="H14" s="316"/>
      <c r="I14" s="316"/>
      <c r="J14" s="316"/>
      <c r="K14" s="316"/>
      <c r="L14" s="316"/>
      <c r="M14" s="316"/>
      <c r="N14" s="316"/>
      <c r="O14" s="316"/>
      <c r="P14" s="316"/>
      <c r="Q14" s="316"/>
      <c r="R14" s="316"/>
      <c r="S14" s="316"/>
      <c r="T14" s="316"/>
      <c r="U14" s="316"/>
      <c r="V14" s="316"/>
      <c r="W14" s="316"/>
      <c r="X14" s="317"/>
      <c r="Y14" s="307"/>
      <c r="Z14" s="307"/>
      <c r="AA14" s="307"/>
      <c r="AB14" s="307"/>
      <c r="AC14" s="307"/>
      <c r="AD14" s="307"/>
      <c r="AE14" s="307"/>
      <c r="AF14" s="318"/>
    </row>
    <row r="15" spans="1:32" x14ac:dyDescent="0.25">
      <c r="A15" s="1264" t="s">
        <v>400</v>
      </c>
      <c r="B15" s="1265"/>
      <c r="C15" s="1265"/>
      <c r="D15" s="1265"/>
      <c r="E15" s="1265"/>
      <c r="F15" s="1265"/>
      <c r="G15" s="1265"/>
      <c r="H15" s="1265"/>
      <c r="I15" s="1265"/>
      <c r="J15" s="1265"/>
      <c r="K15" s="1265"/>
      <c r="L15" s="1265"/>
      <c r="M15" s="1265"/>
      <c r="N15" s="1265"/>
      <c r="O15" s="1265"/>
      <c r="P15" s="1265"/>
      <c r="Q15" s="1265"/>
      <c r="R15" s="1265"/>
      <c r="S15" s="1265"/>
      <c r="T15" s="1265"/>
      <c r="U15" s="1265"/>
      <c r="V15" s="1265"/>
      <c r="W15" s="1265"/>
      <c r="X15" s="1265"/>
      <c r="Y15" s="1265"/>
      <c r="Z15" s="1265"/>
      <c r="AA15" s="1265"/>
      <c r="AB15" s="1265"/>
      <c r="AC15" s="1265"/>
      <c r="AD15" s="1265"/>
      <c r="AE15" s="1266"/>
      <c r="AF15" s="318"/>
    </row>
    <row r="16" spans="1:32" x14ac:dyDescent="0.25">
      <c r="A16" s="319" t="s">
        <v>31</v>
      </c>
      <c r="B16" s="320">
        <f>B17+B18+B20</f>
        <v>604125.63</v>
      </c>
      <c r="C16" s="610">
        <f>C17+C18+C20</f>
        <v>5000.54</v>
      </c>
      <c r="D16" s="320">
        <f>D17+D18+D20</f>
        <v>5000.54</v>
      </c>
      <c r="E16" s="320">
        <f>E17+E18+E20</f>
        <v>5000.54</v>
      </c>
      <c r="F16" s="320">
        <f>IFERROR(E16/B16%,0)</f>
        <v>0.82773180803469637</v>
      </c>
      <c r="G16" s="320">
        <f>IFERROR(E16/C16%,0)</f>
        <v>100</v>
      </c>
      <c r="H16" s="320">
        <f>H17+H18+H20</f>
        <v>0</v>
      </c>
      <c r="I16" s="320">
        <f t="shared" ref="I16:AE16" si="3">I17+I18+I20</f>
        <v>0</v>
      </c>
      <c r="J16" s="320">
        <f t="shared" si="3"/>
        <v>4540.54</v>
      </c>
      <c r="K16" s="320">
        <f t="shared" si="3"/>
        <v>4540.54</v>
      </c>
      <c r="L16" s="320">
        <f>L17+L18+L20</f>
        <v>59</v>
      </c>
      <c r="M16" s="320">
        <f t="shared" si="3"/>
        <v>59</v>
      </c>
      <c r="N16" s="320">
        <f t="shared" si="3"/>
        <v>180</v>
      </c>
      <c r="O16" s="320">
        <f t="shared" si="3"/>
        <v>180</v>
      </c>
      <c r="P16" s="320">
        <f t="shared" si="3"/>
        <v>0</v>
      </c>
      <c r="Q16" s="320">
        <f t="shared" si="3"/>
        <v>0</v>
      </c>
      <c r="R16" s="320">
        <f t="shared" si="3"/>
        <v>30</v>
      </c>
      <c r="S16" s="320">
        <f t="shared" si="3"/>
        <v>26</v>
      </c>
      <c r="T16" s="320">
        <f t="shared" si="3"/>
        <v>191</v>
      </c>
      <c r="U16" s="320">
        <f t="shared" si="3"/>
        <v>195</v>
      </c>
      <c r="V16" s="320">
        <f t="shared" si="3"/>
        <v>11225.2</v>
      </c>
      <c r="W16" s="320">
        <f t="shared" si="3"/>
        <v>0</v>
      </c>
      <c r="X16" s="320">
        <f t="shared" si="3"/>
        <v>83058.399999999994</v>
      </c>
      <c r="Y16" s="320">
        <f t="shared" si="3"/>
        <v>0</v>
      </c>
      <c r="Z16" s="320">
        <f t="shared" si="3"/>
        <v>418380.61</v>
      </c>
      <c r="AA16" s="320">
        <f t="shared" si="3"/>
        <v>0</v>
      </c>
      <c r="AB16" s="320">
        <f t="shared" si="3"/>
        <v>54829.9</v>
      </c>
      <c r="AC16" s="320">
        <f t="shared" si="3"/>
        <v>0</v>
      </c>
      <c r="AD16" s="320">
        <f t="shared" si="3"/>
        <v>31630.98</v>
      </c>
      <c r="AE16" s="320">
        <f t="shared" si="3"/>
        <v>0</v>
      </c>
      <c r="AF16" s="1245"/>
    </row>
    <row r="17" spans="1:32" x14ac:dyDescent="0.25">
      <c r="A17" s="639" t="s">
        <v>32</v>
      </c>
      <c r="B17" s="312">
        <f>H17+J17+L17+N17+P17+R17+T17+V17+X17+Z17+AB17+AD17</f>
        <v>210752.09999999998</v>
      </c>
      <c r="C17" s="312">
        <f>C23+C29+C35+C41+C47</f>
        <v>0</v>
      </c>
      <c r="D17" s="312">
        <f>E17</f>
        <v>0</v>
      </c>
      <c r="E17" s="312">
        <f>I17+K17+M17+O17+Q17+S17+U17+W17+Y17+AA17+AC17+AE17</f>
        <v>0</v>
      </c>
      <c r="F17" s="321">
        <f>IFERROR(E17/B17%,0)</f>
        <v>0</v>
      </c>
      <c r="G17" s="321">
        <f>IFERROR(E17/C17%,0)</f>
        <v>0</v>
      </c>
      <c r="H17" s="312">
        <f t="shared" ref="H17:AE17" si="4">H23+H29+H35+H41+H47</f>
        <v>0</v>
      </c>
      <c r="I17" s="312">
        <f t="shared" si="4"/>
        <v>0</v>
      </c>
      <c r="J17" s="312">
        <f t="shared" si="4"/>
        <v>0</v>
      </c>
      <c r="K17" s="312">
        <f t="shared" si="4"/>
        <v>0</v>
      </c>
      <c r="L17" s="312">
        <f t="shared" si="4"/>
        <v>0</v>
      </c>
      <c r="M17" s="312">
        <f t="shared" si="4"/>
        <v>0</v>
      </c>
      <c r="N17" s="312">
        <f t="shared" si="4"/>
        <v>0</v>
      </c>
      <c r="O17" s="312">
        <f t="shared" si="4"/>
        <v>0</v>
      </c>
      <c r="P17" s="312">
        <f t="shared" si="4"/>
        <v>0</v>
      </c>
      <c r="Q17" s="312">
        <f t="shared" si="4"/>
        <v>0</v>
      </c>
      <c r="R17" s="312">
        <f t="shared" si="4"/>
        <v>0</v>
      </c>
      <c r="S17" s="312">
        <f t="shared" si="4"/>
        <v>0</v>
      </c>
      <c r="T17" s="312">
        <f t="shared" si="4"/>
        <v>0</v>
      </c>
      <c r="U17" s="312">
        <f t="shared" si="4"/>
        <v>0</v>
      </c>
      <c r="V17" s="312">
        <f t="shared" si="4"/>
        <v>5612.6</v>
      </c>
      <c r="W17" s="312">
        <f t="shared" si="4"/>
        <v>0</v>
      </c>
      <c r="X17" s="312">
        <f t="shared" si="4"/>
        <v>41529.199999999997</v>
      </c>
      <c r="Y17" s="312">
        <f t="shared" si="4"/>
        <v>0</v>
      </c>
      <c r="Z17" s="312">
        <f t="shared" si="4"/>
        <v>163610.29999999999</v>
      </c>
      <c r="AA17" s="312">
        <f t="shared" si="4"/>
        <v>0</v>
      </c>
      <c r="AB17" s="312">
        <f t="shared" si="4"/>
        <v>0</v>
      </c>
      <c r="AC17" s="312">
        <f t="shared" si="4"/>
        <v>0</v>
      </c>
      <c r="AD17" s="312">
        <f t="shared" si="4"/>
        <v>0</v>
      </c>
      <c r="AE17" s="312">
        <f t="shared" si="4"/>
        <v>0</v>
      </c>
      <c r="AF17" s="1246"/>
    </row>
    <row r="18" spans="1:32" x14ac:dyDescent="0.25">
      <c r="A18" s="311" t="s">
        <v>33</v>
      </c>
      <c r="B18" s="312">
        <f>H18+J18+L18+N18+P18+R18+T18+V18+X18+Z18+AB18+AD18</f>
        <v>36765.769999999997</v>
      </c>
      <c r="C18" s="312">
        <f>C24+C30+C36+C42+C48</f>
        <v>5000.54</v>
      </c>
      <c r="D18" s="312">
        <f>E18</f>
        <v>5000.54</v>
      </c>
      <c r="E18" s="312">
        <f>I18+K18+M18+O18+Q18+S18+U18+W18+Y18+AA18+AC18+AE18</f>
        <v>5000.54</v>
      </c>
      <c r="F18" s="321">
        <f>IFERROR(E18/B18%,0)</f>
        <v>13.601075130481425</v>
      </c>
      <c r="G18" s="321">
        <f>IFERROR(E18/C18%,0)</f>
        <v>100</v>
      </c>
      <c r="H18" s="312">
        <f t="shared" ref="H18:AE18" si="5">H24+H30+H36+H42+H48</f>
        <v>0</v>
      </c>
      <c r="I18" s="312">
        <f t="shared" si="5"/>
        <v>0</v>
      </c>
      <c r="J18" s="312">
        <f t="shared" si="5"/>
        <v>4540.54</v>
      </c>
      <c r="K18" s="312">
        <f t="shared" si="5"/>
        <v>4540.54</v>
      </c>
      <c r="L18" s="312">
        <f t="shared" si="5"/>
        <v>59</v>
      </c>
      <c r="M18" s="312">
        <f t="shared" si="5"/>
        <v>59</v>
      </c>
      <c r="N18" s="312">
        <f t="shared" si="5"/>
        <v>180</v>
      </c>
      <c r="O18" s="312">
        <f t="shared" si="5"/>
        <v>180</v>
      </c>
      <c r="P18" s="312">
        <f t="shared" si="5"/>
        <v>0</v>
      </c>
      <c r="Q18" s="312">
        <f t="shared" si="5"/>
        <v>0</v>
      </c>
      <c r="R18" s="312">
        <f t="shared" si="5"/>
        <v>30</v>
      </c>
      <c r="S18" s="312">
        <f t="shared" si="5"/>
        <v>26</v>
      </c>
      <c r="T18" s="312">
        <f t="shared" si="5"/>
        <v>191</v>
      </c>
      <c r="U18" s="312">
        <f t="shared" si="5"/>
        <v>195</v>
      </c>
      <c r="V18" s="312">
        <f t="shared" si="5"/>
        <v>0</v>
      </c>
      <c r="W18" s="312">
        <f t="shared" si="5"/>
        <v>0</v>
      </c>
      <c r="X18" s="312">
        <f t="shared" si="5"/>
        <v>0</v>
      </c>
      <c r="Y18" s="312">
        <f t="shared" si="5"/>
        <v>0</v>
      </c>
      <c r="Z18" s="312">
        <f t="shared" si="5"/>
        <v>21181.05</v>
      </c>
      <c r="AA18" s="312">
        <f t="shared" si="5"/>
        <v>0</v>
      </c>
      <c r="AB18" s="312">
        <f t="shared" si="5"/>
        <v>9356.9</v>
      </c>
      <c r="AC18" s="312">
        <f t="shared" si="5"/>
        <v>0</v>
      </c>
      <c r="AD18" s="312">
        <f t="shared" si="5"/>
        <v>1227.28</v>
      </c>
      <c r="AE18" s="312">
        <f t="shared" si="5"/>
        <v>0</v>
      </c>
      <c r="AF18" s="1246"/>
    </row>
    <row r="19" spans="1:32" ht="31.5" x14ac:dyDescent="0.25">
      <c r="A19" s="323" t="s">
        <v>174</v>
      </c>
      <c r="B19" s="312">
        <f>H19+J19+L19+N19+P19+R19+T19+V19+X19+Z19+AB19+AD19</f>
        <v>0</v>
      </c>
      <c r="C19" s="312">
        <f>C25+C31+C37+C43+C49</f>
        <v>0</v>
      </c>
      <c r="D19" s="312">
        <f>E19</f>
        <v>0</v>
      </c>
      <c r="E19" s="312">
        <f>I19+K19+M19+O19+Q19+S19+U19+W19+Y19+AA19+AC19+AE19</f>
        <v>0</v>
      </c>
      <c r="F19" s="321">
        <f>IFERROR(E19/B19%,0)</f>
        <v>0</v>
      </c>
      <c r="G19" s="321">
        <f>IFERROR(E19/C19%,0)</f>
        <v>0</v>
      </c>
      <c r="H19" s="312">
        <f t="shared" ref="H19:AE19" si="6">H25+H31+H37+H43+H49</f>
        <v>0</v>
      </c>
      <c r="I19" s="312">
        <f t="shared" si="6"/>
        <v>0</v>
      </c>
      <c r="J19" s="312">
        <f t="shared" si="6"/>
        <v>0</v>
      </c>
      <c r="K19" s="312">
        <f t="shared" si="6"/>
        <v>0</v>
      </c>
      <c r="L19" s="312">
        <f t="shared" si="6"/>
        <v>0</v>
      </c>
      <c r="M19" s="312">
        <f t="shared" si="6"/>
        <v>0</v>
      </c>
      <c r="N19" s="312">
        <f t="shared" si="6"/>
        <v>0</v>
      </c>
      <c r="O19" s="312">
        <f t="shared" si="6"/>
        <v>0</v>
      </c>
      <c r="P19" s="312">
        <f t="shared" si="6"/>
        <v>0</v>
      </c>
      <c r="Q19" s="312">
        <f t="shared" si="6"/>
        <v>0</v>
      </c>
      <c r="R19" s="312">
        <f t="shared" si="6"/>
        <v>0</v>
      </c>
      <c r="S19" s="312">
        <f t="shared" si="6"/>
        <v>0</v>
      </c>
      <c r="T19" s="312">
        <f t="shared" si="6"/>
        <v>0</v>
      </c>
      <c r="U19" s="312">
        <f t="shared" si="6"/>
        <v>0</v>
      </c>
      <c r="V19" s="312">
        <f t="shared" si="6"/>
        <v>0</v>
      </c>
      <c r="W19" s="312">
        <f t="shared" si="6"/>
        <v>0</v>
      </c>
      <c r="X19" s="312">
        <f t="shared" si="6"/>
        <v>0</v>
      </c>
      <c r="Y19" s="312">
        <f t="shared" si="6"/>
        <v>0</v>
      </c>
      <c r="Z19" s="312">
        <f t="shared" si="6"/>
        <v>0</v>
      </c>
      <c r="AA19" s="312">
        <f t="shared" si="6"/>
        <v>0</v>
      </c>
      <c r="AB19" s="312">
        <f t="shared" si="6"/>
        <v>0</v>
      </c>
      <c r="AC19" s="312">
        <f t="shared" si="6"/>
        <v>0</v>
      </c>
      <c r="AD19" s="312">
        <f t="shared" si="6"/>
        <v>0</v>
      </c>
      <c r="AE19" s="312">
        <f t="shared" si="6"/>
        <v>0</v>
      </c>
      <c r="AF19" s="1246"/>
    </row>
    <row r="20" spans="1:32" x14ac:dyDescent="0.25">
      <c r="A20" s="311" t="s">
        <v>374</v>
      </c>
      <c r="B20" s="312">
        <f>H20+J20+L20+N20+P20+R20+T20+V20+X20+Z20+AB20+AD20</f>
        <v>356607.76</v>
      </c>
      <c r="C20" s="312">
        <f>C26+C32+C38+C44+C50</f>
        <v>0</v>
      </c>
      <c r="D20" s="312">
        <f>E20</f>
        <v>0</v>
      </c>
      <c r="E20" s="312">
        <f>I20+K20+M20+O20+Q20+S20+U20+W20+Y20+AA20+AC20+AE20</f>
        <v>0</v>
      </c>
      <c r="F20" s="321">
        <f>IFERROR(E20/B20%,0)</f>
        <v>0</v>
      </c>
      <c r="G20" s="321">
        <f>IFERROR(E20/C20%,0)</f>
        <v>0</v>
      </c>
      <c r="H20" s="312">
        <f t="shared" ref="H20:AE20" si="7">H26+H32+H38+H44+H50</f>
        <v>0</v>
      </c>
      <c r="I20" s="312">
        <f t="shared" si="7"/>
        <v>0</v>
      </c>
      <c r="J20" s="312">
        <f t="shared" si="7"/>
        <v>0</v>
      </c>
      <c r="K20" s="312">
        <f t="shared" si="7"/>
        <v>0</v>
      </c>
      <c r="L20" s="312">
        <f t="shared" si="7"/>
        <v>0</v>
      </c>
      <c r="M20" s="312">
        <f t="shared" si="7"/>
        <v>0</v>
      </c>
      <c r="N20" s="312">
        <f t="shared" si="7"/>
        <v>0</v>
      </c>
      <c r="O20" s="312">
        <f t="shared" si="7"/>
        <v>0</v>
      </c>
      <c r="P20" s="312">
        <f t="shared" si="7"/>
        <v>0</v>
      </c>
      <c r="Q20" s="312">
        <f t="shared" si="7"/>
        <v>0</v>
      </c>
      <c r="R20" s="312">
        <f t="shared" si="7"/>
        <v>0</v>
      </c>
      <c r="S20" s="312">
        <f t="shared" si="7"/>
        <v>0</v>
      </c>
      <c r="T20" s="312">
        <f t="shared" si="7"/>
        <v>0</v>
      </c>
      <c r="U20" s="312">
        <f t="shared" si="7"/>
        <v>0</v>
      </c>
      <c r="V20" s="312">
        <f t="shared" si="7"/>
        <v>5612.6</v>
      </c>
      <c r="W20" s="312">
        <f t="shared" si="7"/>
        <v>0</v>
      </c>
      <c r="X20" s="312">
        <f t="shared" si="7"/>
        <v>41529.199999999997</v>
      </c>
      <c r="Y20" s="312">
        <f t="shared" si="7"/>
        <v>0</v>
      </c>
      <c r="Z20" s="312">
        <f t="shared" si="7"/>
        <v>233589.26</v>
      </c>
      <c r="AA20" s="312">
        <f t="shared" si="7"/>
        <v>0</v>
      </c>
      <c r="AB20" s="312">
        <f t="shared" si="7"/>
        <v>45473</v>
      </c>
      <c r="AC20" s="312">
        <f t="shared" si="7"/>
        <v>0</v>
      </c>
      <c r="AD20" s="312">
        <f t="shared" si="7"/>
        <v>30403.7</v>
      </c>
      <c r="AE20" s="312">
        <f t="shared" si="7"/>
        <v>0</v>
      </c>
      <c r="AF20" s="1247"/>
    </row>
    <row r="21" spans="1:32" ht="24" customHeight="1" x14ac:dyDescent="0.25">
      <c r="A21" s="1268" t="s">
        <v>401</v>
      </c>
      <c r="B21" s="1269"/>
      <c r="C21" s="1269"/>
      <c r="D21" s="1269"/>
      <c r="E21" s="1269"/>
      <c r="F21" s="1269"/>
      <c r="G21" s="1269"/>
      <c r="H21" s="1269"/>
      <c r="I21" s="1269"/>
      <c r="J21" s="1269"/>
      <c r="K21" s="1269"/>
      <c r="L21" s="1269"/>
      <c r="M21" s="1269"/>
      <c r="N21" s="1269"/>
      <c r="O21" s="1269"/>
      <c r="P21" s="1269"/>
      <c r="Q21" s="1269"/>
      <c r="R21" s="1269"/>
      <c r="S21" s="1269"/>
      <c r="T21" s="1269"/>
      <c r="U21" s="1269"/>
      <c r="V21" s="1269"/>
      <c r="W21" s="1269"/>
      <c r="X21" s="1269"/>
      <c r="Y21" s="1269"/>
      <c r="Z21" s="1269"/>
      <c r="AA21" s="1269"/>
      <c r="AB21" s="1269"/>
      <c r="AC21" s="1269"/>
      <c r="AD21" s="1269"/>
      <c r="AE21" s="1270"/>
      <c r="AF21" s="324"/>
    </row>
    <row r="22" spans="1:32" x14ac:dyDescent="0.25">
      <c r="A22" s="319" t="s">
        <v>31</v>
      </c>
      <c r="B22" s="320">
        <f>B23+B24+B26</f>
        <v>283805.8</v>
      </c>
      <c r="C22" s="320">
        <f>C23+C24+C26</f>
        <v>100</v>
      </c>
      <c r="D22" s="320">
        <f>D23+D24+D26</f>
        <v>100</v>
      </c>
      <c r="E22" s="320">
        <f>E23+E24+E26</f>
        <v>100</v>
      </c>
      <c r="F22" s="320">
        <f>IFERROR(E22/B22%,0)</f>
        <v>3.5235361645181318E-2</v>
      </c>
      <c r="G22" s="320">
        <f>IFERROR(E22/C22%,0)</f>
        <v>100</v>
      </c>
      <c r="H22" s="320">
        <f>H23+H24+H26</f>
        <v>0</v>
      </c>
      <c r="I22" s="320">
        <f t="shared" ref="I22:AE22" si="8">I23+I24+I26</f>
        <v>0</v>
      </c>
      <c r="J22" s="320">
        <f t="shared" si="8"/>
        <v>0</v>
      </c>
      <c r="K22" s="320">
        <f t="shared" si="8"/>
        <v>0</v>
      </c>
      <c r="L22" s="320">
        <f t="shared" si="8"/>
        <v>59</v>
      </c>
      <c r="M22" s="320">
        <f t="shared" si="8"/>
        <v>59</v>
      </c>
      <c r="N22" s="320">
        <f t="shared" si="8"/>
        <v>0</v>
      </c>
      <c r="O22" s="320">
        <f t="shared" si="8"/>
        <v>0</v>
      </c>
      <c r="P22" s="320">
        <f t="shared" si="8"/>
        <v>0</v>
      </c>
      <c r="Q22" s="320">
        <f t="shared" si="8"/>
        <v>0</v>
      </c>
      <c r="R22" s="320">
        <f t="shared" si="8"/>
        <v>30</v>
      </c>
      <c r="S22" s="320">
        <f t="shared" si="8"/>
        <v>26</v>
      </c>
      <c r="T22" s="320">
        <f t="shared" si="8"/>
        <v>11</v>
      </c>
      <c r="U22" s="320">
        <f t="shared" si="8"/>
        <v>15</v>
      </c>
      <c r="V22" s="320">
        <f t="shared" si="8"/>
        <v>0</v>
      </c>
      <c r="W22" s="320">
        <f t="shared" si="8"/>
        <v>0</v>
      </c>
      <c r="X22" s="320">
        <f t="shared" si="8"/>
        <v>0</v>
      </c>
      <c r="Y22" s="320">
        <f t="shared" si="8"/>
        <v>0</v>
      </c>
      <c r="Z22" s="320">
        <f t="shared" si="8"/>
        <v>275505.69999999995</v>
      </c>
      <c r="AA22" s="320">
        <f t="shared" si="8"/>
        <v>0</v>
      </c>
      <c r="AB22" s="320">
        <f t="shared" si="8"/>
        <v>8200.1</v>
      </c>
      <c r="AC22" s="320">
        <f t="shared" si="8"/>
        <v>0</v>
      </c>
      <c r="AD22" s="320">
        <f t="shared" si="8"/>
        <v>0</v>
      </c>
      <c r="AE22" s="320">
        <f t="shared" si="8"/>
        <v>0</v>
      </c>
      <c r="AF22" s="1254" t="s">
        <v>583</v>
      </c>
    </row>
    <row r="23" spans="1:32" ht="286.5" customHeight="1" x14ac:dyDescent="0.25">
      <c r="A23" s="736" t="s">
        <v>32</v>
      </c>
      <c r="B23" s="313">
        <f>H23+J23+L23+N23+P23+R23+T23+V23+X23+Z23+AB23+AD23</f>
        <v>132545.4</v>
      </c>
      <c r="C23" s="313">
        <f>H23+J23+L23+N23+P23+R23+T23</f>
        <v>0</v>
      </c>
      <c r="D23" s="313">
        <f>E23</f>
        <v>0</v>
      </c>
      <c r="E23" s="313">
        <f>I23+K23+M23+O23+Q23+S23+U23+W23+Y23+AA23+AC23+AE23</f>
        <v>0</v>
      </c>
      <c r="F23" s="313">
        <f>IFERROR(E23/B23%,0)</f>
        <v>0</v>
      </c>
      <c r="G23" s="313">
        <f>IFERROR(E23/C23%,0)</f>
        <v>0</v>
      </c>
      <c r="H23" s="312"/>
      <c r="I23" s="312"/>
      <c r="J23" s="312"/>
      <c r="K23" s="312"/>
      <c r="L23" s="312"/>
      <c r="M23" s="312"/>
      <c r="N23" s="312"/>
      <c r="O23" s="312"/>
      <c r="P23" s="312"/>
      <c r="Q23" s="312"/>
      <c r="R23" s="312"/>
      <c r="S23" s="312"/>
      <c r="T23" s="312"/>
      <c r="U23" s="312"/>
      <c r="V23" s="312"/>
      <c r="W23" s="312"/>
      <c r="X23" s="312"/>
      <c r="Y23" s="312"/>
      <c r="Z23" s="312">
        <v>132545.4</v>
      </c>
      <c r="AA23" s="312"/>
      <c r="AB23" s="312"/>
      <c r="AC23" s="312"/>
      <c r="AD23" s="312"/>
      <c r="AE23" s="312"/>
      <c r="AF23" s="1243"/>
    </row>
    <row r="24" spans="1:32" ht="296.25" customHeight="1" x14ac:dyDescent="0.25">
      <c r="A24" s="311" t="s">
        <v>33</v>
      </c>
      <c r="B24" s="313">
        <f>H24+J24+L24+N24+P24+R24+T24+V24+X24+Z24+AB24+AD24</f>
        <v>23994.400000000001</v>
      </c>
      <c r="C24" s="313">
        <f t="shared" ref="C24:C26" si="9">H24+J24+L24+N24+P24+R24+T24</f>
        <v>100</v>
      </c>
      <c r="D24" s="313">
        <f>E24</f>
        <v>100</v>
      </c>
      <c r="E24" s="313">
        <f>I24+K24+M24+O24+Q24+S24+U24+W24+Y24+AA24+AC24+AE24</f>
        <v>100</v>
      </c>
      <c r="F24" s="313">
        <f>IFERROR(E24/B24%,0)</f>
        <v>0.41676391157936848</v>
      </c>
      <c r="G24" s="313">
        <f>IFERROR(E24/C24%,0)</f>
        <v>100</v>
      </c>
      <c r="H24" s="312"/>
      <c r="I24" s="312"/>
      <c r="J24" s="312"/>
      <c r="K24" s="312"/>
      <c r="L24" s="312">
        <v>59</v>
      </c>
      <c r="M24" s="312">
        <v>59</v>
      </c>
      <c r="N24" s="312"/>
      <c r="O24" s="312"/>
      <c r="P24" s="312"/>
      <c r="Q24" s="312"/>
      <c r="R24" s="312">
        <v>30</v>
      </c>
      <c r="S24" s="312">
        <v>26</v>
      </c>
      <c r="T24" s="312">
        <v>11</v>
      </c>
      <c r="U24" s="312">
        <v>15</v>
      </c>
      <c r="V24" s="312"/>
      <c r="W24" s="312"/>
      <c r="X24" s="312"/>
      <c r="Y24" s="312"/>
      <c r="Z24" s="312">
        <v>15694.3</v>
      </c>
      <c r="AA24" s="312"/>
      <c r="AB24" s="312">
        <v>8200.1</v>
      </c>
      <c r="AC24" s="312"/>
      <c r="AD24" s="312"/>
      <c r="AE24" s="312"/>
      <c r="AF24" s="1243"/>
    </row>
    <row r="25" spans="1:32" ht="131.25" customHeight="1" x14ac:dyDescent="0.25">
      <c r="A25" s="325" t="s">
        <v>174</v>
      </c>
      <c r="B25" s="313"/>
      <c r="C25" s="313"/>
      <c r="D25" s="313"/>
      <c r="E25" s="313"/>
      <c r="F25" s="313"/>
      <c r="G25" s="313"/>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1243"/>
    </row>
    <row r="26" spans="1:32" ht="61.5" customHeight="1" x14ac:dyDescent="0.25">
      <c r="A26" s="311" t="s">
        <v>374</v>
      </c>
      <c r="B26" s="313">
        <f>H26+J26+L26+N26+P26+R26+T26+V26+X26+Z26+AB26+AD26</f>
        <v>127266</v>
      </c>
      <c r="C26" s="313">
        <f t="shared" si="9"/>
        <v>0</v>
      </c>
      <c r="D26" s="313">
        <f>E26</f>
        <v>0</v>
      </c>
      <c r="E26" s="313">
        <f>I26+K26+M26+O26+Q26+S26+U26+W26+Y26+AA26+AC26+AE26</f>
        <v>0</v>
      </c>
      <c r="F26" s="313">
        <f>IFERROR(E26/B26%,0)</f>
        <v>0</v>
      </c>
      <c r="G26" s="313">
        <f>IFERROR(E26/C26%,0)</f>
        <v>0</v>
      </c>
      <c r="H26" s="312"/>
      <c r="I26" s="312"/>
      <c r="J26" s="312"/>
      <c r="K26" s="312"/>
      <c r="L26" s="312"/>
      <c r="M26" s="312"/>
      <c r="N26" s="312"/>
      <c r="O26" s="312"/>
      <c r="P26" s="312"/>
      <c r="Q26" s="312"/>
      <c r="R26" s="312"/>
      <c r="S26" s="312"/>
      <c r="T26" s="312"/>
      <c r="U26" s="312"/>
      <c r="V26" s="312"/>
      <c r="W26" s="312"/>
      <c r="X26" s="312"/>
      <c r="Y26" s="312"/>
      <c r="Z26" s="312">
        <v>127266</v>
      </c>
      <c r="AA26" s="312"/>
      <c r="AB26" s="312"/>
      <c r="AC26" s="312"/>
      <c r="AD26" s="312"/>
      <c r="AE26" s="312"/>
      <c r="AF26" s="1244"/>
    </row>
    <row r="27" spans="1:32" x14ac:dyDescent="0.25">
      <c r="A27" s="1268" t="s">
        <v>402</v>
      </c>
      <c r="B27" s="1269"/>
      <c r="C27" s="1269"/>
      <c r="D27" s="1269"/>
      <c r="E27" s="1269"/>
      <c r="F27" s="1269"/>
      <c r="G27" s="1269"/>
      <c r="H27" s="1269"/>
      <c r="I27" s="1269"/>
      <c r="J27" s="1269"/>
      <c r="K27" s="1269"/>
      <c r="L27" s="1269"/>
      <c r="M27" s="1269"/>
      <c r="N27" s="1269"/>
      <c r="O27" s="1269"/>
      <c r="P27" s="1269"/>
      <c r="Q27" s="1269"/>
      <c r="R27" s="1269"/>
      <c r="S27" s="1269"/>
      <c r="T27" s="1269"/>
      <c r="U27" s="1269"/>
      <c r="V27" s="1269"/>
      <c r="W27" s="1269"/>
      <c r="X27" s="1269"/>
      <c r="Y27" s="1269"/>
      <c r="Z27" s="1269"/>
      <c r="AA27" s="1269"/>
      <c r="AB27" s="1269"/>
      <c r="AC27" s="1269"/>
      <c r="AD27" s="1269"/>
      <c r="AE27" s="1270"/>
      <c r="AF27" s="326"/>
    </row>
    <row r="28" spans="1:32" x14ac:dyDescent="0.25">
      <c r="A28" s="319" t="s">
        <v>31</v>
      </c>
      <c r="B28" s="320">
        <f>B29+B30+B31+B32</f>
        <v>1156.8</v>
      </c>
      <c r="C28" s="320">
        <f>C29+C30+C31+C32</f>
        <v>0</v>
      </c>
      <c r="D28" s="320">
        <f>D29+D30+D31+D32</f>
        <v>0</v>
      </c>
      <c r="E28" s="320">
        <f>E29+E30+E31+E32</f>
        <v>0</v>
      </c>
      <c r="F28" s="320">
        <f>IFERROR(E28/B28%,0)</f>
        <v>0</v>
      </c>
      <c r="G28" s="320">
        <f>IFERROR(E28/C28%,0)</f>
        <v>0</v>
      </c>
      <c r="H28" s="320">
        <f>H29+H30+H32</f>
        <v>0</v>
      </c>
      <c r="I28" s="320">
        <f t="shared" ref="I28:AE28" si="10">I29+I30+I32</f>
        <v>0</v>
      </c>
      <c r="J28" s="320">
        <f t="shared" si="10"/>
        <v>0</v>
      </c>
      <c r="K28" s="320">
        <f t="shared" si="10"/>
        <v>0</v>
      </c>
      <c r="L28" s="320">
        <f t="shared" si="10"/>
        <v>0</v>
      </c>
      <c r="M28" s="320">
        <f t="shared" si="10"/>
        <v>0</v>
      </c>
      <c r="N28" s="320">
        <f t="shared" si="10"/>
        <v>0</v>
      </c>
      <c r="O28" s="320">
        <f t="shared" si="10"/>
        <v>0</v>
      </c>
      <c r="P28" s="320">
        <f t="shared" si="10"/>
        <v>0</v>
      </c>
      <c r="Q28" s="320">
        <f t="shared" si="10"/>
        <v>0</v>
      </c>
      <c r="R28" s="320">
        <f t="shared" si="10"/>
        <v>0</v>
      </c>
      <c r="S28" s="320">
        <f t="shared" si="10"/>
        <v>0</v>
      </c>
      <c r="T28" s="320">
        <f t="shared" si="10"/>
        <v>0</v>
      </c>
      <c r="U28" s="320">
        <f t="shared" si="10"/>
        <v>0</v>
      </c>
      <c r="V28" s="320">
        <f t="shared" si="10"/>
        <v>0</v>
      </c>
      <c r="W28" s="320">
        <f t="shared" si="10"/>
        <v>0</v>
      </c>
      <c r="X28" s="320">
        <f t="shared" si="10"/>
        <v>0</v>
      </c>
      <c r="Y28" s="320">
        <f t="shared" si="10"/>
        <v>0</v>
      </c>
      <c r="Z28" s="320">
        <f t="shared" si="10"/>
        <v>0</v>
      </c>
      <c r="AA28" s="320">
        <f t="shared" si="10"/>
        <v>0</v>
      </c>
      <c r="AB28" s="320">
        <f t="shared" si="10"/>
        <v>1156.8</v>
      </c>
      <c r="AC28" s="320">
        <f t="shared" si="10"/>
        <v>0</v>
      </c>
      <c r="AD28" s="320">
        <f t="shared" si="10"/>
        <v>0</v>
      </c>
      <c r="AE28" s="320">
        <f t="shared" si="10"/>
        <v>0</v>
      </c>
      <c r="AF28" s="1254" t="s">
        <v>584</v>
      </c>
    </row>
    <row r="29" spans="1:32" ht="59.25" customHeight="1" x14ac:dyDescent="0.25">
      <c r="A29" s="311" t="s">
        <v>32</v>
      </c>
      <c r="B29" s="313"/>
      <c r="C29" s="312"/>
      <c r="D29" s="313"/>
      <c r="E29" s="313"/>
      <c r="F29" s="313"/>
      <c r="G29" s="313"/>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1243"/>
    </row>
    <row r="30" spans="1:32" ht="165" customHeight="1" x14ac:dyDescent="0.25">
      <c r="A30" s="311" t="s">
        <v>33</v>
      </c>
      <c r="B30" s="313">
        <f>H30+J30+L30+N30+P30+R30+T30+V30+X30+Z30+AB30+AD30</f>
        <v>1156.8</v>
      </c>
      <c r="C30" s="312">
        <f>H30+J30+L30+N30+P30+R30+T30</f>
        <v>0</v>
      </c>
      <c r="D30" s="313">
        <f>E30</f>
        <v>0</v>
      </c>
      <c r="E30" s="313">
        <f>I30+K30+M30+O30+Q30+S30+U30+W30+Y30+AA30+AC30+AE30</f>
        <v>0</v>
      </c>
      <c r="F30" s="313">
        <f>IFERROR(E30/B30%,0)</f>
        <v>0</v>
      </c>
      <c r="G30" s="313">
        <f>IFERROR(E30/C30%,0)</f>
        <v>0</v>
      </c>
      <c r="H30" s="312"/>
      <c r="I30" s="312"/>
      <c r="J30" s="312"/>
      <c r="K30" s="312"/>
      <c r="L30" s="312"/>
      <c r="M30" s="312"/>
      <c r="N30" s="312"/>
      <c r="O30" s="312"/>
      <c r="P30" s="312"/>
      <c r="Q30" s="312"/>
      <c r="R30" s="312"/>
      <c r="S30" s="312"/>
      <c r="T30" s="312"/>
      <c r="U30" s="312"/>
      <c r="V30" s="312"/>
      <c r="W30" s="312"/>
      <c r="X30" s="312"/>
      <c r="Y30" s="312"/>
      <c r="Z30" s="312"/>
      <c r="AA30" s="312"/>
      <c r="AB30" s="312">
        <v>1156.8</v>
      </c>
      <c r="AC30" s="312"/>
      <c r="AD30" s="312"/>
      <c r="AE30" s="312"/>
      <c r="AF30" s="1243"/>
    </row>
    <row r="31" spans="1:32" ht="117.75" customHeight="1" x14ac:dyDescent="0.25">
      <c r="A31" s="325" t="s">
        <v>174</v>
      </c>
      <c r="B31" s="313"/>
      <c r="C31" s="312"/>
      <c r="D31" s="313"/>
      <c r="E31" s="313"/>
      <c r="F31" s="313"/>
      <c r="G31" s="313"/>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1243"/>
    </row>
    <row r="32" spans="1:32" x14ac:dyDescent="0.25">
      <c r="A32" s="311" t="s">
        <v>374</v>
      </c>
      <c r="B32" s="313"/>
      <c r="C32" s="312"/>
      <c r="D32" s="313"/>
      <c r="E32" s="313"/>
      <c r="F32" s="313"/>
      <c r="G32" s="313"/>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1244"/>
    </row>
    <row r="33" spans="1:32" x14ac:dyDescent="0.25">
      <c r="A33" s="1268" t="s">
        <v>468</v>
      </c>
      <c r="B33" s="1269"/>
      <c r="C33" s="1269"/>
      <c r="D33" s="1269"/>
      <c r="E33" s="1269"/>
      <c r="F33" s="1269"/>
      <c r="G33" s="1269"/>
      <c r="H33" s="1269"/>
      <c r="I33" s="1269"/>
      <c r="J33" s="1269"/>
      <c r="K33" s="1269"/>
      <c r="L33" s="1269"/>
      <c r="M33" s="1269"/>
      <c r="N33" s="1269"/>
      <c r="O33" s="1269"/>
      <c r="P33" s="1269"/>
      <c r="Q33" s="1269"/>
      <c r="R33" s="1269"/>
      <c r="S33" s="1269"/>
      <c r="T33" s="1269"/>
      <c r="U33" s="1269"/>
      <c r="V33" s="1269"/>
      <c r="W33" s="1269"/>
      <c r="X33" s="1269"/>
      <c r="Y33" s="1269"/>
      <c r="Z33" s="1269"/>
      <c r="AA33" s="1269"/>
      <c r="AB33" s="1269"/>
      <c r="AC33" s="1269"/>
      <c r="AD33" s="1269"/>
      <c r="AE33" s="1270"/>
      <c r="AF33" s="310"/>
    </row>
    <row r="34" spans="1:32" ht="63.75" customHeight="1" x14ac:dyDescent="0.25">
      <c r="A34" s="311" t="s">
        <v>31</v>
      </c>
      <c r="B34" s="313">
        <f>B35+B36+B38</f>
        <v>314622.49</v>
      </c>
      <c r="C34" s="313">
        <f>C35+C36+C38</f>
        <v>360</v>
      </c>
      <c r="D34" s="313">
        <f>D35+D36+D38</f>
        <v>360</v>
      </c>
      <c r="E34" s="313">
        <f>E35+E36+E38</f>
        <v>360</v>
      </c>
      <c r="F34" s="313">
        <f>IFERROR(E34/B34%,0)</f>
        <v>0.11442284370707258</v>
      </c>
      <c r="G34" s="313">
        <f>IFERROR(E34/C34%,0)</f>
        <v>100</v>
      </c>
      <c r="H34" s="313">
        <f>H35+H36+H38</f>
        <v>0</v>
      </c>
      <c r="I34" s="313">
        <f t="shared" ref="I34:AE34" si="11">I35+I36+I38</f>
        <v>0</v>
      </c>
      <c r="J34" s="313">
        <f t="shared" si="11"/>
        <v>0</v>
      </c>
      <c r="K34" s="313">
        <f t="shared" si="11"/>
        <v>0</v>
      </c>
      <c r="L34" s="313">
        <f t="shared" si="11"/>
        <v>0</v>
      </c>
      <c r="M34" s="313">
        <f t="shared" si="11"/>
        <v>0</v>
      </c>
      <c r="N34" s="313">
        <f t="shared" si="11"/>
        <v>180</v>
      </c>
      <c r="O34" s="313">
        <f t="shared" si="11"/>
        <v>180</v>
      </c>
      <c r="P34" s="313">
        <f t="shared" si="11"/>
        <v>0</v>
      </c>
      <c r="Q34" s="313">
        <f t="shared" si="11"/>
        <v>0</v>
      </c>
      <c r="R34" s="313">
        <f t="shared" si="11"/>
        <v>0</v>
      </c>
      <c r="S34" s="313">
        <f t="shared" si="11"/>
        <v>0</v>
      </c>
      <c r="T34" s="313">
        <f t="shared" si="11"/>
        <v>180</v>
      </c>
      <c r="U34" s="313">
        <f t="shared" si="11"/>
        <v>180</v>
      </c>
      <c r="V34" s="313">
        <f t="shared" si="11"/>
        <v>11225.2</v>
      </c>
      <c r="W34" s="313">
        <f t="shared" si="11"/>
        <v>0</v>
      </c>
      <c r="X34" s="313">
        <f t="shared" si="11"/>
        <v>83058.399999999994</v>
      </c>
      <c r="Y34" s="313">
        <f t="shared" si="11"/>
        <v>0</v>
      </c>
      <c r="Z34" s="313">
        <f t="shared" si="11"/>
        <v>142874.91</v>
      </c>
      <c r="AA34" s="313">
        <f t="shared" si="11"/>
        <v>0</v>
      </c>
      <c r="AB34" s="313">
        <f t="shared" si="11"/>
        <v>45473</v>
      </c>
      <c r="AC34" s="313">
        <f t="shared" si="11"/>
        <v>0</v>
      </c>
      <c r="AD34" s="313">
        <f t="shared" si="11"/>
        <v>31630.98</v>
      </c>
      <c r="AE34" s="313">
        <f t="shared" si="11"/>
        <v>0</v>
      </c>
      <c r="AF34" s="1254" t="s">
        <v>585</v>
      </c>
    </row>
    <row r="35" spans="1:32" ht="181.5" customHeight="1" x14ac:dyDescent="0.25">
      <c r="A35" s="639" t="s">
        <v>32</v>
      </c>
      <c r="B35" s="313">
        <f>H35+J35+L35+N35+P35+R35+T35+V35+X35+Z35+AB35+AD35</f>
        <v>78206.7</v>
      </c>
      <c r="C35" s="312">
        <f>H35+J35+L35+N35+P35+R35+T35</f>
        <v>0</v>
      </c>
      <c r="D35" s="313">
        <f>E35</f>
        <v>0</v>
      </c>
      <c r="E35" s="313">
        <f>I35+K35+M35+O35+Q35+S35+U35+W35+Y35+AA35+AC35+AE35</f>
        <v>0</v>
      </c>
      <c r="F35" s="321">
        <f>IFERROR(E35/B35%,0)</f>
        <v>0</v>
      </c>
      <c r="G35" s="321">
        <f>IFERROR(E35/C35%,0)</f>
        <v>0</v>
      </c>
      <c r="H35" s="312"/>
      <c r="I35" s="312"/>
      <c r="J35" s="312"/>
      <c r="K35" s="312"/>
      <c r="L35" s="312"/>
      <c r="M35" s="312"/>
      <c r="N35" s="312"/>
      <c r="O35" s="312"/>
      <c r="P35" s="312"/>
      <c r="Q35" s="312"/>
      <c r="R35" s="312"/>
      <c r="S35" s="312"/>
      <c r="T35" s="312"/>
      <c r="U35" s="312"/>
      <c r="V35" s="312">
        <v>5612.6</v>
      </c>
      <c r="W35" s="312"/>
      <c r="X35" s="312">
        <v>41529.199999999997</v>
      </c>
      <c r="Y35" s="312"/>
      <c r="Z35" s="312">
        <v>31064.9</v>
      </c>
      <c r="AA35" s="312"/>
      <c r="AB35" s="312"/>
      <c r="AC35" s="312"/>
      <c r="AD35" s="312"/>
      <c r="AE35" s="312"/>
      <c r="AF35" s="1243"/>
    </row>
    <row r="36" spans="1:32" ht="128.25" customHeight="1" x14ac:dyDescent="0.25">
      <c r="A36" s="311" t="s">
        <v>33</v>
      </c>
      <c r="B36" s="313">
        <f>H36+J36+L36+N36+P36+R36+T36+V36+X36+Z36+AB36+AD36</f>
        <v>7074.03</v>
      </c>
      <c r="C36" s="312">
        <f t="shared" ref="C36:C38" si="12">H36+J36+L36+N36+P36+R36+T36</f>
        <v>360</v>
      </c>
      <c r="D36" s="313">
        <f>E36</f>
        <v>360</v>
      </c>
      <c r="E36" s="313">
        <f>I36+K36+M36+O36+Q36+S36+U36+W36+Y36+AA36+AC36+AE36</f>
        <v>360</v>
      </c>
      <c r="F36" s="321">
        <f>IFERROR(E36/B36%,0)</f>
        <v>5.0890369421673363</v>
      </c>
      <c r="G36" s="321">
        <f>IFERROR(E36/C36%,0)</f>
        <v>100</v>
      </c>
      <c r="H36" s="312"/>
      <c r="I36" s="312"/>
      <c r="J36" s="312"/>
      <c r="K36" s="312"/>
      <c r="L36" s="312"/>
      <c r="M36" s="312"/>
      <c r="N36" s="312">
        <v>180</v>
      </c>
      <c r="O36" s="312">
        <v>180</v>
      </c>
      <c r="P36" s="312"/>
      <c r="Q36" s="312"/>
      <c r="R36" s="312"/>
      <c r="S36" s="312"/>
      <c r="T36" s="312">
        <v>180</v>
      </c>
      <c r="U36" s="312">
        <v>180</v>
      </c>
      <c r="V36" s="312"/>
      <c r="W36" s="312"/>
      <c r="X36" s="312"/>
      <c r="Y36" s="312"/>
      <c r="Z36" s="312">
        <v>5486.75</v>
      </c>
      <c r="AA36" s="312"/>
      <c r="AB36" s="312"/>
      <c r="AC36" s="312"/>
      <c r="AD36" s="312">
        <v>1227.28</v>
      </c>
      <c r="AE36" s="312"/>
      <c r="AF36" s="1243"/>
    </row>
    <row r="37" spans="1:32" ht="114.75" customHeight="1" x14ac:dyDescent="0.25">
      <c r="A37" s="737" t="s">
        <v>174</v>
      </c>
      <c r="B37" s="313"/>
      <c r="C37" s="312"/>
      <c r="D37" s="313"/>
      <c r="E37" s="313"/>
      <c r="F37" s="321"/>
      <c r="G37" s="321"/>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1243"/>
    </row>
    <row r="38" spans="1:32" ht="133.5" customHeight="1" x14ac:dyDescent="0.25">
      <c r="A38" s="639" t="s">
        <v>374</v>
      </c>
      <c r="B38" s="313">
        <f>H38+J38+L38+N38+P38+R38+T38+V38+X38+Z38+AB38+AD38</f>
        <v>229341.76</v>
      </c>
      <c r="C38" s="312">
        <f t="shared" si="12"/>
        <v>0</v>
      </c>
      <c r="D38" s="313">
        <f>E38</f>
        <v>0</v>
      </c>
      <c r="E38" s="313">
        <f>I38+K38+M38+O38+Q38+S38+U38+W38+Y38+AA38+AC38+AE38</f>
        <v>0</v>
      </c>
      <c r="F38" s="321">
        <f>IFERROR(E38/B38%,0)</f>
        <v>0</v>
      </c>
      <c r="G38" s="321">
        <f>IFERROR(E38/C38%,0)</f>
        <v>0</v>
      </c>
      <c r="H38" s="312"/>
      <c r="I38" s="312"/>
      <c r="J38" s="312"/>
      <c r="K38" s="312"/>
      <c r="L38" s="312"/>
      <c r="M38" s="312"/>
      <c r="N38" s="312"/>
      <c r="O38" s="312"/>
      <c r="P38" s="312"/>
      <c r="Q38" s="312"/>
      <c r="R38" s="312"/>
      <c r="S38" s="312"/>
      <c r="T38" s="312"/>
      <c r="U38" s="312"/>
      <c r="V38" s="312">
        <v>5612.6</v>
      </c>
      <c r="W38" s="312"/>
      <c r="X38" s="312">
        <v>41529.199999999997</v>
      </c>
      <c r="Y38" s="312"/>
      <c r="Z38" s="312">
        <v>106323.26</v>
      </c>
      <c r="AA38" s="312"/>
      <c r="AB38" s="312">
        <v>45473</v>
      </c>
      <c r="AC38" s="312"/>
      <c r="AD38" s="312">
        <v>30403.7</v>
      </c>
      <c r="AE38" s="312"/>
      <c r="AF38" s="1244"/>
    </row>
    <row r="39" spans="1:32" ht="18" customHeight="1" x14ac:dyDescent="0.25">
      <c r="A39" s="1268" t="s">
        <v>403</v>
      </c>
      <c r="B39" s="1269"/>
      <c r="C39" s="1269"/>
      <c r="D39" s="1269"/>
      <c r="E39" s="1269"/>
      <c r="F39" s="1269"/>
      <c r="G39" s="1269"/>
      <c r="H39" s="1269"/>
      <c r="I39" s="1269"/>
      <c r="J39" s="1269"/>
      <c r="K39" s="1269"/>
      <c r="L39" s="1269"/>
      <c r="M39" s="1269"/>
      <c r="N39" s="1269"/>
      <c r="O39" s="1269"/>
      <c r="P39" s="1269"/>
      <c r="Q39" s="1269"/>
      <c r="R39" s="1269"/>
      <c r="S39" s="1269"/>
      <c r="T39" s="1269"/>
      <c r="U39" s="1269"/>
      <c r="V39" s="1269"/>
      <c r="W39" s="1269"/>
      <c r="X39" s="1269"/>
      <c r="Y39" s="1269"/>
      <c r="Z39" s="1269"/>
      <c r="AA39" s="1269"/>
      <c r="AB39" s="1269"/>
      <c r="AC39" s="1269"/>
      <c r="AD39" s="1269"/>
      <c r="AE39" s="1270"/>
      <c r="AF39" s="326"/>
    </row>
    <row r="40" spans="1:32" ht="27" customHeight="1" x14ac:dyDescent="0.25">
      <c r="A40" s="311" t="s">
        <v>31</v>
      </c>
      <c r="B40" s="313">
        <f>B41+B42+B44</f>
        <v>0</v>
      </c>
      <c r="C40" s="313">
        <f>C41+C42+C44</f>
        <v>0</v>
      </c>
      <c r="D40" s="313">
        <f>D41+D42+D44</f>
        <v>0</v>
      </c>
      <c r="E40" s="313">
        <f>E41+E42+E44</f>
        <v>0</v>
      </c>
      <c r="F40" s="313">
        <f>IFERROR(E40/B40%,0)</f>
        <v>0</v>
      </c>
      <c r="G40" s="313">
        <f>IFERROR(E40/C40%,0)</f>
        <v>0</v>
      </c>
      <c r="H40" s="313">
        <f>H41+H42+H44</f>
        <v>0</v>
      </c>
      <c r="I40" s="313">
        <f t="shared" ref="I40:AE40" si="13">I41+I42+I44</f>
        <v>0</v>
      </c>
      <c r="J40" s="313">
        <f t="shared" si="13"/>
        <v>0</v>
      </c>
      <c r="K40" s="313">
        <f t="shared" si="13"/>
        <v>0</v>
      </c>
      <c r="L40" s="313">
        <f t="shared" si="13"/>
        <v>0</v>
      </c>
      <c r="M40" s="313">
        <f t="shared" si="13"/>
        <v>0</v>
      </c>
      <c r="N40" s="313">
        <f t="shared" si="13"/>
        <v>0</v>
      </c>
      <c r="O40" s="313">
        <f t="shared" si="13"/>
        <v>0</v>
      </c>
      <c r="P40" s="313">
        <f t="shared" si="13"/>
        <v>0</v>
      </c>
      <c r="Q40" s="313">
        <f t="shared" si="13"/>
        <v>0</v>
      </c>
      <c r="R40" s="313">
        <f t="shared" si="13"/>
        <v>0</v>
      </c>
      <c r="S40" s="313">
        <f t="shared" si="13"/>
        <v>0</v>
      </c>
      <c r="T40" s="313">
        <f t="shared" si="13"/>
        <v>0</v>
      </c>
      <c r="U40" s="313">
        <f t="shared" si="13"/>
        <v>0</v>
      </c>
      <c r="V40" s="313">
        <f t="shared" si="13"/>
        <v>0</v>
      </c>
      <c r="W40" s="313">
        <f t="shared" si="13"/>
        <v>0</v>
      </c>
      <c r="X40" s="313">
        <f t="shared" si="13"/>
        <v>0</v>
      </c>
      <c r="Y40" s="313">
        <f t="shared" si="13"/>
        <v>0</v>
      </c>
      <c r="Z40" s="313">
        <f t="shared" si="13"/>
        <v>0</v>
      </c>
      <c r="AA40" s="313">
        <f t="shared" si="13"/>
        <v>0</v>
      </c>
      <c r="AB40" s="313">
        <f t="shared" si="13"/>
        <v>0</v>
      </c>
      <c r="AC40" s="313">
        <f t="shared" si="13"/>
        <v>0</v>
      </c>
      <c r="AD40" s="313">
        <f t="shared" si="13"/>
        <v>0</v>
      </c>
      <c r="AE40" s="313">
        <f t="shared" si="13"/>
        <v>0</v>
      </c>
      <c r="AF40" s="1242" t="s">
        <v>519</v>
      </c>
    </row>
    <row r="41" spans="1:32" x14ac:dyDescent="0.25">
      <c r="A41" s="311" t="s">
        <v>32</v>
      </c>
      <c r="B41" s="313">
        <f>H41+J41+L41+N41+P41+R41+T41+V41+X41+Z41+AB41+AD41</f>
        <v>0</v>
      </c>
      <c r="C41" s="312">
        <f>H41+J41+L41+N41+P41+R41+T41</f>
        <v>0</v>
      </c>
      <c r="D41" s="313">
        <f>E41</f>
        <v>0</v>
      </c>
      <c r="E41" s="313">
        <f>I41+K41+M41+O41+Q41+S41+U41+W41+Y41+AA41+AC41+AE41</f>
        <v>0</v>
      </c>
      <c r="F41" s="321">
        <f>IFERROR(E41/B41%,0)</f>
        <v>0</v>
      </c>
      <c r="G41" s="321">
        <f>IFERROR(E41/C41%,0)</f>
        <v>0</v>
      </c>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1242"/>
    </row>
    <row r="42" spans="1:32" ht="25.5" customHeight="1" x14ac:dyDescent="0.25">
      <c r="A42" s="311" t="s">
        <v>33</v>
      </c>
      <c r="B42" s="313">
        <f>H42+J42+L42+N42+P42+R42+T42+V42+X42+Z42+AB42+AD42</f>
        <v>0</v>
      </c>
      <c r="C42" s="312">
        <f t="shared" ref="C42:C44" si="14">H42+J42+L42+N42+P42+R42+T42</f>
        <v>0</v>
      </c>
      <c r="D42" s="313">
        <f>E42</f>
        <v>0</v>
      </c>
      <c r="E42" s="313">
        <f>I42+K42+M42+O42+Q42+S42+U42+W42+Y42+AA42+AC42+AE42</f>
        <v>0</v>
      </c>
      <c r="F42" s="321">
        <f>IFERROR(E42/B42%,0)</f>
        <v>0</v>
      </c>
      <c r="G42" s="321">
        <f>IFERROR(E42/C42%,0)</f>
        <v>0</v>
      </c>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1242"/>
    </row>
    <row r="43" spans="1:32" ht="31.5" x14ac:dyDescent="0.25">
      <c r="A43" s="325" t="s">
        <v>174</v>
      </c>
      <c r="B43" s="313">
        <f>H43+J43+L43+N43+P43+R43+T43+V43+X43+Z43+AB43+AD43</f>
        <v>0</v>
      </c>
      <c r="C43" s="312">
        <f t="shared" si="14"/>
        <v>0</v>
      </c>
      <c r="D43" s="313">
        <f>E43</f>
        <v>0</v>
      </c>
      <c r="E43" s="313">
        <f>I43+K43+M43+O43+Q43+S43+U43+W43+Y43+AA43+AC43+AE43</f>
        <v>0</v>
      </c>
      <c r="F43" s="321">
        <f>IFERROR(E43/B43%,0)</f>
        <v>0</v>
      </c>
      <c r="G43" s="321">
        <f>IFERROR(E43/C43%,0)</f>
        <v>0</v>
      </c>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1242"/>
    </row>
    <row r="44" spans="1:32" x14ac:dyDescent="0.25">
      <c r="A44" s="311" t="s">
        <v>374</v>
      </c>
      <c r="B44" s="313">
        <f>H44+J44+L44+N44+P44+R44+T44+V44+X44+Z44+AB44+AD44</f>
        <v>0</v>
      </c>
      <c r="C44" s="312">
        <f t="shared" si="14"/>
        <v>0</v>
      </c>
      <c r="D44" s="313">
        <f>E44</f>
        <v>0</v>
      </c>
      <c r="E44" s="313">
        <f>I44+K44+M44+O44+Q44+S44+U44+W44+Y44+AA44+AC44+AE44</f>
        <v>0</v>
      </c>
      <c r="F44" s="321">
        <f>IFERROR(E44/B44%,0)</f>
        <v>0</v>
      </c>
      <c r="G44" s="321">
        <f>IFERROR(E44/C44%,0)</f>
        <v>0</v>
      </c>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1251"/>
    </row>
    <row r="45" spans="1:32" x14ac:dyDescent="0.25">
      <c r="A45" s="1268" t="s">
        <v>404</v>
      </c>
      <c r="B45" s="1269"/>
      <c r="C45" s="1269"/>
      <c r="D45" s="1269"/>
      <c r="E45" s="1269"/>
      <c r="F45" s="1269"/>
      <c r="G45" s="1269"/>
      <c r="H45" s="1269"/>
      <c r="I45" s="1269"/>
      <c r="J45" s="1269"/>
      <c r="K45" s="1269"/>
      <c r="L45" s="1269"/>
      <c r="M45" s="1269"/>
      <c r="N45" s="1269"/>
      <c r="O45" s="1269"/>
      <c r="P45" s="1269"/>
      <c r="Q45" s="1269"/>
      <c r="R45" s="1269"/>
      <c r="S45" s="1269"/>
      <c r="T45" s="1269"/>
      <c r="U45" s="1269"/>
      <c r="V45" s="1269"/>
      <c r="W45" s="1269"/>
      <c r="X45" s="1269"/>
      <c r="Y45" s="1269"/>
      <c r="Z45" s="1269"/>
      <c r="AA45" s="1269"/>
      <c r="AB45" s="1269"/>
      <c r="AC45" s="1269"/>
      <c r="AD45" s="1269"/>
      <c r="AE45" s="1270"/>
      <c r="AF45" s="326"/>
    </row>
    <row r="46" spans="1:32" x14ac:dyDescent="0.25">
      <c r="A46" s="311" t="s">
        <v>31</v>
      </c>
      <c r="B46" s="313">
        <f>B47+B48+B50</f>
        <v>4540.54</v>
      </c>
      <c r="C46" s="313">
        <f>C47+C48+C50</f>
        <v>4540.54</v>
      </c>
      <c r="D46" s="313">
        <f>D47+D48+D50</f>
        <v>4540.54</v>
      </c>
      <c r="E46" s="313">
        <f>E47+E48+E50</f>
        <v>4540.54</v>
      </c>
      <c r="F46" s="313">
        <f>IFERROR(E46/B46%,0)</f>
        <v>100</v>
      </c>
      <c r="G46" s="313">
        <f>IFERROR(E46/C46%,0)</f>
        <v>100</v>
      </c>
      <c r="H46" s="313">
        <f>H47+H48+H50</f>
        <v>0</v>
      </c>
      <c r="I46" s="313">
        <f t="shared" ref="I46:AE46" si="15">I47+I48+I50</f>
        <v>0</v>
      </c>
      <c r="J46" s="313">
        <f t="shared" si="15"/>
        <v>4540.54</v>
      </c>
      <c r="K46" s="313">
        <f t="shared" si="15"/>
        <v>4540.54</v>
      </c>
      <c r="L46" s="313">
        <f t="shared" si="15"/>
        <v>0</v>
      </c>
      <c r="M46" s="313">
        <f t="shared" si="15"/>
        <v>0</v>
      </c>
      <c r="N46" s="313">
        <f t="shared" si="15"/>
        <v>0</v>
      </c>
      <c r="O46" s="313">
        <f t="shared" si="15"/>
        <v>0</v>
      </c>
      <c r="P46" s="313">
        <f t="shared" si="15"/>
        <v>0</v>
      </c>
      <c r="Q46" s="313">
        <f t="shared" si="15"/>
        <v>0</v>
      </c>
      <c r="R46" s="313">
        <f t="shared" si="15"/>
        <v>0</v>
      </c>
      <c r="S46" s="313">
        <f t="shared" si="15"/>
        <v>0</v>
      </c>
      <c r="T46" s="313">
        <f t="shared" si="15"/>
        <v>0</v>
      </c>
      <c r="U46" s="313">
        <f t="shared" si="15"/>
        <v>0</v>
      </c>
      <c r="V46" s="313">
        <f t="shared" si="15"/>
        <v>0</v>
      </c>
      <c r="W46" s="313">
        <f t="shared" si="15"/>
        <v>0</v>
      </c>
      <c r="X46" s="313">
        <f t="shared" si="15"/>
        <v>0</v>
      </c>
      <c r="Y46" s="313">
        <f t="shared" si="15"/>
        <v>0</v>
      </c>
      <c r="Z46" s="313">
        <f t="shared" si="15"/>
        <v>0</v>
      </c>
      <c r="AA46" s="313">
        <f t="shared" si="15"/>
        <v>0</v>
      </c>
      <c r="AB46" s="313">
        <f t="shared" si="15"/>
        <v>0</v>
      </c>
      <c r="AC46" s="313">
        <f t="shared" si="15"/>
        <v>0</v>
      </c>
      <c r="AD46" s="313">
        <f t="shared" si="15"/>
        <v>0</v>
      </c>
      <c r="AE46" s="313">
        <f t="shared" si="15"/>
        <v>0</v>
      </c>
      <c r="AF46" s="1242" t="s">
        <v>477</v>
      </c>
    </row>
    <row r="47" spans="1:32" x14ac:dyDescent="0.25">
      <c r="A47" s="311" t="s">
        <v>32</v>
      </c>
      <c r="B47" s="313">
        <f>H47+J47+L47+N47+P47+R47+T47+V47+X47+Z47+AB47+AD47</f>
        <v>0</v>
      </c>
      <c r="C47" s="312">
        <f>H47+J47+L47+N47+P47+R47+T47</f>
        <v>0</v>
      </c>
      <c r="D47" s="313">
        <f>E47</f>
        <v>0</v>
      </c>
      <c r="E47" s="313">
        <f>I47+K47+M47+O47+Q47+S47+U47+W47+Y47+AA47+AC47+AE47</f>
        <v>0</v>
      </c>
      <c r="F47" s="321">
        <f>IFERROR(E47/B47%,0)</f>
        <v>0</v>
      </c>
      <c r="G47" s="321">
        <f>IFERROR(E47/C47%,0)</f>
        <v>0</v>
      </c>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c r="AE47" s="312"/>
      <c r="AF47" s="1242"/>
    </row>
    <row r="48" spans="1:32" ht="30" customHeight="1" x14ac:dyDescent="0.25">
      <c r="A48" s="311" t="s">
        <v>33</v>
      </c>
      <c r="B48" s="313">
        <f>H48+J48+L48+N48+P48+R48+T48+V48+X48+Z48+AB48+AD48</f>
        <v>4540.54</v>
      </c>
      <c r="C48" s="312">
        <f t="shared" ref="C48:C50" si="16">H48+J48+L48+N48+P48+R48+T48</f>
        <v>4540.54</v>
      </c>
      <c r="D48" s="313">
        <f>E48</f>
        <v>4540.54</v>
      </c>
      <c r="E48" s="313">
        <f>I48+K48+M48+O48+Q48+S48+U48+W48+Y48+AA48+AC48+AE48</f>
        <v>4540.54</v>
      </c>
      <c r="F48" s="321">
        <f>IFERROR(E48/B48%,0)</f>
        <v>100</v>
      </c>
      <c r="G48" s="321">
        <f>IFERROR(E48/C48%,0)</f>
        <v>100</v>
      </c>
      <c r="H48" s="312"/>
      <c r="I48" s="312"/>
      <c r="J48" s="312">
        <v>4540.54</v>
      </c>
      <c r="K48" s="312">
        <v>4540.54</v>
      </c>
      <c r="L48" s="312"/>
      <c r="M48" s="312"/>
      <c r="N48" s="312"/>
      <c r="O48" s="312"/>
      <c r="P48" s="312"/>
      <c r="Q48" s="312"/>
      <c r="R48" s="312"/>
      <c r="S48" s="312"/>
      <c r="T48" s="312"/>
      <c r="U48" s="312"/>
      <c r="V48" s="312"/>
      <c r="W48" s="312"/>
      <c r="X48" s="312"/>
      <c r="Y48" s="312"/>
      <c r="Z48" s="312"/>
      <c r="AA48" s="312"/>
      <c r="AB48" s="312"/>
      <c r="AC48" s="312"/>
      <c r="AD48" s="312"/>
      <c r="AE48" s="312"/>
      <c r="AF48" s="1242"/>
    </row>
    <row r="49" spans="1:32" ht="31.5" x14ac:dyDescent="0.25">
      <c r="A49" s="325" t="s">
        <v>174</v>
      </c>
      <c r="B49" s="313">
        <f>H49+J49+L49+N49+P49+R49+T49+V49+X49+Z49+AB49+AD49</f>
        <v>0</v>
      </c>
      <c r="C49" s="312">
        <f t="shared" si="16"/>
        <v>0</v>
      </c>
      <c r="D49" s="313">
        <f>E49</f>
        <v>0</v>
      </c>
      <c r="E49" s="313">
        <f>I49+K49+M49+O49+Q49+S49+U49+W49+Y49+AA49+AC49+AE49</f>
        <v>0</v>
      </c>
      <c r="F49" s="321">
        <f>IFERROR(E49/B49%,0)</f>
        <v>0</v>
      </c>
      <c r="G49" s="321">
        <f>IFERROR(E49/C49%,0)</f>
        <v>0</v>
      </c>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1242"/>
    </row>
    <row r="50" spans="1:32" ht="20.25" customHeight="1" x14ac:dyDescent="0.25">
      <c r="A50" s="311" t="s">
        <v>374</v>
      </c>
      <c r="B50" s="313">
        <f>H50+J50+L50+N50+P50+R50+T50+V50+X50+Z50+AB50+AD50</f>
        <v>0</v>
      </c>
      <c r="C50" s="312">
        <f t="shared" si="16"/>
        <v>0</v>
      </c>
      <c r="D50" s="313">
        <f>E50</f>
        <v>0</v>
      </c>
      <c r="E50" s="313">
        <f>I50+K50+M50+O50+Q50+S50+U50+W50+Y50+AA50+AC50+AE50</f>
        <v>0</v>
      </c>
      <c r="F50" s="321">
        <f>IFERROR(E50/B50%,0)</f>
        <v>0</v>
      </c>
      <c r="G50" s="321">
        <f>IFERROR(E50/C50%,0)</f>
        <v>0</v>
      </c>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1242"/>
    </row>
    <row r="51" spans="1:32" x14ac:dyDescent="0.25">
      <c r="A51" s="1264" t="s">
        <v>405</v>
      </c>
      <c r="B51" s="1265"/>
      <c r="C51" s="1265"/>
      <c r="D51" s="1265"/>
      <c r="E51" s="1265"/>
      <c r="F51" s="1265"/>
      <c r="G51" s="1265"/>
      <c r="H51" s="1265"/>
      <c r="I51" s="1265"/>
      <c r="J51" s="1265"/>
      <c r="K51" s="1265"/>
      <c r="L51" s="1265"/>
      <c r="M51" s="1265"/>
      <c r="N51" s="1265"/>
      <c r="O51" s="1265"/>
      <c r="P51" s="1265"/>
      <c r="Q51" s="1265"/>
      <c r="R51" s="1265"/>
      <c r="S51" s="1265"/>
      <c r="T51" s="1265"/>
      <c r="U51" s="1265"/>
      <c r="V51" s="1265"/>
      <c r="W51" s="1265"/>
      <c r="X51" s="1265"/>
      <c r="Y51" s="1265"/>
      <c r="Z51" s="1265"/>
      <c r="AA51" s="1265"/>
      <c r="AB51" s="1265"/>
      <c r="AC51" s="1265"/>
      <c r="AD51" s="1265"/>
      <c r="AE51" s="1266"/>
      <c r="AF51" s="326"/>
    </row>
    <row r="52" spans="1:32" x14ac:dyDescent="0.25">
      <c r="A52" s="319" t="s">
        <v>31</v>
      </c>
      <c r="B52" s="320">
        <f>B53+B54+B56</f>
        <v>242920.40900000004</v>
      </c>
      <c r="C52" s="320">
        <f>C53+C54+C56</f>
        <v>163602.639</v>
      </c>
      <c r="D52" s="320">
        <f>D53+D54+D56</f>
        <v>142790.42000000001</v>
      </c>
      <c r="E52" s="320">
        <f>E53+E54+E56</f>
        <v>142790.42000000001</v>
      </c>
      <c r="F52" s="320">
        <f>E52/B52*100</f>
        <v>58.7807424612067</v>
      </c>
      <c r="G52" s="320">
        <f>E52/C52*100</f>
        <v>87.278799946497216</v>
      </c>
      <c r="H52" s="320">
        <f>H53+H54+H56</f>
        <v>33912.783000000003</v>
      </c>
      <c r="I52" s="320">
        <f t="shared" ref="I52:AE52" si="17">I53+I54+I56</f>
        <v>17885.599999999999</v>
      </c>
      <c r="J52" s="320">
        <f t="shared" si="17"/>
        <v>22577.74</v>
      </c>
      <c r="K52" s="320">
        <f t="shared" si="17"/>
        <v>25737.760000000002</v>
      </c>
      <c r="L52" s="320">
        <f t="shared" si="17"/>
        <v>23431.416000000005</v>
      </c>
      <c r="M52" s="320">
        <f t="shared" si="17"/>
        <v>19123.32</v>
      </c>
      <c r="N52" s="320">
        <f t="shared" si="17"/>
        <v>28452.109000000004</v>
      </c>
      <c r="O52" s="320">
        <f t="shared" si="17"/>
        <v>20062.2</v>
      </c>
      <c r="P52" s="320">
        <f t="shared" si="17"/>
        <v>18063.654000000002</v>
      </c>
      <c r="Q52" s="320">
        <f t="shared" si="17"/>
        <v>20171.210000000003</v>
      </c>
      <c r="R52" s="320">
        <f t="shared" si="17"/>
        <v>17240.697</v>
      </c>
      <c r="S52" s="320">
        <f t="shared" si="17"/>
        <v>19059.489999999998</v>
      </c>
      <c r="T52" s="320">
        <f t="shared" si="17"/>
        <v>19991.940000000002</v>
      </c>
      <c r="U52" s="320">
        <f t="shared" si="17"/>
        <v>20750.839999999997</v>
      </c>
      <c r="V52" s="320">
        <f t="shared" si="17"/>
        <v>25028.270000000004</v>
      </c>
      <c r="W52" s="320">
        <f t="shared" si="17"/>
        <v>0</v>
      </c>
      <c r="X52" s="320">
        <f t="shared" si="17"/>
        <v>11058.033000000001</v>
      </c>
      <c r="Y52" s="320">
        <f t="shared" si="17"/>
        <v>0</v>
      </c>
      <c r="Z52" s="320">
        <f t="shared" si="17"/>
        <v>20898.490000000002</v>
      </c>
      <c r="AA52" s="320">
        <f t="shared" si="17"/>
        <v>0</v>
      </c>
      <c r="AB52" s="320">
        <f t="shared" si="17"/>
        <v>12038.495000000001</v>
      </c>
      <c r="AC52" s="320">
        <f t="shared" si="17"/>
        <v>0</v>
      </c>
      <c r="AD52" s="320">
        <f t="shared" si="17"/>
        <v>10226.781999999999</v>
      </c>
      <c r="AE52" s="320">
        <f t="shared" si="17"/>
        <v>0</v>
      </c>
      <c r="AF52" s="1254" t="s">
        <v>592</v>
      </c>
    </row>
    <row r="53" spans="1:32" x14ac:dyDescent="0.25">
      <c r="A53" s="311" t="s">
        <v>32</v>
      </c>
      <c r="B53" s="313">
        <f>H53+J53+L53+N53+P53+R53+T53+V53+X53+Z53+AB53+AD53</f>
        <v>0</v>
      </c>
      <c r="C53" s="313">
        <f>C59+C77+C83+C89</f>
        <v>0</v>
      </c>
      <c r="D53" s="313">
        <f>E53</f>
        <v>0</v>
      </c>
      <c r="E53" s="313">
        <f>I53+K53+M53+O53+Q53+S53+U53+W53+Y53+AA53+AC53+AE53</f>
        <v>0</v>
      </c>
      <c r="F53" s="313">
        <f>IFERROR(E53/B53*100,0)</f>
        <v>0</v>
      </c>
      <c r="G53" s="313">
        <f>IFERROR(E53/C53*100,0)</f>
        <v>0</v>
      </c>
      <c r="H53" s="312">
        <f t="shared" ref="H53:AE53" si="18">H59+H77+H83+H89+H95+H101</f>
        <v>0</v>
      </c>
      <c r="I53" s="312">
        <f t="shared" si="18"/>
        <v>0</v>
      </c>
      <c r="J53" s="312">
        <f t="shared" si="18"/>
        <v>0</v>
      </c>
      <c r="K53" s="312">
        <f t="shared" si="18"/>
        <v>0</v>
      </c>
      <c r="L53" s="312">
        <f t="shared" si="18"/>
        <v>0</v>
      </c>
      <c r="M53" s="312">
        <f t="shared" si="18"/>
        <v>0</v>
      </c>
      <c r="N53" s="312">
        <f t="shared" si="18"/>
        <v>0</v>
      </c>
      <c r="O53" s="312">
        <f t="shared" si="18"/>
        <v>0</v>
      </c>
      <c r="P53" s="312">
        <f t="shared" si="18"/>
        <v>0</v>
      </c>
      <c r="Q53" s="312">
        <f t="shared" si="18"/>
        <v>0</v>
      </c>
      <c r="R53" s="312">
        <f t="shared" si="18"/>
        <v>0</v>
      </c>
      <c r="S53" s="312">
        <f t="shared" si="18"/>
        <v>0</v>
      </c>
      <c r="T53" s="312">
        <f t="shared" si="18"/>
        <v>0</v>
      </c>
      <c r="U53" s="312">
        <f t="shared" si="18"/>
        <v>0</v>
      </c>
      <c r="V53" s="312">
        <f t="shared" si="18"/>
        <v>0</v>
      </c>
      <c r="W53" s="312">
        <f t="shared" si="18"/>
        <v>0</v>
      </c>
      <c r="X53" s="312">
        <f t="shared" si="18"/>
        <v>0</v>
      </c>
      <c r="Y53" s="312">
        <f t="shared" si="18"/>
        <v>0</v>
      </c>
      <c r="Z53" s="312">
        <f t="shared" si="18"/>
        <v>0</v>
      </c>
      <c r="AA53" s="312">
        <f t="shared" si="18"/>
        <v>0</v>
      </c>
      <c r="AB53" s="312">
        <f t="shared" si="18"/>
        <v>0</v>
      </c>
      <c r="AC53" s="312">
        <f t="shared" si="18"/>
        <v>0</v>
      </c>
      <c r="AD53" s="312">
        <f t="shared" si="18"/>
        <v>0</v>
      </c>
      <c r="AE53" s="312">
        <f t="shared" si="18"/>
        <v>0</v>
      </c>
      <c r="AF53" s="1242"/>
    </row>
    <row r="54" spans="1:32" x14ac:dyDescent="0.25">
      <c r="A54" s="311" t="s">
        <v>33</v>
      </c>
      <c r="B54" s="313">
        <f>H54+J54+L54+N54+P54+R54+T54+V54+X54+Z54+AB54+AD54</f>
        <v>242920.40900000004</v>
      </c>
      <c r="C54" s="313">
        <f>C60+C78+C84+C90</f>
        <v>163602.639</v>
      </c>
      <c r="D54" s="313">
        <f>E54</f>
        <v>142790.42000000001</v>
      </c>
      <c r="E54" s="313">
        <f>I54+K54+M54+O54+Q54+S54+U54+W54+Y54+AA54+AC54+AE54</f>
        <v>142790.42000000001</v>
      </c>
      <c r="F54" s="313">
        <f>IFERROR(E54/B54*100,0)</f>
        <v>58.7807424612067</v>
      </c>
      <c r="G54" s="313">
        <f>IFERROR(E54/C54*100,0)</f>
        <v>87.278799946497216</v>
      </c>
      <c r="H54" s="312">
        <f t="shared" ref="H54:AE54" si="19">H60+H78+H84+H90+H96+H102</f>
        <v>33912.783000000003</v>
      </c>
      <c r="I54" s="312">
        <f t="shared" si="19"/>
        <v>17885.599999999999</v>
      </c>
      <c r="J54" s="312">
        <f t="shared" si="19"/>
        <v>22577.74</v>
      </c>
      <c r="K54" s="312">
        <f t="shared" si="19"/>
        <v>25737.760000000002</v>
      </c>
      <c r="L54" s="312">
        <f t="shared" si="19"/>
        <v>23431.416000000005</v>
      </c>
      <c r="M54" s="312">
        <f t="shared" si="19"/>
        <v>19123.32</v>
      </c>
      <c r="N54" s="312">
        <f t="shared" si="19"/>
        <v>28452.109000000004</v>
      </c>
      <c r="O54" s="312">
        <f t="shared" si="19"/>
        <v>20062.2</v>
      </c>
      <c r="P54" s="312">
        <f t="shared" si="19"/>
        <v>18063.654000000002</v>
      </c>
      <c r="Q54" s="312">
        <f t="shared" si="19"/>
        <v>20171.210000000003</v>
      </c>
      <c r="R54" s="312">
        <f t="shared" si="19"/>
        <v>17240.697</v>
      </c>
      <c r="S54" s="312">
        <f t="shared" si="19"/>
        <v>19059.489999999998</v>
      </c>
      <c r="T54" s="312">
        <f t="shared" si="19"/>
        <v>19991.940000000002</v>
      </c>
      <c r="U54" s="312">
        <f t="shared" si="19"/>
        <v>20750.839999999997</v>
      </c>
      <c r="V54" s="312">
        <f t="shared" si="19"/>
        <v>25028.270000000004</v>
      </c>
      <c r="W54" s="312">
        <f t="shared" si="19"/>
        <v>0</v>
      </c>
      <c r="X54" s="312">
        <f t="shared" si="19"/>
        <v>11058.033000000001</v>
      </c>
      <c r="Y54" s="312">
        <f t="shared" si="19"/>
        <v>0</v>
      </c>
      <c r="Z54" s="312">
        <f t="shared" si="19"/>
        <v>20898.490000000002</v>
      </c>
      <c r="AA54" s="312">
        <f t="shared" si="19"/>
        <v>0</v>
      </c>
      <c r="AB54" s="312">
        <f t="shared" si="19"/>
        <v>12038.495000000001</v>
      </c>
      <c r="AC54" s="312">
        <f t="shared" si="19"/>
        <v>0</v>
      </c>
      <c r="AD54" s="312">
        <f t="shared" si="19"/>
        <v>10226.781999999999</v>
      </c>
      <c r="AE54" s="312">
        <f t="shared" si="19"/>
        <v>0</v>
      </c>
      <c r="AF54" s="1242"/>
    </row>
    <row r="55" spans="1:32" ht="31.5" x14ac:dyDescent="0.25">
      <c r="A55" s="325" t="s">
        <v>174</v>
      </c>
      <c r="B55" s="313">
        <f>H55+J55+L55+N55+P55+R55+T55+V55+X55+Z55+AB55+AD55</f>
        <v>0</v>
      </c>
      <c r="C55" s="313">
        <f>C61+C79+C85+C91</f>
        <v>0</v>
      </c>
      <c r="D55" s="313">
        <f>E55</f>
        <v>0</v>
      </c>
      <c r="E55" s="313">
        <f>I55+K55+M55+O55+Q55+S55+U55+W55+Y55+AA55+AC55+AE55</f>
        <v>0</v>
      </c>
      <c r="F55" s="313">
        <f>IFERROR(E55/B55*100,0)</f>
        <v>0</v>
      </c>
      <c r="G55" s="313">
        <f>IFERROR(E55/C55*100,0)</f>
        <v>0</v>
      </c>
      <c r="H55" s="312">
        <f t="shared" ref="H55:AE55" si="20">H61+H79+H85+H91+H97+H103</f>
        <v>0</v>
      </c>
      <c r="I55" s="312">
        <f t="shared" si="20"/>
        <v>0</v>
      </c>
      <c r="J55" s="312">
        <f t="shared" si="20"/>
        <v>0</v>
      </c>
      <c r="K55" s="312">
        <f t="shared" si="20"/>
        <v>0</v>
      </c>
      <c r="L55" s="312">
        <f t="shared" si="20"/>
        <v>0</v>
      </c>
      <c r="M55" s="312">
        <f t="shared" si="20"/>
        <v>0</v>
      </c>
      <c r="N55" s="312">
        <f t="shared" si="20"/>
        <v>0</v>
      </c>
      <c r="O55" s="312">
        <f t="shared" si="20"/>
        <v>0</v>
      </c>
      <c r="P55" s="312">
        <f t="shared" si="20"/>
        <v>0</v>
      </c>
      <c r="Q55" s="312">
        <f t="shared" si="20"/>
        <v>0</v>
      </c>
      <c r="R55" s="312">
        <f t="shared" si="20"/>
        <v>0</v>
      </c>
      <c r="S55" s="312">
        <f t="shared" si="20"/>
        <v>0</v>
      </c>
      <c r="T55" s="312">
        <f t="shared" si="20"/>
        <v>0</v>
      </c>
      <c r="U55" s="312">
        <f t="shared" si="20"/>
        <v>0</v>
      </c>
      <c r="V55" s="312">
        <f t="shared" si="20"/>
        <v>0</v>
      </c>
      <c r="W55" s="312">
        <f t="shared" si="20"/>
        <v>0</v>
      </c>
      <c r="X55" s="312">
        <f t="shared" si="20"/>
        <v>0</v>
      </c>
      <c r="Y55" s="312">
        <f t="shared" si="20"/>
        <v>0</v>
      </c>
      <c r="Z55" s="312">
        <f t="shared" si="20"/>
        <v>0</v>
      </c>
      <c r="AA55" s="312">
        <f t="shared" si="20"/>
        <v>0</v>
      </c>
      <c r="AB55" s="312">
        <f t="shared" si="20"/>
        <v>0</v>
      </c>
      <c r="AC55" s="312">
        <f t="shared" si="20"/>
        <v>0</v>
      </c>
      <c r="AD55" s="312">
        <f t="shared" si="20"/>
        <v>0</v>
      </c>
      <c r="AE55" s="312">
        <f t="shared" si="20"/>
        <v>0</v>
      </c>
      <c r="AF55" s="1242"/>
    </row>
    <row r="56" spans="1:32" x14ac:dyDescent="0.25">
      <c r="A56" s="311" t="s">
        <v>374</v>
      </c>
      <c r="B56" s="313">
        <f>H56+J56+L56+N56+P56+R56+T56+V56+X56+Z56+AB56+AD56</f>
        <v>0</v>
      </c>
      <c r="C56" s="313">
        <f>C62+C80+C86+C92</f>
        <v>0</v>
      </c>
      <c r="D56" s="313">
        <f>E56</f>
        <v>0</v>
      </c>
      <c r="E56" s="313">
        <f>I56+K56+M56+O56+Q56+S56+U56+W56+Y56+AA56+AC56+AE56</f>
        <v>0</v>
      </c>
      <c r="F56" s="313">
        <f>IFERROR(E56/B56*100,0)</f>
        <v>0</v>
      </c>
      <c r="G56" s="313">
        <f>IFERROR(E56/C56*100,0)</f>
        <v>0</v>
      </c>
      <c r="H56" s="312">
        <f t="shared" ref="H56:AE56" si="21">H62+H80+H86+H92+H98+H104</f>
        <v>0</v>
      </c>
      <c r="I56" s="312">
        <f t="shared" si="21"/>
        <v>0</v>
      </c>
      <c r="J56" s="312">
        <f t="shared" si="21"/>
        <v>0</v>
      </c>
      <c r="K56" s="312">
        <f t="shared" si="21"/>
        <v>0</v>
      </c>
      <c r="L56" s="312">
        <f t="shared" si="21"/>
        <v>0</v>
      </c>
      <c r="M56" s="312">
        <f t="shared" si="21"/>
        <v>0</v>
      </c>
      <c r="N56" s="312">
        <f t="shared" si="21"/>
        <v>0</v>
      </c>
      <c r="O56" s="312">
        <f t="shared" si="21"/>
        <v>0</v>
      </c>
      <c r="P56" s="312">
        <f t="shared" si="21"/>
        <v>0</v>
      </c>
      <c r="Q56" s="312">
        <f t="shared" si="21"/>
        <v>0</v>
      </c>
      <c r="R56" s="312">
        <f t="shared" si="21"/>
        <v>0</v>
      </c>
      <c r="S56" s="312">
        <f t="shared" si="21"/>
        <v>0</v>
      </c>
      <c r="T56" s="312">
        <f t="shared" si="21"/>
        <v>0</v>
      </c>
      <c r="U56" s="312">
        <f t="shared" si="21"/>
        <v>0</v>
      </c>
      <c r="V56" s="312">
        <f t="shared" si="21"/>
        <v>0</v>
      </c>
      <c r="W56" s="312">
        <f t="shared" si="21"/>
        <v>0</v>
      </c>
      <c r="X56" s="312">
        <f t="shared" si="21"/>
        <v>0</v>
      </c>
      <c r="Y56" s="312">
        <f t="shared" si="21"/>
        <v>0</v>
      </c>
      <c r="Z56" s="312">
        <f t="shared" si="21"/>
        <v>0</v>
      </c>
      <c r="AA56" s="312">
        <f t="shared" si="21"/>
        <v>0</v>
      </c>
      <c r="AB56" s="312">
        <f t="shared" si="21"/>
        <v>0</v>
      </c>
      <c r="AC56" s="312">
        <f t="shared" si="21"/>
        <v>0</v>
      </c>
      <c r="AD56" s="312">
        <f t="shared" si="21"/>
        <v>0</v>
      </c>
      <c r="AE56" s="312">
        <f t="shared" si="21"/>
        <v>0</v>
      </c>
      <c r="AF56" s="1242"/>
    </row>
    <row r="57" spans="1:32" x14ac:dyDescent="0.25">
      <c r="A57" s="1268" t="s">
        <v>406</v>
      </c>
      <c r="B57" s="1269"/>
      <c r="C57" s="1269"/>
      <c r="D57" s="1269"/>
      <c r="E57" s="1269"/>
      <c r="F57" s="1269"/>
      <c r="G57" s="1269"/>
      <c r="H57" s="1269"/>
      <c r="I57" s="1269"/>
      <c r="J57" s="1269"/>
      <c r="K57" s="1269"/>
      <c r="L57" s="1269"/>
      <c r="M57" s="1269"/>
      <c r="N57" s="1269"/>
      <c r="O57" s="1269"/>
      <c r="P57" s="1269"/>
      <c r="Q57" s="1269"/>
      <c r="R57" s="1269"/>
      <c r="S57" s="1269"/>
      <c r="T57" s="1269"/>
      <c r="U57" s="1269"/>
      <c r="V57" s="1269"/>
      <c r="W57" s="1269"/>
      <c r="X57" s="1269"/>
      <c r="Y57" s="1269"/>
      <c r="Z57" s="1269"/>
      <c r="AA57" s="1269"/>
      <c r="AB57" s="1269"/>
      <c r="AC57" s="1269"/>
      <c r="AD57" s="1269"/>
      <c r="AE57" s="1270"/>
      <c r="AF57" s="1242"/>
    </row>
    <row r="58" spans="1:32" ht="15.75" customHeight="1" x14ac:dyDescent="0.25">
      <c r="A58" s="311" t="s">
        <v>31</v>
      </c>
      <c r="B58" s="313">
        <f>B59+B60+B62</f>
        <v>225003.05000000002</v>
      </c>
      <c r="C58" s="313">
        <f>C59+C60+C62</f>
        <v>159657.54</v>
      </c>
      <c r="D58" s="313">
        <f>D59+D60+D62</f>
        <v>139347.16</v>
      </c>
      <c r="E58" s="313">
        <f>E59+E60+E62</f>
        <v>139347.16</v>
      </c>
      <c r="F58" s="313">
        <f>E58/B58*100</f>
        <v>61.931231598860549</v>
      </c>
      <c r="G58" s="313">
        <f>E58/C58*100</f>
        <v>87.278784328006054</v>
      </c>
      <c r="H58" s="313">
        <f>H59+H60+H62</f>
        <v>33667.464</v>
      </c>
      <c r="I58" s="313">
        <f t="shared" ref="I58:AE58" si="22">I59+I60+I62</f>
        <v>17651.48</v>
      </c>
      <c r="J58" s="313">
        <f t="shared" si="22"/>
        <v>21980.66</v>
      </c>
      <c r="K58" s="313">
        <f t="shared" si="22"/>
        <v>25296.47</v>
      </c>
      <c r="L58" s="313">
        <f t="shared" si="22"/>
        <v>22854.336000000003</v>
      </c>
      <c r="M58" s="313">
        <f t="shared" si="22"/>
        <v>18701.060000000001</v>
      </c>
      <c r="N58" s="313">
        <f t="shared" si="22"/>
        <v>27865.029000000002</v>
      </c>
      <c r="O58" s="313">
        <f t="shared" si="22"/>
        <v>19626.32</v>
      </c>
      <c r="P58" s="313">
        <f t="shared" si="22"/>
        <v>17496.574000000001</v>
      </c>
      <c r="Q58" s="313">
        <f t="shared" si="22"/>
        <v>19769.440000000002</v>
      </c>
      <c r="R58" s="313">
        <f t="shared" si="22"/>
        <v>16653.616999999998</v>
      </c>
      <c r="S58" s="313">
        <f t="shared" si="22"/>
        <v>18459.61</v>
      </c>
      <c r="T58" s="313">
        <f t="shared" si="22"/>
        <v>19139.86</v>
      </c>
      <c r="U58" s="313">
        <f t="shared" si="22"/>
        <v>19842.78</v>
      </c>
      <c r="V58" s="313">
        <f t="shared" si="22"/>
        <v>21014.33</v>
      </c>
      <c r="W58" s="313">
        <f t="shared" si="22"/>
        <v>0</v>
      </c>
      <c r="X58" s="313">
        <f t="shared" si="22"/>
        <v>10480.953000000001</v>
      </c>
      <c r="Y58" s="313">
        <f t="shared" si="22"/>
        <v>0</v>
      </c>
      <c r="Z58" s="313">
        <f t="shared" si="22"/>
        <v>12955.810000000001</v>
      </c>
      <c r="AA58" s="313">
        <f t="shared" si="22"/>
        <v>0</v>
      </c>
      <c r="AB58" s="313">
        <f t="shared" si="22"/>
        <v>11461.415000000001</v>
      </c>
      <c r="AC58" s="313">
        <f t="shared" si="22"/>
        <v>0</v>
      </c>
      <c r="AD58" s="313">
        <f t="shared" si="22"/>
        <v>9433.0020000000004</v>
      </c>
      <c r="AE58" s="313">
        <f t="shared" si="22"/>
        <v>0</v>
      </c>
      <c r="AF58" s="1242"/>
    </row>
    <row r="59" spans="1:32" x14ac:dyDescent="0.25">
      <c r="A59" s="311" t="s">
        <v>32</v>
      </c>
      <c r="B59" s="312">
        <f t="shared" ref="B59:E60" si="23">B65+B71</f>
        <v>0</v>
      </c>
      <c r="C59" s="312">
        <f t="shared" si="23"/>
        <v>0</v>
      </c>
      <c r="D59" s="312">
        <f t="shared" si="23"/>
        <v>0</v>
      </c>
      <c r="E59" s="312">
        <f t="shared" si="23"/>
        <v>0</v>
      </c>
      <c r="F59" s="327">
        <f>IFERROR(E59/B59*100,0)</f>
        <v>0</v>
      </c>
      <c r="G59" s="327">
        <f>IFERROR(E59/C59*100,0)</f>
        <v>0</v>
      </c>
      <c r="H59" s="312">
        <f>H65+H71</f>
        <v>0</v>
      </c>
      <c r="I59" s="312">
        <f t="shared" ref="I59:AE62" si="24">I65+I71</f>
        <v>0</v>
      </c>
      <c r="J59" s="312">
        <f t="shared" si="24"/>
        <v>0</v>
      </c>
      <c r="K59" s="312">
        <f t="shared" si="24"/>
        <v>0</v>
      </c>
      <c r="L59" s="312">
        <f t="shared" si="24"/>
        <v>0</v>
      </c>
      <c r="M59" s="312">
        <f t="shared" si="24"/>
        <v>0</v>
      </c>
      <c r="N59" s="312">
        <f t="shared" si="24"/>
        <v>0</v>
      </c>
      <c r="O59" s="312">
        <f t="shared" si="24"/>
        <v>0</v>
      </c>
      <c r="P59" s="312">
        <f t="shared" si="24"/>
        <v>0</v>
      </c>
      <c r="Q59" s="312">
        <f t="shared" si="24"/>
        <v>0</v>
      </c>
      <c r="R59" s="312">
        <f t="shared" si="24"/>
        <v>0</v>
      </c>
      <c r="S59" s="312">
        <f t="shared" si="24"/>
        <v>0</v>
      </c>
      <c r="T59" s="312">
        <f t="shared" si="24"/>
        <v>0</v>
      </c>
      <c r="U59" s="312">
        <f t="shared" si="24"/>
        <v>0</v>
      </c>
      <c r="V59" s="312">
        <f t="shared" si="24"/>
        <v>0</v>
      </c>
      <c r="W59" s="312">
        <f t="shared" si="24"/>
        <v>0</v>
      </c>
      <c r="X59" s="312">
        <f t="shared" si="24"/>
        <v>0</v>
      </c>
      <c r="Y59" s="312">
        <f t="shared" si="24"/>
        <v>0</v>
      </c>
      <c r="Z59" s="312">
        <f t="shared" si="24"/>
        <v>0</v>
      </c>
      <c r="AA59" s="312">
        <f t="shared" si="24"/>
        <v>0</v>
      </c>
      <c r="AB59" s="312">
        <f t="shared" si="24"/>
        <v>0</v>
      </c>
      <c r="AC59" s="312">
        <f t="shared" si="24"/>
        <v>0</v>
      </c>
      <c r="AD59" s="312">
        <f t="shared" si="24"/>
        <v>0</v>
      </c>
      <c r="AE59" s="312">
        <f t="shared" si="24"/>
        <v>0</v>
      </c>
      <c r="AF59" s="1242"/>
    </row>
    <row r="60" spans="1:32" x14ac:dyDescent="0.25">
      <c r="A60" s="311" t="s">
        <v>33</v>
      </c>
      <c r="B60" s="312">
        <f t="shared" si="23"/>
        <v>225003.05000000002</v>
      </c>
      <c r="C60" s="312">
        <f t="shared" si="23"/>
        <v>159657.54</v>
      </c>
      <c r="D60" s="312">
        <f t="shared" si="23"/>
        <v>139347.16</v>
      </c>
      <c r="E60" s="312">
        <f t="shared" si="23"/>
        <v>139347.16</v>
      </c>
      <c r="F60" s="327">
        <f>IFERROR(E60/B60*100,0)</f>
        <v>61.931231598860549</v>
      </c>
      <c r="G60" s="327">
        <f>IFERROR(E60/C60*100,0)</f>
        <v>87.278784328006054</v>
      </c>
      <c r="H60" s="312">
        <f>H66+H72</f>
        <v>33667.464</v>
      </c>
      <c r="I60" s="312">
        <f t="shared" si="24"/>
        <v>17651.48</v>
      </c>
      <c r="J60" s="312">
        <f t="shared" si="24"/>
        <v>21980.66</v>
      </c>
      <c r="K60" s="312">
        <f t="shared" si="24"/>
        <v>25296.47</v>
      </c>
      <c r="L60" s="312">
        <f t="shared" si="24"/>
        <v>22854.336000000003</v>
      </c>
      <c r="M60" s="312">
        <f t="shared" si="24"/>
        <v>18701.060000000001</v>
      </c>
      <c r="N60" s="312">
        <f t="shared" si="24"/>
        <v>27865.029000000002</v>
      </c>
      <c r="O60" s="312">
        <f t="shared" si="24"/>
        <v>19626.32</v>
      </c>
      <c r="P60" s="312">
        <f t="shared" si="24"/>
        <v>17496.574000000001</v>
      </c>
      <c r="Q60" s="312">
        <f t="shared" si="24"/>
        <v>19769.440000000002</v>
      </c>
      <c r="R60" s="312">
        <f t="shared" si="24"/>
        <v>16653.616999999998</v>
      </c>
      <c r="S60" s="312">
        <f t="shared" si="24"/>
        <v>18459.61</v>
      </c>
      <c r="T60" s="312">
        <f t="shared" si="24"/>
        <v>19139.86</v>
      </c>
      <c r="U60" s="312">
        <f t="shared" si="24"/>
        <v>19842.78</v>
      </c>
      <c r="V60" s="312">
        <f t="shared" si="24"/>
        <v>21014.33</v>
      </c>
      <c r="W60" s="312">
        <f t="shared" si="24"/>
        <v>0</v>
      </c>
      <c r="X60" s="312">
        <f t="shared" si="24"/>
        <v>10480.953000000001</v>
      </c>
      <c r="Y60" s="312">
        <f t="shared" si="24"/>
        <v>0</v>
      </c>
      <c r="Z60" s="312">
        <f t="shared" si="24"/>
        <v>12955.810000000001</v>
      </c>
      <c r="AA60" s="312">
        <f t="shared" si="24"/>
        <v>0</v>
      </c>
      <c r="AB60" s="312">
        <f t="shared" si="24"/>
        <v>11461.415000000001</v>
      </c>
      <c r="AC60" s="312">
        <f t="shared" si="24"/>
        <v>0</v>
      </c>
      <c r="AD60" s="312">
        <f t="shared" si="24"/>
        <v>9433.0020000000004</v>
      </c>
      <c r="AE60" s="312">
        <f t="shared" si="24"/>
        <v>0</v>
      </c>
      <c r="AF60" s="1242"/>
    </row>
    <row r="61" spans="1:32" ht="31.5" x14ac:dyDescent="0.25">
      <c r="A61" s="325" t="s">
        <v>174</v>
      </c>
      <c r="B61" s="312">
        <f t="shared" ref="B61:E62" si="25">B67+B73</f>
        <v>0</v>
      </c>
      <c r="C61" s="312">
        <f t="shared" si="25"/>
        <v>0</v>
      </c>
      <c r="D61" s="312">
        <f t="shared" si="25"/>
        <v>0</v>
      </c>
      <c r="E61" s="312">
        <f t="shared" si="25"/>
        <v>0</v>
      </c>
      <c r="F61" s="327">
        <f>IFERROR(E61/B61*100,0)</f>
        <v>0</v>
      </c>
      <c r="G61" s="327">
        <f>IFERROR(E61/C61*100,0)</f>
        <v>0</v>
      </c>
      <c r="H61" s="312">
        <f t="shared" ref="H61:W62" si="26">H67+H73</f>
        <v>0</v>
      </c>
      <c r="I61" s="312">
        <f t="shared" si="26"/>
        <v>0</v>
      </c>
      <c r="J61" s="312">
        <f t="shared" si="26"/>
        <v>0</v>
      </c>
      <c r="K61" s="312">
        <f t="shared" si="26"/>
        <v>0</v>
      </c>
      <c r="L61" s="312">
        <f t="shared" si="26"/>
        <v>0</v>
      </c>
      <c r="M61" s="312">
        <f t="shared" si="26"/>
        <v>0</v>
      </c>
      <c r="N61" s="312">
        <f t="shared" si="26"/>
        <v>0</v>
      </c>
      <c r="O61" s="312">
        <f t="shared" si="26"/>
        <v>0</v>
      </c>
      <c r="P61" s="312">
        <f t="shared" si="26"/>
        <v>0</v>
      </c>
      <c r="Q61" s="312">
        <f t="shared" si="26"/>
        <v>0</v>
      </c>
      <c r="R61" s="312">
        <f t="shared" si="26"/>
        <v>0</v>
      </c>
      <c r="S61" s="312">
        <f t="shared" si="26"/>
        <v>0</v>
      </c>
      <c r="T61" s="312">
        <f t="shared" si="26"/>
        <v>0</v>
      </c>
      <c r="U61" s="312">
        <f t="shared" si="26"/>
        <v>0</v>
      </c>
      <c r="V61" s="312">
        <f t="shared" si="26"/>
        <v>0</v>
      </c>
      <c r="W61" s="312">
        <f t="shared" si="26"/>
        <v>0</v>
      </c>
      <c r="X61" s="312">
        <f t="shared" si="24"/>
        <v>0</v>
      </c>
      <c r="Y61" s="312">
        <f t="shared" si="24"/>
        <v>0</v>
      </c>
      <c r="Z61" s="312">
        <f t="shared" si="24"/>
        <v>0</v>
      </c>
      <c r="AA61" s="312">
        <f t="shared" si="24"/>
        <v>0</v>
      </c>
      <c r="AB61" s="312">
        <f t="shared" si="24"/>
        <v>0</v>
      </c>
      <c r="AC61" s="312">
        <f t="shared" si="24"/>
        <v>0</v>
      </c>
      <c r="AD61" s="312">
        <f t="shared" si="24"/>
        <v>0</v>
      </c>
      <c r="AE61" s="312">
        <f t="shared" si="24"/>
        <v>0</v>
      </c>
      <c r="AF61" s="1242"/>
    </row>
    <row r="62" spans="1:32" x14ac:dyDescent="0.25">
      <c r="A62" s="311" t="s">
        <v>374</v>
      </c>
      <c r="B62" s="312">
        <f t="shared" si="25"/>
        <v>0</v>
      </c>
      <c r="C62" s="312">
        <f t="shared" si="25"/>
        <v>0</v>
      </c>
      <c r="D62" s="312">
        <f t="shared" si="25"/>
        <v>0</v>
      </c>
      <c r="E62" s="312">
        <f t="shared" si="25"/>
        <v>0</v>
      </c>
      <c r="F62" s="327">
        <f>IFERROR(E62/B62*100,0)</f>
        <v>0</v>
      </c>
      <c r="G62" s="327">
        <f>IFERROR(E62/C62*100,0)</f>
        <v>0</v>
      </c>
      <c r="H62" s="312">
        <f t="shared" si="26"/>
        <v>0</v>
      </c>
      <c r="I62" s="312">
        <f t="shared" si="26"/>
        <v>0</v>
      </c>
      <c r="J62" s="312">
        <f t="shared" si="26"/>
        <v>0</v>
      </c>
      <c r="K62" s="312">
        <f t="shared" si="26"/>
        <v>0</v>
      </c>
      <c r="L62" s="312">
        <f t="shared" si="26"/>
        <v>0</v>
      </c>
      <c r="M62" s="312">
        <f t="shared" si="26"/>
        <v>0</v>
      </c>
      <c r="N62" s="312">
        <f t="shared" si="26"/>
        <v>0</v>
      </c>
      <c r="O62" s="312">
        <f t="shared" si="26"/>
        <v>0</v>
      </c>
      <c r="P62" s="312">
        <f t="shared" si="26"/>
        <v>0</v>
      </c>
      <c r="Q62" s="312">
        <f t="shared" si="26"/>
        <v>0</v>
      </c>
      <c r="R62" s="312">
        <f t="shared" si="26"/>
        <v>0</v>
      </c>
      <c r="S62" s="312">
        <f t="shared" si="26"/>
        <v>0</v>
      </c>
      <c r="T62" s="312">
        <f t="shared" si="26"/>
        <v>0</v>
      </c>
      <c r="U62" s="312">
        <f t="shared" si="26"/>
        <v>0</v>
      </c>
      <c r="V62" s="312">
        <f t="shared" si="26"/>
        <v>0</v>
      </c>
      <c r="W62" s="312">
        <f t="shared" si="26"/>
        <v>0</v>
      </c>
      <c r="X62" s="312">
        <f t="shared" si="24"/>
        <v>0</v>
      </c>
      <c r="Y62" s="312">
        <f t="shared" si="24"/>
        <v>0</v>
      </c>
      <c r="Z62" s="312">
        <f t="shared" si="24"/>
        <v>0</v>
      </c>
      <c r="AA62" s="312">
        <f t="shared" si="24"/>
        <v>0</v>
      </c>
      <c r="AB62" s="312">
        <f t="shared" si="24"/>
        <v>0</v>
      </c>
      <c r="AC62" s="312">
        <f t="shared" si="24"/>
        <v>0</v>
      </c>
      <c r="AD62" s="312">
        <f t="shared" si="24"/>
        <v>0</v>
      </c>
      <c r="AE62" s="312">
        <f t="shared" si="24"/>
        <v>0</v>
      </c>
      <c r="AF62" s="1242"/>
    </row>
    <row r="63" spans="1:32" x14ac:dyDescent="0.25">
      <c r="A63" s="1268" t="s">
        <v>407</v>
      </c>
      <c r="B63" s="1269"/>
      <c r="C63" s="1269"/>
      <c r="D63" s="1269"/>
      <c r="E63" s="1269"/>
      <c r="F63" s="1269"/>
      <c r="G63" s="1269"/>
      <c r="H63" s="1269"/>
      <c r="I63" s="1269"/>
      <c r="J63" s="1269"/>
      <c r="K63" s="1269"/>
      <c r="L63" s="1269"/>
      <c r="M63" s="1269"/>
      <c r="N63" s="1269"/>
      <c r="O63" s="1269"/>
      <c r="P63" s="1269"/>
      <c r="Q63" s="1269"/>
      <c r="R63" s="1269"/>
      <c r="S63" s="1269"/>
      <c r="T63" s="1269"/>
      <c r="U63" s="1269"/>
      <c r="V63" s="1269"/>
      <c r="W63" s="1269"/>
      <c r="X63" s="1269"/>
      <c r="Y63" s="1269"/>
      <c r="Z63" s="1269"/>
      <c r="AA63" s="1269"/>
      <c r="AB63" s="1269"/>
      <c r="AC63" s="1269"/>
      <c r="AD63" s="1269"/>
      <c r="AE63" s="1270"/>
      <c r="AF63" s="1242"/>
    </row>
    <row r="64" spans="1:32" x14ac:dyDescent="0.25">
      <c r="A64" s="311" t="s">
        <v>31</v>
      </c>
      <c r="B64" s="327">
        <f>B65+B66+B68</f>
        <v>205658.12900000002</v>
      </c>
      <c r="C64" s="327">
        <f>C65+C66+C68</f>
        <v>144801.61900000001</v>
      </c>
      <c r="D64" s="327">
        <f>D65+D66+D68</f>
        <v>124824.03</v>
      </c>
      <c r="E64" s="327">
        <f>E65+E66+E68</f>
        <v>124824.03</v>
      </c>
      <c r="F64" s="327">
        <f>E64/B64*100</f>
        <v>60.694916659482004</v>
      </c>
      <c r="G64" s="327">
        <f>E64/C64*100</f>
        <v>86.203476771899901</v>
      </c>
      <c r="H64" s="327">
        <f>H65+H66+H68</f>
        <v>24766.143</v>
      </c>
      <c r="I64" s="327">
        <f t="shared" ref="I64:AE64" si="27">I65+I66+I68</f>
        <v>8911.5</v>
      </c>
      <c r="J64" s="327">
        <f t="shared" si="27"/>
        <v>20856.759999999998</v>
      </c>
      <c r="K64" s="327">
        <f t="shared" si="27"/>
        <v>24332.61</v>
      </c>
      <c r="L64" s="327">
        <f t="shared" si="27"/>
        <v>21730.436000000002</v>
      </c>
      <c r="M64" s="327">
        <f t="shared" si="27"/>
        <v>17737.2</v>
      </c>
      <c r="N64" s="313">
        <f t="shared" si="27"/>
        <v>26938.329000000002</v>
      </c>
      <c r="O64" s="313">
        <f t="shared" si="27"/>
        <v>18662.47</v>
      </c>
      <c r="P64" s="313">
        <f t="shared" si="27"/>
        <v>16569.874</v>
      </c>
      <c r="Q64" s="313">
        <f t="shared" si="27"/>
        <v>18805.580000000002</v>
      </c>
      <c r="R64" s="313">
        <f t="shared" si="27"/>
        <v>15726.916999999999</v>
      </c>
      <c r="S64" s="313">
        <f t="shared" si="27"/>
        <v>17495.75</v>
      </c>
      <c r="T64" s="313">
        <f t="shared" si="27"/>
        <v>18213.16</v>
      </c>
      <c r="U64" s="313">
        <f t="shared" si="27"/>
        <v>18878.919999999998</v>
      </c>
      <c r="V64" s="313">
        <f t="shared" si="27"/>
        <v>20087.63</v>
      </c>
      <c r="W64" s="313">
        <f t="shared" si="27"/>
        <v>0</v>
      </c>
      <c r="X64" s="313">
        <f t="shared" si="27"/>
        <v>9554.2530000000006</v>
      </c>
      <c r="Y64" s="313">
        <f t="shared" si="27"/>
        <v>0</v>
      </c>
      <c r="Z64" s="313">
        <f t="shared" si="27"/>
        <v>12029.11</v>
      </c>
      <c r="AA64" s="313">
        <f t="shared" si="27"/>
        <v>0</v>
      </c>
      <c r="AB64" s="313">
        <f t="shared" si="27"/>
        <v>10534.715</v>
      </c>
      <c r="AC64" s="313"/>
      <c r="AD64" s="313">
        <f t="shared" si="27"/>
        <v>8650.8019999999997</v>
      </c>
      <c r="AE64" s="313">
        <f t="shared" si="27"/>
        <v>0</v>
      </c>
      <c r="AF64" s="1242"/>
    </row>
    <row r="65" spans="1:32" x14ac:dyDescent="0.25">
      <c r="A65" s="311" t="s">
        <v>32</v>
      </c>
      <c r="B65" s="327"/>
      <c r="C65" s="609"/>
      <c r="D65" s="327"/>
      <c r="E65" s="327"/>
      <c r="F65" s="327"/>
      <c r="G65" s="327"/>
      <c r="H65" s="609"/>
      <c r="I65" s="609"/>
      <c r="J65" s="609"/>
      <c r="K65" s="609"/>
      <c r="L65" s="609"/>
      <c r="M65" s="609"/>
      <c r="N65" s="312"/>
      <c r="O65" s="312"/>
      <c r="P65" s="312"/>
      <c r="Q65" s="312"/>
      <c r="R65" s="312"/>
      <c r="S65" s="312"/>
      <c r="T65" s="312"/>
      <c r="U65" s="312"/>
      <c r="V65" s="312"/>
      <c r="W65" s="312"/>
      <c r="X65" s="312"/>
      <c r="Y65" s="312"/>
      <c r="Z65" s="312"/>
      <c r="AA65" s="312"/>
      <c r="AB65" s="312"/>
      <c r="AC65" s="312"/>
      <c r="AD65" s="312"/>
      <c r="AE65" s="312"/>
      <c r="AF65" s="1242"/>
    </row>
    <row r="66" spans="1:32" x14ac:dyDescent="0.25">
      <c r="A66" s="311" t="s">
        <v>33</v>
      </c>
      <c r="B66" s="327">
        <f>H66+J66+L66+N66+P66+R66+T66+V66+X66+Z66+AB66+AD66</f>
        <v>205658.12900000002</v>
      </c>
      <c r="C66" s="609">
        <f>H66+J66+L66+N66+P66+R66+T66</f>
        <v>144801.61900000001</v>
      </c>
      <c r="D66" s="327">
        <f>E66</f>
        <v>124824.03</v>
      </c>
      <c r="E66" s="327">
        <f>I66+K66+M66+O66+Q66+S66+U66+W66+Y66+AA66+AC66+AE66</f>
        <v>124824.03</v>
      </c>
      <c r="F66" s="327">
        <f>IFERROR(E66/B66*100,0)</f>
        <v>60.694916659482004</v>
      </c>
      <c r="G66" s="327">
        <f>IFERROR(E66/C66*100,0)</f>
        <v>86.203476771899901</v>
      </c>
      <c r="H66" s="609">
        <v>24766.143</v>
      </c>
      <c r="I66" s="609">
        <v>8911.5</v>
      </c>
      <c r="J66" s="609">
        <v>20856.759999999998</v>
      </c>
      <c r="K66" s="609">
        <v>24332.61</v>
      </c>
      <c r="L66" s="609">
        <v>21730.436000000002</v>
      </c>
      <c r="M66" s="609">
        <v>17737.2</v>
      </c>
      <c r="N66" s="312">
        <v>26938.329000000002</v>
      </c>
      <c r="O66" s="312">
        <v>18662.47</v>
      </c>
      <c r="P66" s="312">
        <v>16569.874</v>
      </c>
      <c r="Q66" s="312">
        <v>18805.580000000002</v>
      </c>
      <c r="R66" s="312">
        <v>15726.916999999999</v>
      </c>
      <c r="S66" s="312">
        <v>17495.75</v>
      </c>
      <c r="T66" s="312">
        <v>18213.16</v>
      </c>
      <c r="U66" s="312">
        <v>18878.919999999998</v>
      </c>
      <c r="V66" s="312">
        <v>20087.63</v>
      </c>
      <c r="W66" s="312"/>
      <c r="X66" s="312">
        <v>9554.2530000000006</v>
      </c>
      <c r="Y66" s="312"/>
      <c r="Z66" s="312">
        <v>12029.11</v>
      </c>
      <c r="AA66" s="312"/>
      <c r="AB66" s="312">
        <v>10534.715</v>
      </c>
      <c r="AC66" s="312"/>
      <c r="AD66" s="312">
        <v>8650.8019999999997</v>
      </c>
      <c r="AE66" s="312"/>
      <c r="AF66" s="1242"/>
    </row>
    <row r="67" spans="1:32" ht="31.5" x14ac:dyDescent="0.25">
      <c r="A67" s="325" t="s">
        <v>174</v>
      </c>
      <c r="B67" s="327"/>
      <c r="C67" s="609"/>
      <c r="D67" s="327"/>
      <c r="E67" s="327"/>
      <c r="F67" s="327"/>
      <c r="G67" s="327"/>
      <c r="H67" s="609"/>
      <c r="I67" s="609"/>
      <c r="J67" s="609"/>
      <c r="K67" s="609"/>
      <c r="L67" s="609"/>
      <c r="M67" s="609"/>
      <c r="N67" s="312"/>
      <c r="O67" s="312"/>
      <c r="P67" s="312"/>
      <c r="Q67" s="312"/>
      <c r="R67" s="312"/>
      <c r="S67" s="312"/>
      <c r="T67" s="312"/>
      <c r="U67" s="312"/>
      <c r="V67" s="312"/>
      <c r="W67" s="312"/>
      <c r="X67" s="312"/>
      <c r="Y67" s="312"/>
      <c r="Z67" s="312"/>
      <c r="AA67" s="312"/>
      <c r="AB67" s="312"/>
      <c r="AC67" s="312"/>
      <c r="AD67" s="312"/>
      <c r="AE67" s="312"/>
      <c r="AF67" s="1242"/>
    </row>
    <row r="68" spans="1:32" x14ac:dyDescent="0.25">
      <c r="A68" s="311" t="s">
        <v>374</v>
      </c>
      <c r="B68" s="313"/>
      <c r="C68" s="609"/>
      <c r="D68" s="313"/>
      <c r="E68" s="313"/>
      <c r="F68" s="327"/>
      <c r="G68" s="327"/>
      <c r="H68" s="312"/>
      <c r="I68" s="312"/>
      <c r="J68" s="312"/>
      <c r="K68" s="312"/>
      <c r="L68" s="312"/>
      <c r="M68" s="312"/>
      <c r="N68" s="312"/>
      <c r="O68" s="312"/>
      <c r="P68" s="312"/>
      <c r="Q68" s="312"/>
      <c r="R68" s="312"/>
      <c r="S68" s="312"/>
      <c r="T68" s="312"/>
      <c r="U68" s="312"/>
      <c r="V68" s="312"/>
      <c r="W68" s="312"/>
      <c r="X68" s="312"/>
      <c r="Y68" s="312"/>
      <c r="Z68" s="312"/>
      <c r="AA68" s="312"/>
      <c r="AB68" s="312"/>
      <c r="AC68" s="312"/>
      <c r="AD68" s="312"/>
      <c r="AE68" s="312"/>
      <c r="AF68" s="1251"/>
    </row>
    <row r="69" spans="1:32" x14ac:dyDescent="0.25">
      <c r="A69" s="1268" t="s">
        <v>408</v>
      </c>
      <c r="B69" s="1269"/>
      <c r="C69" s="1269"/>
      <c r="D69" s="1269"/>
      <c r="E69" s="1269"/>
      <c r="F69" s="1269"/>
      <c r="G69" s="1269"/>
      <c r="H69" s="1269"/>
      <c r="I69" s="1269"/>
      <c r="J69" s="1269"/>
      <c r="K69" s="1269"/>
      <c r="L69" s="1269"/>
      <c r="M69" s="1269"/>
      <c r="N69" s="1269"/>
      <c r="O69" s="1269"/>
      <c r="P69" s="1269"/>
      <c r="Q69" s="1269"/>
      <c r="R69" s="1269"/>
      <c r="S69" s="1269"/>
      <c r="T69" s="1269"/>
      <c r="U69" s="1269"/>
      <c r="V69" s="1269"/>
      <c r="W69" s="1269"/>
      <c r="X69" s="1269"/>
      <c r="Y69" s="1269"/>
      <c r="Z69" s="1269"/>
      <c r="AA69" s="1269"/>
      <c r="AB69" s="1269"/>
      <c r="AC69" s="1269"/>
      <c r="AD69" s="1269"/>
      <c r="AE69" s="1270"/>
      <c r="AF69" s="328"/>
    </row>
    <row r="70" spans="1:32" x14ac:dyDescent="0.25">
      <c r="A70" s="311" t="s">
        <v>31</v>
      </c>
      <c r="B70" s="327">
        <f>B71+B72+B74</f>
        <v>19344.921000000006</v>
      </c>
      <c r="C70" s="327">
        <f>C71+C72+C74</f>
        <v>14855.921000000002</v>
      </c>
      <c r="D70" s="327">
        <f>D71+D72+D74</f>
        <v>14523.130000000003</v>
      </c>
      <c r="E70" s="327">
        <f>E71+E72+E74</f>
        <v>14523.130000000003</v>
      </c>
      <c r="F70" s="313">
        <f>F72</f>
        <v>75.07464103885458</v>
      </c>
      <c r="G70" s="313">
        <f>G72</f>
        <v>97.75987634829238</v>
      </c>
      <c r="H70" s="312">
        <f>H71+H72+H74</f>
        <v>8901.3209999999999</v>
      </c>
      <c r="I70" s="312">
        <f t="shared" ref="I70:AE70" si="28">I71+I72+I74</f>
        <v>8739.98</v>
      </c>
      <c r="J70" s="312">
        <f t="shared" si="28"/>
        <v>1123.9000000000001</v>
      </c>
      <c r="K70" s="312">
        <f t="shared" si="28"/>
        <v>963.86</v>
      </c>
      <c r="L70" s="312">
        <f t="shared" si="28"/>
        <v>1123.9000000000001</v>
      </c>
      <c r="M70" s="312">
        <f t="shared" si="28"/>
        <v>963.86</v>
      </c>
      <c r="N70" s="312">
        <f t="shared" si="28"/>
        <v>926.7</v>
      </c>
      <c r="O70" s="312">
        <f t="shared" si="28"/>
        <v>963.85</v>
      </c>
      <c r="P70" s="312">
        <f t="shared" si="28"/>
        <v>926.7</v>
      </c>
      <c r="Q70" s="312">
        <f t="shared" si="28"/>
        <v>963.86</v>
      </c>
      <c r="R70" s="312">
        <f t="shared" si="28"/>
        <v>926.7</v>
      </c>
      <c r="S70" s="312">
        <f t="shared" si="28"/>
        <v>963.86</v>
      </c>
      <c r="T70" s="312">
        <f t="shared" si="28"/>
        <v>926.7</v>
      </c>
      <c r="U70" s="312">
        <f t="shared" si="28"/>
        <v>963.86</v>
      </c>
      <c r="V70" s="312">
        <f t="shared" si="28"/>
        <v>926.7</v>
      </c>
      <c r="W70" s="312">
        <f t="shared" si="28"/>
        <v>0</v>
      </c>
      <c r="X70" s="312">
        <f t="shared" si="28"/>
        <v>926.7</v>
      </c>
      <c r="Y70" s="312">
        <f t="shared" si="28"/>
        <v>0</v>
      </c>
      <c r="Z70" s="312">
        <f t="shared" si="28"/>
        <v>926.7</v>
      </c>
      <c r="AA70" s="312">
        <f t="shared" si="28"/>
        <v>0</v>
      </c>
      <c r="AB70" s="312">
        <f t="shared" si="28"/>
        <v>926.7</v>
      </c>
      <c r="AC70" s="312">
        <f t="shared" si="28"/>
        <v>0</v>
      </c>
      <c r="AD70" s="312">
        <f t="shared" si="28"/>
        <v>782.2</v>
      </c>
      <c r="AE70" s="312">
        <f t="shared" si="28"/>
        <v>0</v>
      </c>
      <c r="AF70" s="1271" t="s">
        <v>591</v>
      </c>
    </row>
    <row r="71" spans="1:32" x14ac:dyDescent="0.25">
      <c r="A71" s="311" t="s">
        <v>32</v>
      </c>
      <c r="B71" s="313"/>
      <c r="C71" s="312"/>
      <c r="D71" s="313"/>
      <c r="E71" s="313"/>
      <c r="F71" s="313"/>
      <c r="G71" s="313"/>
      <c r="H71" s="312"/>
      <c r="I71" s="312"/>
      <c r="J71" s="312"/>
      <c r="K71" s="312"/>
      <c r="L71" s="312"/>
      <c r="M71" s="312"/>
      <c r="N71" s="312"/>
      <c r="O71" s="312"/>
      <c r="P71" s="312"/>
      <c r="Q71" s="312"/>
      <c r="R71" s="312"/>
      <c r="S71" s="312"/>
      <c r="T71" s="312"/>
      <c r="U71" s="312"/>
      <c r="V71" s="312"/>
      <c r="W71" s="312"/>
      <c r="X71" s="312"/>
      <c r="Y71" s="312"/>
      <c r="Z71" s="312"/>
      <c r="AA71" s="312"/>
      <c r="AB71" s="312"/>
      <c r="AC71" s="312"/>
      <c r="AD71" s="312"/>
      <c r="AE71" s="312"/>
      <c r="AF71" s="1243"/>
    </row>
    <row r="72" spans="1:32" x14ac:dyDescent="0.25">
      <c r="A72" s="311" t="s">
        <v>33</v>
      </c>
      <c r="B72" s="313">
        <f>H72+J72+L72+N72+P72+R72+T72+V72+X72+Z72+AB72+AD72</f>
        <v>19344.921000000006</v>
      </c>
      <c r="C72" s="312">
        <f>H72+J72+L72+N72+P72+R72+T72</f>
        <v>14855.921000000002</v>
      </c>
      <c r="D72" s="313">
        <f>E72</f>
        <v>14523.130000000003</v>
      </c>
      <c r="E72" s="313">
        <f>I72+K72+M72+O72+Q72+S72+U72+W72+Y72+AA72+AC72+AE72</f>
        <v>14523.130000000003</v>
      </c>
      <c r="F72" s="313">
        <f>IFERROR(E72/B72*100,0)</f>
        <v>75.07464103885458</v>
      </c>
      <c r="G72" s="313">
        <f>IFERROR(E72/C72*100,0)</f>
        <v>97.75987634829238</v>
      </c>
      <c r="H72" s="312">
        <v>8901.3209999999999</v>
      </c>
      <c r="I72" s="312">
        <v>8739.98</v>
      </c>
      <c r="J72" s="312">
        <v>1123.9000000000001</v>
      </c>
      <c r="K72" s="312">
        <v>963.86</v>
      </c>
      <c r="L72" s="312">
        <v>1123.9000000000001</v>
      </c>
      <c r="M72" s="312">
        <v>963.86</v>
      </c>
      <c r="N72" s="312">
        <v>926.7</v>
      </c>
      <c r="O72" s="312">
        <v>963.85</v>
      </c>
      <c r="P72" s="312">
        <v>926.7</v>
      </c>
      <c r="Q72" s="312">
        <v>963.86</v>
      </c>
      <c r="R72" s="312">
        <v>926.7</v>
      </c>
      <c r="S72" s="312">
        <v>963.86</v>
      </c>
      <c r="T72" s="312">
        <v>926.7</v>
      </c>
      <c r="U72" s="312">
        <v>963.86</v>
      </c>
      <c r="V72" s="312">
        <v>926.7</v>
      </c>
      <c r="W72" s="312"/>
      <c r="X72" s="312">
        <v>926.7</v>
      </c>
      <c r="Y72" s="312"/>
      <c r="Z72" s="312">
        <v>926.7</v>
      </c>
      <c r="AA72" s="312"/>
      <c r="AB72" s="312">
        <v>926.7</v>
      </c>
      <c r="AC72" s="312"/>
      <c r="AD72" s="312">
        <v>782.2</v>
      </c>
      <c r="AE72" s="312"/>
      <c r="AF72" s="1243"/>
    </row>
    <row r="73" spans="1:32" ht="31.5" x14ac:dyDescent="0.25">
      <c r="A73" s="325" t="s">
        <v>174</v>
      </c>
      <c r="B73" s="313"/>
      <c r="C73" s="312"/>
      <c r="D73" s="313"/>
      <c r="E73" s="313"/>
      <c r="F73" s="313"/>
      <c r="G73" s="313"/>
      <c r="H73" s="312"/>
      <c r="I73" s="312"/>
      <c r="J73" s="312"/>
      <c r="K73" s="312"/>
      <c r="L73" s="312"/>
      <c r="M73" s="312"/>
      <c r="N73" s="312"/>
      <c r="O73" s="312"/>
      <c r="P73" s="312"/>
      <c r="Q73" s="312"/>
      <c r="R73" s="312"/>
      <c r="S73" s="312"/>
      <c r="T73" s="312"/>
      <c r="U73" s="312"/>
      <c r="V73" s="312"/>
      <c r="W73" s="312"/>
      <c r="X73" s="312"/>
      <c r="Y73" s="312"/>
      <c r="Z73" s="312"/>
      <c r="AA73" s="312"/>
      <c r="AB73" s="312"/>
      <c r="AC73" s="312"/>
      <c r="AD73" s="312"/>
      <c r="AE73" s="312"/>
      <c r="AF73" s="1243"/>
    </row>
    <row r="74" spans="1:32" x14ac:dyDescent="0.25">
      <c r="A74" s="311" t="s">
        <v>374</v>
      </c>
      <c r="B74" s="313"/>
      <c r="C74" s="312"/>
      <c r="D74" s="313"/>
      <c r="E74" s="313"/>
      <c r="F74" s="313"/>
      <c r="G74" s="313"/>
      <c r="H74" s="312"/>
      <c r="I74" s="312"/>
      <c r="J74" s="312"/>
      <c r="K74" s="312"/>
      <c r="L74" s="312"/>
      <c r="M74" s="312"/>
      <c r="N74" s="312"/>
      <c r="O74" s="312"/>
      <c r="P74" s="312"/>
      <c r="Q74" s="312"/>
      <c r="R74" s="312"/>
      <c r="S74" s="312"/>
      <c r="T74" s="312"/>
      <c r="U74" s="312"/>
      <c r="V74" s="312"/>
      <c r="W74" s="312"/>
      <c r="X74" s="312"/>
      <c r="Y74" s="312"/>
      <c r="Z74" s="312"/>
      <c r="AA74" s="312"/>
      <c r="AB74" s="312"/>
      <c r="AC74" s="312"/>
      <c r="AD74" s="312"/>
      <c r="AE74" s="312"/>
      <c r="AF74" s="1244"/>
    </row>
    <row r="75" spans="1:32" x14ac:dyDescent="0.25">
      <c r="A75" s="1268" t="s">
        <v>409</v>
      </c>
      <c r="B75" s="1269"/>
      <c r="C75" s="1269"/>
      <c r="D75" s="1269"/>
      <c r="E75" s="1269"/>
      <c r="F75" s="1269"/>
      <c r="G75" s="1269"/>
      <c r="H75" s="1269"/>
      <c r="I75" s="1269"/>
      <c r="J75" s="1269"/>
      <c r="K75" s="1269"/>
      <c r="L75" s="1269"/>
      <c r="M75" s="1269"/>
      <c r="N75" s="1269"/>
      <c r="O75" s="1269"/>
      <c r="P75" s="1269"/>
      <c r="Q75" s="1269"/>
      <c r="R75" s="1269"/>
      <c r="S75" s="1269"/>
      <c r="T75" s="1269"/>
      <c r="U75" s="1269"/>
      <c r="V75" s="1269"/>
      <c r="W75" s="1269"/>
      <c r="X75" s="1269"/>
      <c r="Y75" s="1269"/>
      <c r="Z75" s="1269"/>
      <c r="AA75" s="1269"/>
      <c r="AB75" s="1269"/>
      <c r="AC75" s="1269"/>
      <c r="AD75" s="1269"/>
      <c r="AE75" s="1270"/>
      <c r="AF75" s="310"/>
    </row>
    <row r="76" spans="1:32" x14ac:dyDescent="0.25">
      <c r="A76" s="311" t="s">
        <v>31</v>
      </c>
      <c r="B76" s="313">
        <f>B77+B78+B80</f>
        <v>6062.2990000000009</v>
      </c>
      <c r="C76" s="327">
        <f>C77+C78+C80</f>
        <v>3308.7990000000004</v>
      </c>
      <c r="D76" s="327">
        <f>D77+D78+D80</f>
        <v>3015.16</v>
      </c>
      <c r="E76" s="313">
        <f>E77+E78+E80</f>
        <v>3015.16</v>
      </c>
      <c r="F76" s="313">
        <f>F78</f>
        <v>49.736246925465068</v>
      </c>
      <c r="G76" s="313">
        <f>G78</f>
        <v>91.125511099344493</v>
      </c>
      <c r="H76" s="312">
        <f>H77+H78+H80</f>
        <v>222.51900000000001</v>
      </c>
      <c r="I76" s="312">
        <f t="shared" ref="I76:AE76" si="29">I77+I78+I80</f>
        <v>211.32</v>
      </c>
      <c r="J76" s="312">
        <f t="shared" si="29"/>
        <v>529.38</v>
      </c>
      <c r="K76" s="312">
        <f t="shared" si="29"/>
        <v>424.49</v>
      </c>
      <c r="L76" s="312">
        <f t="shared" si="29"/>
        <v>509.38</v>
      </c>
      <c r="M76" s="312">
        <f t="shared" si="29"/>
        <v>393.66</v>
      </c>
      <c r="N76" s="312">
        <f t="shared" si="29"/>
        <v>519.38</v>
      </c>
      <c r="O76" s="312">
        <f t="shared" si="29"/>
        <v>413.18</v>
      </c>
      <c r="P76" s="312">
        <f t="shared" si="29"/>
        <v>499.38</v>
      </c>
      <c r="Q76" s="312">
        <f t="shared" si="29"/>
        <v>384.97</v>
      </c>
      <c r="R76" s="312">
        <f t="shared" si="29"/>
        <v>519.38</v>
      </c>
      <c r="S76" s="312">
        <f t="shared" si="29"/>
        <v>571.28</v>
      </c>
      <c r="T76" s="312">
        <f t="shared" si="29"/>
        <v>509.38</v>
      </c>
      <c r="U76" s="312">
        <f t="shared" si="29"/>
        <v>616.26</v>
      </c>
      <c r="V76" s="312">
        <f t="shared" si="29"/>
        <v>499.38</v>
      </c>
      <c r="W76" s="312">
        <f t="shared" si="29"/>
        <v>0</v>
      </c>
      <c r="X76" s="312">
        <f t="shared" si="29"/>
        <v>509.38</v>
      </c>
      <c r="Y76" s="312">
        <f t="shared" si="29"/>
        <v>0</v>
      </c>
      <c r="Z76" s="312">
        <f t="shared" si="29"/>
        <v>509.38</v>
      </c>
      <c r="AA76" s="312">
        <f t="shared" si="29"/>
        <v>0</v>
      </c>
      <c r="AB76" s="312">
        <f t="shared" si="29"/>
        <v>509.38</v>
      </c>
      <c r="AC76" s="312">
        <f t="shared" si="29"/>
        <v>0</v>
      </c>
      <c r="AD76" s="312">
        <f t="shared" si="29"/>
        <v>725.98</v>
      </c>
      <c r="AE76" s="312">
        <f t="shared" si="29"/>
        <v>0</v>
      </c>
      <c r="AF76" s="1254" t="s">
        <v>469</v>
      </c>
    </row>
    <row r="77" spans="1:32" ht="33" customHeight="1" x14ac:dyDescent="0.25">
      <c r="A77" s="311" t="s">
        <v>32</v>
      </c>
      <c r="B77" s="313"/>
      <c r="C77" s="312"/>
      <c r="D77" s="313"/>
      <c r="E77" s="313"/>
      <c r="F77" s="313"/>
      <c r="G77" s="313"/>
      <c r="H77" s="312"/>
      <c r="I77" s="312"/>
      <c r="J77" s="312"/>
      <c r="K77" s="312"/>
      <c r="L77" s="312"/>
      <c r="M77" s="312"/>
      <c r="N77" s="312"/>
      <c r="O77" s="312"/>
      <c r="P77" s="312"/>
      <c r="Q77" s="312"/>
      <c r="R77" s="312"/>
      <c r="S77" s="312"/>
      <c r="T77" s="312"/>
      <c r="U77" s="312"/>
      <c r="V77" s="312"/>
      <c r="W77" s="312"/>
      <c r="X77" s="312"/>
      <c r="Y77" s="312"/>
      <c r="Z77" s="312"/>
      <c r="AA77" s="312"/>
      <c r="AB77" s="312"/>
      <c r="AC77" s="312"/>
      <c r="AD77" s="312"/>
      <c r="AE77" s="312"/>
      <c r="AF77" s="1242"/>
    </row>
    <row r="78" spans="1:32" ht="118.5" customHeight="1" x14ac:dyDescent="0.25">
      <c r="A78" s="311" t="s">
        <v>33</v>
      </c>
      <c r="B78" s="313">
        <f>H78+J78+L78+N78+P78+R78+T78+V78+X78+Z78+AB78+AD78</f>
        <v>6062.2990000000009</v>
      </c>
      <c r="C78" s="312">
        <f>H78+J78+L78+N78+P78+R78+T78</f>
        <v>3308.7990000000004</v>
      </c>
      <c r="D78" s="313">
        <f>E78</f>
        <v>3015.16</v>
      </c>
      <c r="E78" s="313">
        <f>I78+K78+M78+O78+Q78+S78+U78+W78+Y78+AA78+AC78+AE78</f>
        <v>3015.16</v>
      </c>
      <c r="F78" s="313">
        <f>IFERROR(E78/B78*100,0)</f>
        <v>49.736246925465068</v>
      </c>
      <c r="G78" s="313">
        <f>IFERROR(E78/C78*100,0)</f>
        <v>91.125511099344493</v>
      </c>
      <c r="H78" s="312">
        <v>222.51900000000001</v>
      </c>
      <c r="I78" s="312">
        <v>211.32</v>
      </c>
      <c r="J78" s="312">
        <v>529.38</v>
      </c>
      <c r="K78" s="312">
        <v>424.49</v>
      </c>
      <c r="L78" s="312">
        <v>509.38</v>
      </c>
      <c r="M78" s="312">
        <v>393.66</v>
      </c>
      <c r="N78" s="312">
        <v>519.38</v>
      </c>
      <c r="O78" s="312">
        <v>413.18</v>
      </c>
      <c r="P78" s="312">
        <v>499.38</v>
      </c>
      <c r="Q78" s="312">
        <v>384.97</v>
      </c>
      <c r="R78" s="312">
        <v>519.38</v>
      </c>
      <c r="S78" s="312">
        <v>571.28</v>
      </c>
      <c r="T78" s="312">
        <v>509.38</v>
      </c>
      <c r="U78" s="312">
        <v>616.26</v>
      </c>
      <c r="V78" s="312">
        <v>499.38</v>
      </c>
      <c r="W78" s="312"/>
      <c r="X78" s="312">
        <v>509.38</v>
      </c>
      <c r="Y78" s="312"/>
      <c r="Z78" s="312">
        <v>509.38</v>
      </c>
      <c r="AA78" s="312"/>
      <c r="AB78" s="312">
        <v>509.38</v>
      </c>
      <c r="AC78" s="312"/>
      <c r="AD78" s="312">
        <v>725.98</v>
      </c>
      <c r="AE78" s="312"/>
      <c r="AF78" s="1242"/>
    </row>
    <row r="79" spans="1:32" ht="42" customHeight="1" x14ac:dyDescent="0.25">
      <c r="A79" s="325" t="s">
        <v>174</v>
      </c>
      <c r="B79" s="313"/>
      <c r="C79" s="312"/>
      <c r="D79" s="313"/>
      <c r="E79" s="313"/>
      <c r="F79" s="313"/>
      <c r="G79" s="313"/>
      <c r="H79" s="312"/>
      <c r="I79" s="312"/>
      <c r="J79" s="312"/>
      <c r="K79" s="312"/>
      <c r="L79" s="312"/>
      <c r="M79" s="312"/>
      <c r="N79" s="312"/>
      <c r="O79" s="312"/>
      <c r="P79" s="312"/>
      <c r="Q79" s="312"/>
      <c r="R79" s="312"/>
      <c r="S79" s="312"/>
      <c r="T79" s="312"/>
      <c r="U79" s="312"/>
      <c r="V79" s="312"/>
      <c r="W79" s="312"/>
      <c r="X79" s="312"/>
      <c r="Y79" s="312"/>
      <c r="Z79" s="312"/>
      <c r="AA79" s="312"/>
      <c r="AB79" s="312"/>
      <c r="AC79" s="312"/>
      <c r="AD79" s="312"/>
      <c r="AE79" s="312"/>
      <c r="AF79" s="1242"/>
    </row>
    <row r="80" spans="1:32" ht="63" customHeight="1" x14ac:dyDescent="0.25">
      <c r="A80" s="311" t="s">
        <v>374</v>
      </c>
      <c r="B80" s="313"/>
      <c r="C80" s="312"/>
      <c r="D80" s="313"/>
      <c r="E80" s="313"/>
      <c r="F80" s="313"/>
      <c r="G80" s="313"/>
      <c r="H80" s="312"/>
      <c r="I80" s="312"/>
      <c r="J80" s="312"/>
      <c r="K80" s="312"/>
      <c r="L80" s="312"/>
      <c r="M80" s="312"/>
      <c r="N80" s="312"/>
      <c r="O80" s="312"/>
      <c r="P80" s="312"/>
      <c r="Q80" s="312"/>
      <c r="R80" s="312"/>
      <c r="S80" s="312"/>
      <c r="T80" s="312"/>
      <c r="U80" s="312"/>
      <c r="V80" s="312"/>
      <c r="W80" s="312"/>
      <c r="X80" s="312"/>
      <c r="Y80" s="312"/>
      <c r="Z80" s="312"/>
      <c r="AA80" s="312"/>
      <c r="AB80" s="312"/>
      <c r="AC80" s="312"/>
      <c r="AD80" s="312"/>
      <c r="AE80" s="312"/>
      <c r="AF80" s="1251"/>
    </row>
    <row r="81" spans="1:32" x14ac:dyDescent="0.25">
      <c r="A81" s="1268" t="s">
        <v>410</v>
      </c>
      <c r="B81" s="1269"/>
      <c r="C81" s="1269"/>
      <c r="D81" s="1269"/>
      <c r="E81" s="1269"/>
      <c r="F81" s="1269"/>
      <c r="G81" s="1269"/>
      <c r="H81" s="1269"/>
      <c r="I81" s="1269"/>
      <c r="J81" s="1269"/>
      <c r="K81" s="1269"/>
      <c r="L81" s="1269"/>
      <c r="M81" s="1269"/>
      <c r="N81" s="1269"/>
      <c r="O81" s="1269"/>
      <c r="P81" s="1269"/>
      <c r="Q81" s="1269"/>
      <c r="R81" s="1269"/>
      <c r="S81" s="1269"/>
      <c r="T81" s="1269"/>
      <c r="U81" s="1269"/>
      <c r="V81" s="1269"/>
      <c r="W81" s="1269"/>
      <c r="X81" s="1269"/>
      <c r="Y81" s="1269"/>
      <c r="Z81" s="1269"/>
      <c r="AA81" s="1269"/>
      <c r="AB81" s="1269"/>
      <c r="AC81" s="1269"/>
      <c r="AD81" s="1269"/>
      <c r="AE81" s="1270"/>
      <c r="AF81" s="329"/>
    </row>
    <row r="82" spans="1:32" ht="24.75" customHeight="1" x14ac:dyDescent="0.25">
      <c r="A82" s="311" t="s">
        <v>31</v>
      </c>
      <c r="B82" s="327">
        <f>B83+B84+B86</f>
        <v>767.6</v>
      </c>
      <c r="C82" s="327">
        <f>C83+C84+C86</f>
        <v>361.29999999999995</v>
      </c>
      <c r="D82" s="327">
        <f>D83+D84+D86</f>
        <v>153.10000000000002</v>
      </c>
      <c r="E82" s="313">
        <f>E83+E84+E86</f>
        <v>153.10000000000002</v>
      </c>
      <c r="F82" s="313">
        <f>F84</f>
        <v>19.945284002084421</v>
      </c>
      <c r="G82" s="313">
        <f>G84</f>
        <v>42.374757818987</v>
      </c>
      <c r="H82" s="312">
        <f>H83+H84+H86</f>
        <v>22.8</v>
      </c>
      <c r="I82" s="312">
        <f t="shared" ref="I82:AE82" si="30">I83+I84+I86</f>
        <v>22.8</v>
      </c>
      <c r="J82" s="312">
        <f t="shared" si="30"/>
        <v>67.7</v>
      </c>
      <c r="K82" s="312">
        <f t="shared" si="30"/>
        <v>16.8</v>
      </c>
      <c r="L82" s="312">
        <f t="shared" si="30"/>
        <v>67.7</v>
      </c>
      <c r="M82" s="312">
        <f t="shared" si="30"/>
        <v>28.6</v>
      </c>
      <c r="N82" s="312">
        <f t="shared" si="30"/>
        <v>67.7</v>
      </c>
      <c r="O82" s="312">
        <f t="shared" si="30"/>
        <v>22.7</v>
      </c>
      <c r="P82" s="312">
        <f t="shared" si="30"/>
        <v>67.7</v>
      </c>
      <c r="Q82" s="312">
        <f t="shared" si="30"/>
        <v>16.8</v>
      </c>
      <c r="R82" s="312">
        <f t="shared" si="30"/>
        <v>67.7</v>
      </c>
      <c r="S82" s="312">
        <f t="shared" si="30"/>
        <v>28.6</v>
      </c>
      <c r="T82" s="312">
        <f t="shared" si="30"/>
        <v>67.7</v>
      </c>
      <c r="U82" s="312">
        <f t="shared" si="30"/>
        <v>16.8</v>
      </c>
      <c r="V82" s="312">
        <f t="shared" si="30"/>
        <v>67.7</v>
      </c>
      <c r="W82" s="312">
        <f t="shared" si="30"/>
        <v>0</v>
      </c>
      <c r="X82" s="312">
        <f t="shared" si="30"/>
        <v>67.7</v>
      </c>
      <c r="Y82" s="312">
        <f t="shared" si="30"/>
        <v>0</v>
      </c>
      <c r="Z82" s="312">
        <f t="shared" si="30"/>
        <v>67.7</v>
      </c>
      <c r="AA82" s="312">
        <f t="shared" si="30"/>
        <v>0</v>
      </c>
      <c r="AB82" s="312">
        <f t="shared" si="30"/>
        <v>67.7</v>
      </c>
      <c r="AC82" s="312">
        <f t="shared" si="30"/>
        <v>0</v>
      </c>
      <c r="AD82" s="312">
        <f t="shared" si="30"/>
        <v>67.8</v>
      </c>
      <c r="AE82" s="312">
        <f t="shared" si="30"/>
        <v>0</v>
      </c>
      <c r="AF82" s="1254" t="s">
        <v>478</v>
      </c>
    </row>
    <row r="83" spans="1:32" ht="42" customHeight="1" x14ac:dyDescent="0.25">
      <c r="A83" s="311" t="s">
        <v>32</v>
      </c>
      <c r="B83" s="313"/>
      <c r="C83" s="312"/>
      <c r="D83" s="313"/>
      <c r="E83" s="313"/>
      <c r="F83" s="313"/>
      <c r="G83" s="313"/>
      <c r="H83" s="312"/>
      <c r="I83" s="312"/>
      <c r="J83" s="312"/>
      <c r="K83" s="312"/>
      <c r="L83" s="312"/>
      <c r="M83" s="312"/>
      <c r="N83" s="312"/>
      <c r="O83" s="312"/>
      <c r="P83" s="312"/>
      <c r="Q83" s="312"/>
      <c r="R83" s="312"/>
      <c r="S83" s="312"/>
      <c r="T83" s="312"/>
      <c r="U83" s="312"/>
      <c r="V83" s="312"/>
      <c r="W83" s="312"/>
      <c r="X83" s="312"/>
      <c r="Y83" s="312"/>
      <c r="Z83" s="312"/>
      <c r="AA83" s="312"/>
      <c r="AB83" s="312"/>
      <c r="AC83" s="312"/>
      <c r="AD83" s="312"/>
      <c r="AE83" s="312"/>
      <c r="AF83" s="1242"/>
    </row>
    <row r="84" spans="1:32" ht="34.5" customHeight="1" x14ac:dyDescent="0.25">
      <c r="A84" s="311" t="s">
        <v>33</v>
      </c>
      <c r="B84" s="313">
        <f>H84+J84+L84+N84+P84+R84+T84+V84+X84+Z84+AB84+AD84</f>
        <v>767.6</v>
      </c>
      <c r="C84" s="312">
        <f>H84+J84+L84+N84+P84+R84</f>
        <v>361.29999999999995</v>
      </c>
      <c r="D84" s="313">
        <f>E84</f>
        <v>153.10000000000002</v>
      </c>
      <c r="E84" s="313">
        <f>I84+K84+M84+O84+Q84+S84+U84+W84+Y84+AA84+AC84+AE84</f>
        <v>153.10000000000002</v>
      </c>
      <c r="F84" s="313">
        <f>IFERROR(E84/B84*100,0)</f>
        <v>19.945284002084421</v>
      </c>
      <c r="G84" s="313">
        <f>IFERROR(E84/C84*100,0)</f>
        <v>42.374757818987</v>
      </c>
      <c r="H84" s="312">
        <v>22.8</v>
      </c>
      <c r="I84" s="312">
        <v>22.8</v>
      </c>
      <c r="J84" s="312">
        <v>67.7</v>
      </c>
      <c r="K84" s="312">
        <v>16.8</v>
      </c>
      <c r="L84" s="312">
        <v>67.7</v>
      </c>
      <c r="M84" s="312">
        <v>28.6</v>
      </c>
      <c r="N84" s="312">
        <v>67.7</v>
      </c>
      <c r="O84" s="312">
        <v>22.7</v>
      </c>
      <c r="P84" s="312">
        <v>67.7</v>
      </c>
      <c r="Q84" s="312">
        <v>16.8</v>
      </c>
      <c r="R84" s="312">
        <v>67.7</v>
      </c>
      <c r="S84" s="312">
        <v>28.6</v>
      </c>
      <c r="T84" s="312">
        <v>67.7</v>
      </c>
      <c r="U84" s="312">
        <v>16.8</v>
      </c>
      <c r="V84" s="312">
        <v>67.7</v>
      </c>
      <c r="W84" s="312"/>
      <c r="X84" s="312">
        <v>67.7</v>
      </c>
      <c r="Y84" s="312"/>
      <c r="Z84" s="312">
        <v>67.7</v>
      </c>
      <c r="AA84" s="312"/>
      <c r="AB84" s="312">
        <v>67.7</v>
      </c>
      <c r="AC84" s="312"/>
      <c r="AD84" s="312">
        <v>67.8</v>
      </c>
      <c r="AE84" s="312"/>
      <c r="AF84" s="1242"/>
    </row>
    <row r="85" spans="1:32" ht="45" customHeight="1" x14ac:dyDescent="0.25">
      <c r="A85" s="325" t="s">
        <v>174</v>
      </c>
      <c r="B85" s="313"/>
      <c r="C85" s="312"/>
      <c r="D85" s="313"/>
      <c r="E85" s="313"/>
      <c r="F85" s="313"/>
      <c r="G85" s="313"/>
      <c r="H85" s="312"/>
      <c r="I85" s="312"/>
      <c r="J85" s="312"/>
      <c r="K85" s="312"/>
      <c r="L85" s="312"/>
      <c r="M85" s="312"/>
      <c r="N85" s="312"/>
      <c r="O85" s="312"/>
      <c r="P85" s="312"/>
      <c r="Q85" s="312"/>
      <c r="R85" s="312"/>
      <c r="S85" s="312"/>
      <c r="T85" s="312"/>
      <c r="U85" s="312"/>
      <c r="V85" s="312"/>
      <c r="W85" s="312"/>
      <c r="X85" s="312"/>
      <c r="Y85" s="312"/>
      <c r="Z85" s="312"/>
      <c r="AA85" s="312"/>
      <c r="AB85" s="312"/>
      <c r="AC85" s="312"/>
      <c r="AD85" s="312"/>
      <c r="AE85" s="312"/>
      <c r="AF85" s="1242"/>
    </row>
    <row r="86" spans="1:32" x14ac:dyDescent="0.25">
      <c r="A86" s="311" t="s">
        <v>374</v>
      </c>
      <c r="B86" s="313"/>
      <c r="C86" s="312"/>
      <c r="D86" s="313"/>
      <c r="E86" s="313"/>
      <c r="F86" s="313"/>
      <c r="G86" s="313"/>
      <c r="H86" s="312"/>
      <c r="I86" s="312"/>
      <c r="J86" s="312"/>
      <c r="K86" s="312"/>
      <c r="L86" s="312"/>
      <c r="M86" s="312"/>
      <c r="N86" s="312"/>
      <c r="O86" s="312"/>
      <c r="P86" s="312"/>
      <c r="Q86" s="312"/>
      <c r="R86" s="312"/>
      <c r="S86" s="312"/>
      <c r="T86" s="312"/>
      <c r="U86" s="312"/>
      <c r="V86" s="312"/>
      <c r="W86" s="312"/>
      <c r="X86" s="312"/>
      <c r="Y86" s="312"/>
      <c r="Z86" s="312"/>
      <c r="AA86" s="312"/>
      <c r="AB86" s="312"/>
      <c r="AC86" s="312"/>
      <c r="AD86" s="312"/>
      <c r="AE86" s="312"/>
      <c r="AF86" s="1251"/>
    </row>
    <row r="87" spans="1:32" x14ac:dyDescent="0.25">
      <c r="A87" s="1268" t="s">
        <v>411</v>
      </c>
      <c r="B87" s="1269"/>
      <c r="C87" s="1269"/>
      <c r="D87" s="1269"/>
      <c r="E87" s="1269"/>
      <c r="F87" s="1269"/>
      <c r="G87" s="1269"/>
      <c r="H87" s="1269"/>
      <c r="I87" s="1269"/>
      <c r="J87" s="1269"/>
      <c r="K87" s="1269"/>
      <c r="L87" s="1269"/>
      <c r="M87" s="1269"/>
      <c r="N87" s="1269"/>
      <c r="O87" s="1269"/>
      <c r="P87" s="1269"/>
      <c r="Q87" s="1269"/>
      <c r="R87" s="1269"/>
      <c r="S87" s="1269"/>
      <c r="T87" s="1269"/>
      <c r="U87" s="1269"/>
      <c r="V87" s="1269"/>
      <c r="W87" s="1269"/>
      <c r="X87" s="1269"/>
      <c r="Y87" s="1269"/>
      <c r="Z87" s="1269"/>
      <c r="AA87" s="1269"/>
      <c r="AB87" s="1269"/>
      <c r="AC87" s="1269"/>
      <c r="AD87" s="1269"/>
      <c r="AE87" s="1270"/>
      <c r="AF87" s="329"/>
    </row>
    <row r="88" spans="1:32" x14ac:dyDescent="0.25">
      <c r="A88" s="311" t="s">
        <v>31</v>
      </c>
      <c r="B88" s="327">
        <f>B89+B90+B92</f>
        <v>7140.6</v>
      </c>
      <c r="C88" s="327">
        <f>C89+C90+C92</f>
        <v>275</v>
      </c>
      <c r="D88" s="327">
        <f>D89+D90+D92</f>
        <v>275</v>
      </c>
      <c r="E88" s="313">
        <f>E89+E90+E92</f>
        <v>275</v>
      </c>
      <c r="F88" s="313">
        <f>F90</f>
        <v>3.8512169845671229</v>
      </c>
      <c r="G88" s="313">
        <f>G90</f>
        <v>100</v>
      </c>
      <c r="H88" s="312">
        <f>H89+H90+H92</f>
        <v>0</v>
      </c>
      <c r="I88" s="312">
        <f t="shared" ref="I88:AE88" si="31">I89+I90+I92</f>
        <v>0</v>
      </c>
      <c r="J88" s="312">
        <f t="shared" si="31"/>
        <v>0</v>
      </c>
      <c r="K88" s="312">
        <f t="shared" si="31"/>
        <v>0</v>
      </c>
      <c r="L88" s="312">
        <f t="shared" si="31"/>
        <v>0</v>
      </c>
      <c r="M88" s="312">
        <f t="shared" si="31"/>
        <v>0</v>
      </c>
      <c r="N88" s="312">
        <f t="shared" si="31"/>
        <v>0</v>
      </c>
      <c r="O88" s="312">
        <f t="shared" si="31"/>
        <v>0</v>
      </c>
      <c r="P88" s="312">
        <f t="shared" si="31"/>
        <v>0</v>
      </c>
      <c r="Q88" s="312">
        <f t="shared" si="31"/>
        <v>0</v>
      </c>
      <c r="R88" s="312">
        <f t="shared" si="31"/>
        <v>0</v>
      </c>
      <c r="S88" s="312">
        <f t="shared" si="31"/>
        <v>0</v>
      </c>
      <c r="T88" s="312">
        <f t="shared" si="31"/>
        <v>275</v>
      </c>
      <c r="U88" s="312">
        <f t="shared" si="31"/>
        <v>275</v>
      </c>
      <c r="V88" s="312">
        <f t="shared" si="31"/>
        <v>0</v>
      </c>
      <c r="W88" s="312">
        <f t="shared" si="31"/>
        <v>0</v>
      </c>
      <c r="X88" s="312">
        <f t="shared" si="31"/>
        <v>0</v>
      </c>
      <c r="Y88" s="312">
        <f t="shared" si="31"/>
        <v>0</v>
      </c>
      <c r="Z88" s="312">
        <f t="shared" si="31"/>
        <v>6865.6</v>
      </c>
      <c r="AA88" s="312">
        <f t="shared" si="31"/>
        <v>0</v>
      </c>
      <c r="AB88" s="312">
        <f t="shared" si="31"/>
        <v>0</v>
      </c>
      <c r="AC88" s="312">
        <f t="shared" si="31"/>
        <v>0</v>
      </c>
      <c r="AD88" s="312">
        <f t="shared" si="31"/>
        <v>0</v>
      </c>
      <c r="AE88" s="312">
        <f t="shared" si="31"/>
        <v>0</v>
      </c>
      <c r="AF88" s="1272" t="s">
        <v>551</v>
      </c>
    </row>
    <row r="89" spans="1:32" ht="57" customHeight="1" x14ac:dyDescent="0.25">
      <c r="A89" s="311" t="s">
        <v>32</v>
      </c>
      <c r="B89" s="313"/>
      <c r="C89" s="312"/>
      <c r="D89" s="313"/>
      <c r="E89" s="313"/>
      <c r="F89" s="321"/>
      <c r="G89" s="321"/>
      <c r="H89" s="312"/>
      <c r="I89" s="312"/>
      <c r="J89" s="312"/>
      <c r="K89" s="312"/>
      <c r="L89" s="312"/>
      <c r="M89" s="312"/>
      <c r="N89" s="312"/>
      <c r="O89" s="312"/>
      <c r="P89" s="312"/>
      <c r="Q89" s="312"/>
      <c r="R89" s="312"/>
      <c r="S89" s="312"/>
      <c r="T89" s="312"/>
      <c r="U89" s="312"/>
      <c r="V89" s="312"/>
      <c r="W89" s="312"/>
      <c r="X89" s="312"/>
      <c r="Y89" s="312"/>
      <c r="Z89" s="312"/>
      <c r="AA89" s="312"/>
      <c r="AB89" s="312"/>
      <c r="AC89" s="312"/>
      <c r="AD89" s="312"/>
      <c r="AE89" s="312"/>
      <c r="AF89" s="1252"/>
    </row>
    <row r="90" spans="1:32" ht="81.75" customHeight="1" x14ac:dyDescent="0.25">
      <c r="A90" s="639" t="s">
        <v>33</v>
      </c>
      <c r="B90" s="313">
        <f>H90+J90+L90+N90+P90+R90+T90+V90+X90+Z90+AB90+AD90</f>
        <v>7140.6</v>
      </c>
      <c r="C90" s="312">
        <f>H90+J90+L90+N90+P90+R90+T90</f>
        <v>275</v>
      </c>
      <c r="D90" s="313">
        <f>E90</f>
        <v>275</v>
      </c>
      <c r="E90" s="313">
        <f>I90+K90+M90+O90+Q90+S90+U90+W90+Y90+AA90+AC90+AE90</f>
        <v>275</v>
      </c>
      <c r="F90" s="321">
        <f>IFERROR(E90/B90%,0)</f>
        <v>3.8512169845671229</v>
      </c>
      <c r="G90" s="321">
        <f>IFERROR(E90/C90%,0)</f>
        <v>100</v>
      </c>
      <c r="H90" s="312"/>
      <c r="I90" s="312"/>
      <c r="J90" s="312"/>
      <c r="K90" s="312"/>
      <c r="L90" s="312"/>
      <c r="M90" s="312"/>
      <c r="N90" s="312"/>
      <c r="O90" s="312"/>
      <c r="P90" s="312"/>
      <c r="Q90" s="312"/>
      <c r="R90" s="312"/>
      <c r="S90" s="312"/>
      <c r="T90" s="312">
        <v>275</v>
      </c>
      <c r="U90" s="312">
        <v>275</v>
      </c>
      <c r="V90" s="312"/>
      <c r="W90" s="312"/>
      <c r="X90" s="312"/>
      <c r="Y90" s="312"/>
      <c r="Z90" s="312">
        <v>6865.6</v>
      </c>
      <c r="AA90" s="312"/>
      <c r="AB90" s="312"/>
      <c r="AC90" s="312"/>
      <c r="AD90" s="312"/>
      <c r="AE90" s="312"/>
      <c r="AF90" s="1252"/>
    </row>
    <row r="91" spans="1:32" ht="100.5" customHeight="1" x14ac:dyDescent="0.25">
      <c r="A91" s="325" t="s">
        <v>174</v>
      </c>
      <c r="B91" s="313"/>
      <c r="C91" s="312"/>
      <c r="D91" s="313"/>
      <c r="E91" s="313"/>
      <c r="F91" s="321"/>
      <c r="G91" s="321"/>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1252"/>
    </row>
    <row r="92" spans="1:32" x14ac:dyDescent="0.25">
      <c r="A92" s="311" t="s">
        <v>374</v>
      </c>
      <c r="B92" s="313"/>
      <c r="C92" s="312"/>
      <c r="D92" s="313"/>
      <c r="E92" s="313"/>
      <c r="F92" s="321"/>
      <c r="G92" s="321"/>
      <c r="H92" s="312"/>
      <c r="I92" s="312"/>
      <c r="J92" s="312"/>
      <c r="K92" s="312"/>
      <c r="L92" s="312"/>
      <c r="M92" s="312"/>
      <c r="N92" s="312"/>
      <c r="O92" s="312"/>
      <c r="P92" s="312"/>
      <c r="Q92" s="312"/>
      <c r="R92" s="312"/>
      <c r="S92" s="312"/>
      <c r="T92" s="312"/>
      <c r="U92" s="312"/>
      <c r="V92" s="312"/>
      <c r="W92" s="312"/>
      <c r="X92" s="312"/>
      <c r="Y92" s="312"/>
      <c r="Z92" s="312"/>
      <c r="AA92" s="312"/>
      <c r="AB92" s="312"/>
      <c r="AC92" s="312"/>
      <c r="AD92" s="312"/>
      <c r="AE92" s="312"/>
      <c r="AF92" s="1273"/>
    </row>
    <row r="93" spans="1:32" x14ac:dyDescent="0.25">
      <c r="A93" s="1268" t="s">
        <v>479</v>
      </c>
      <c r="B93" s="1269"/>
      <c r="C93" s="1269"/>
      <c r="D93" s="1269"/>
      <c r="E93" s="1269"/>
      <c r="F93" s="1269"/>
      <c r="G93" s="1269"/>
      <c r="H93" s="1269"/>
      <c r="I93" s="1269"/>
      <c r="J93" s="1269"/>
      <c r="K93" s="1269"/>
      <c r="L93" s="1269"/>
      <c r="M93" s="1269"/>
      <c r="N93" s="1269"/>
      <c r="O93" s="1269"/>
      <c r="P93" s="1269"/>
      <c r="Q93" s="1269"/>
      <c r="R93" s="1269"/>
      <c r="S93" s="1269"/>
      <c r="T93" s="1269"/>
      <c r="U93" s="1269"/>
      <c r="V93" s="1269"/>
      <c r="W93" s="1269"/>
      <c r="X93" s="1269"/>
      <c r="Y93" s="1269"/>
      <c r="Z93" s="1269"/>
      <c r="AA93" s="1269"/>
      <c r="AB93" s="1269"/>
      <c r="AC93" s="1269"/>
      <c r="AD93" s="1269"/>
      <c r="AE93" s="1270"/>
      <c r="AF93" s="330"/>
    </row>
    <row r="94" spans="1:32" x14ac:dyDescent="0.25">
      <c r="A94" s="311" t="s">
        <v>31</v>
      </c>
      <c r="B94" s="327">
        <f>B95+B96+B98</f>
        <v>500</v>
      </c>
      <c r="C94" s="327">
        <f>C95+C96+C98</f>
        <v>0</v>
      </c>
      <c r="D94" s="327">
        <f>D95+D96+D98</f>
        <v>0</v>
      </c>
      <c r="E94" s="313">
        <f>E95+E96+E98</f>
        <v>0</v>
      </c>
      <c r="F94" s="313">
        <f>F96</f>
        <v>0</v>
      </c>
      <c r="G94" s="313">
        <f>G96</f>
        <v>0</v>
      </c>
      <c r="H94" s="312">
        <f>H95+H96+H98</f>
        <v>0</v>
      </c>
      <c r="I94" s="312">
        <f t="shared" ref="I94:AE94" si="32">I95+I96+I98</f>
        <v>0</v>
      </c>
      <c r="J94" s="312">
        <f t="shared" si="32"/>
        <v>0</v>
      </c>
      <c r="K94" s="312">
        <f t="shared" si="32"/>
        <v>0</v>
      </c>
      <c r="L94" s="312">
        <f t="shared" si="32"/>
        <v>0</v>
      </c>
      <c r="M94" s="312">
        <f t="shared" si="32"/>
        <v>0</v>
      </c>
      <c r="N94" s="312">
        <f t="shared" si="32"/>
        <v>0</v>
      </c>
      <c r="O94" s="312">
        <f t="shared" si="32"/>
        <v>0</v>
      </c>
      <c r="P94" s="312">
        <f t="shared" si="32"/>
        <v>0</v>
      </c>
      <c r="Q94" s="312">
        <f t="shared" si="32"/>
        <v>0</v>
      </c>
      <c r="R94" s="312">
        <f t="shared" si="32"/>
        <v>0</v>
      </c>
      <c r="S94" s="312">
        <f t="shared" si="32"/>
        <v>0</v>
      </c>
      <c r="T94" s="312">
        <f t="shared" si="32"/>
        <v>0</v>
      </c>
      <c r="U94" s="312">
        <f t="shared" si="32"/>
        <v>0</v>
      </c>
      <c r="V94" s="312">
        <f t="shared" si="32"/>
        <v>0</v>
      </c>
      <c r="W94" s="312">
        <f t="shared" si="32"/>
        <v>0</v>
      </c>
      <c r="X94" s="312">
        <f t="shared" si="32"/>
        <v>0</v>
      </c>
      <c r="Y94" s="312">
        <f t="shared" si="32"/>
        <v>0</v>
      </c>
      <c r="Z94" s="312">
        <f t="shared" si="32"/>
        <v>500</v>
      </c>
      <c r="AA94" s="312">
        <f t="shared" si="32"/>
        <v>0</v>
      </c>
      <c r="AB94" s="312">
        <f t="shared" si="32"/>
        <v>0</v>
      </c>
      <c r="AC94" s="312">
        <f t="shared" si="32"/>
        <v>0</v>
      </c>
      <c r="AD94" s="312">
        <f t="shared" si="32"/>
        <v>0</v>
      </c>
      <c r="AE94" s="312">
        <f t="shared" si="32"/>
        <v>0</v>
      </c>
      <c r="AF94" s="1252" t="s">
        <v>531</v>
      </c>
    </row>
    <row r="95" spans="1:32" x14ac:dyDescent="0.25">
      <c r="A95" s="311" t="s">
        <v>32</v>
      </c>
      <c r="B95" s="313"/>
      <c r="C95" s="312"/>
      <c r="D95" s="313"/>
      <c r="E95" s="313"/>
      <c r="F95" s="321"/>
      <c r="G95" s="321"/>
      <c r="H95" s="312"/>
      <c r="I95" s="312"/>
      <c r="J95" s="312"/>
      <c r="K95" s="312"/>
      <c r="L95" s="312"/>
      <c r="M95" s="312"/>
      <c r="N95" s="312"/>
      <c r="O95" s="312"/>
      <c r="P95" s="312"/>
      <c r="Q95" s="312"/>
      <c r="R95" s="312"/>
      <c r="S95" s="312"/>
      <c r="T95" s="312"/>
      <c r="U95" s="312"/>
      <c r="V95" s="312"/>
      <c r="W95" s="312"/>
      <c r="X95" s="312"/>
      <c r="Y95" s="312"/>
      <c r="Z95" s="312"/>
      <c r="AA95" s="312"/>
      <c r="AB95" s="312"/>
      <c r="AC95" s="312"/>
      <c r="AD95" s="312"/>
      <c r="AE95" s="312"/>
      <c r="AF95" s="1252"/>
    </row>
    <row r="96" spans="1:32" x14ac:dyDescent="0.25">
      <c r="A96" s="311" t="s">
        <v>33</v>
      </c>
      <c r="B96" s="313">
        <f>H96+J96+L96+N96+P96+R96+T96+V96+X96+Z96+AB96+AD96</f>
        <v>500</v>
      </c>
      <c r="C96" s="312">
        <f>H96+J96+L96+N96+P96+R96+T96</f>
        <v>0</v>
      </c>
      <c r="D96" s="313">
        <f>E96</f>
        <v>0</v>
      </c>
      <c r="E96" s="313">
        <f>I96+K96+M96+O96+Q96+S96+U96+W96+Y96+AA96+AC96+AE96</f>
        <v>0</v>
      </c>
      <c r="F96" s="321">
        <f>IFERROR(E96/B96%,0)</f>
        <v>0</v>
      </c>
      <c r="G96" s="321">
        <f>IFERROR(E96/C96%,0)</f>
        <v>0</v>
      </c>
      <c r="H96" s="312"/>
      <c r="I96" s="312"/>
      <c r="J96" s="312"/>
      <c r="K96" s="312"/>
      <c r="L96" s="312"/>
      <c r="M96" s="312"/>
      <c r="N96" s="312"/>
      <c r="O96" s="312"/>
      <c r="P96" s="312"/>
      <c r="Q96" s="312"/>
      <c r="R96" s="312"/>
      <c r="S96" s="312"/>
      <c r="T96" s="312"/>
      <c r="U96" s="312"/>
      <c r="V96" s="312"/>
      <c r="W96" s="312"/>
      <c r="X96" s="312"/>
      <c r="Y96" s="312"/>
      <c r="Z96" s="312">
        <v>500</v>
      </c>
      <c r="AA96" s="312"/>
      <c r="AB96" s="312"/>
      <c r="AC96" s="312"/>
      <c r="AD96" s="312"/>
      <c r="AE96" s="312"/>
      <c r="AF96" s="1252"/>
    </row>
    <row r="97" spans="1:32" ht="31.5" x14ac:dyDescent="0.25">
      <c r="A97" s="325" t="s">
        <v>174</v>
      </c>
      <c r="B97" s="313"/>
      <c r="C97" s="312"/>
      <c r="D97" s="313"/>
      <c r="E97" s="313"/>
      <c r="F97" s="321"/>
      <c r="G97" s="321"/>
      <c r="H97" s="312"/>
      <c r="I97" s="312"/>
      <c r="J97" s="312"/>
      <c r="K97" s="312"/>
      <c r="L97" s="312"/>
      <c r="M97" s="312"/>
      <c r="N97" s="312"/>
      <c r="O97" s="312"/>
      <c r="P97" s="312"/>
      <c r="Q97" s="312"/>
      <c r="R97" s="312"/>
      <c r="S97" s="312"/>
      <c r="T97" s="312"/>
      <c r="U97" s="312"/>
      <c r="V97" s="312"/>
      <c r="W97" s="312"/>
      <c r="X97" s="312"/>
      <c r="Y97" s="312"/>
      <c r="Z97" s="312"/>
      <c r="AA97" s="312"/>
      <c r="AB97" s="312"/>
      <c r="AC97" s="312"/>
      <c r="AD97" s="312"/>
      <c r="AE97" s="312"/>
      <c r="AF97" s="1252"/>
    </row>
    <row r="98" spans="1:32" x14ac:dyDescent="0.25">
      <c r="A98" s="311" t="s">
        <v>374</v>
      </c>
      <c r="B98" s="313"/>
      <c r="C98" s="312"/>
      <c r="D98" s="313"/>
      <c r="E98" s="313"/>
      <c r="F98" s="321"/>
      <c r="G98" s="32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1252"/>
    </row>
    <row r="99" spans="1:32" ht="63" x14ac:dyDescent="0.25">
      <c r="A99" s="881" t="s">
        <v>532</v>
      </c>
      <c r="B99" s="766"/>
      <c r="C99" s="767"/>
      <c r="D99" s="766"/>
      <c r="E99" s="766"/>
      <c r="F99" s="768"/>
      <c r="G99" s="768"/>
      <c r="H99" s="767"/>
      <c r="I99" s="767"/>
      <c r="J99" s="767"/>
      <c r="K99" s="767"/>
      <c r="L99" s="767"/>
      <c r="M99" s="767"/>
      <c r="N99" s="767"/>
      <c r="O99" s="767"/>
      <c r="P99" s="767"/>
      <c r="Q99" s="767"/>
      <c r="R99" s="767"/>
      <c r="S99" s="767"/>
      <c r="T99" s="767"/>
      <c r="U99" s="767"/>
      <c r="V99" s="767"/>
      <c r="W99" s="767"/>
      <c r="X99" s="767"/>
      <c r="Y99" s="767"/>
      <c r="Z99" s="767"/>
      <c r="AA99" s="767"/>
      <c r="AB99" s="767"/>
      <c r="AC99" s="767"/>
      <c r="AD99" s="767"/>
      <c r="AE99" s="769"/>
      <c r="AF99" s="765"/>
    </row>
    <row r="100" spans="1:32" x14ac:dyDescent="0.25">
      <c r="A100" s="311" t="s">
        <v>31</v>
      </c>
      <c r="B100" s="327">
        <f>B101+B102+B104</f>
        <v>3446.8599999999997</v>
      </c>
      <c r="C100" s="327">
        <f>C101+C102+C104</f>
        <v>0</v>
      </c>
      <c r="D100" s="327">
        <f>D101+D102+D104</f>
        <v>0</v>
      </c>
      <c r="E100" s="313">
        <f>E101+E102+E104</f>
        <v>0</v>
      </c>
      <c r="F100" s="346">
        <f>F102</f>
        <v>0</v>
      </c>
      <c r="G100" s="346">
        <f>G102</f>
        <v>0</v>
      </c>
      <c r="H100" s="312">
        <f t="shared" ref="H100:AE100" si="33">H101+H102+H104</f>
        <v>0</v>
      </c>
      <c r="I100" s="312">
        <f t="shared" si="33"/>
        <v>0</v>
      </c>
      <c r="J100" s="312">
        <f t="shared" si="33"/>
        <v>0</v>
      </c>
      <c r="K100" s="312">
        <f t="shared" si="33"/>
        <v>0</v>
      </c>
      <c r="L100" s="312">
        <f t="shared" si="33"/>
        <v>0</v>
      </c>
      <c r="M100" s="312">
        <f t="shared" si="33"/>
        <v>0</v>
      </c>
      <c r="N100" s="312">
        <f t="shared" si="33"/>
        <v>0</v>
      </c>
      <c r="O100" s="312">
        <f t="shared" si="33"/>
        <v>0</v>
      </c>
      <c r="P100" s="312">
        <f t="shared" si="33"/>
        <v>0</v>
      </c>
      <c r="Q100" s="312">
        <f t="shared" si="33"/>
        <v>0</v>
      </c>
      <c r="R100" s="312">
        <f t="shared" si="33"/>
        <v>0</v>
      </c>
      <c r="S100" s="312">
        <f t="shared" si="33"/>
        <v>0</v>
      </c>
      <c r="T100" s="312">
        <f t="shared" si="33"/>
        <v>0</v>
      </c>
      <c r="U100" s="312">
        <f t="shared" si="33"/>
        <v>0</v>
      </c>
      <c r="V100" s="312">
        <f t="shared" si="33"/>
        <v>3446.8599999999997</v>
      </c>
      <c r="W100" s="312">
        <f t="shared" si="33"/>
        <v>0</v>
      </c>
      <c r="X100" s="312">
        <f t="shared" si="33"/>
        <v>0</v>
      </c>
      <c r="Y100" s="312">
        <f t="shared" si="33"/>
        <v>0</v>
      </c>
      <c r="Z100" s="312">
        <f t="shared" si="33"/>
        <v>0</v>
      </c>
      <c r="AA100" s="312">
        <f t="shared" si="33"/>
        <v>0</v>
      </c>
      <c r="AB100" s="312">
        <f t="shared" si="33"/>
        <v>0</v>
      </c>
      <c r="AC100" s="312">
        <f t="shared" si="33"/>
        <v>0</v>
      </c>
      <c r="AD100" s="312">
        <f t="shared" si="33"/>
        <v>0</v>
      </c>
      <c r="AE100" s="312">
        <f t="shared" si="33"/>
        <v>0</v>
      </c>
      <c r="AF100" s="770" t="s">
        <v>533</v>
      </c>
    </row>
    <row r="101" spans="1:32" ht="78.75" x14ac:dyDescent="0.25">
      <c r="A101" s="311" t="s">
        <v>32</v>
      </c>
      <c r="B101" s="313"/>
      <c r="C101" s="312"/>
      <c r="D101" s="313"/>
      <c r="E101" s="313"/>
      <c r="F101" s="321"/>
      <c r="G101" s="321"/>
      <c r="H101" s="312"/>
      <c r="I101" s="312"/>
      <c r="J101" s="312"/>
      <c r="K101" s="312"/>
      <c r="L101" s="312"/>
      <c r="M101" s="312"/>
      <c r="N101" s="312"/>
      <c r="O101" s="312"/>
      <c r="P101" s="312"/>
      <c r="Q101" s="312"/>
      <c r="R101" s="312"/>
      <c r="S101" s="312"/>
      <c r="T101" s="312"/>
      <c r="U101" s="312"/>
      <c r="V101" s="312"/>
      <c r="W101" s="312"/>
      <c r="X101" s="312"/>
      <c r="Y101" s="312"/>
      <c r="Z101" s="312"/>
      <c r="AA101" s="312"/>
      <c r="AB101" s="312"/>
      <c r="AC101" s="312"/>
      <c r="AD101" s="312"/>
      <c r="AE101" s="312"/>
      <c r="AF101" s="765" t="s">
        <v>586</v>
      </c>
    </row>
    <row r="102" spans="1:32" x14ac:dyDescent="0.25">
      <c r="A102" s="311" t="s">
        <v>33</v>
      </c>
      <c r="B102" s="313">
        <f>H102+J102+L102+N102+P102+R102+T102+V102+X102+Z102+AB102+AD102</f>
        <v>3446.8599999999997</v>
      </c>
      <c r="C102" s="312">
        <f>H102+J102+L102+N102+P102+R102+T102</f>
        <v>0</v>
      </c>
      <c r="D102" s="313">
        <f>E102</f>
        <v>0</v>
      </c>
      <c r="E102" s="313">
        <f>I102+K102+M102+O102+Q102+S102+U102+W102+Y102+AA102+AC102+AE102</f>
        <v>0</v>
      </c>
      <c r="F102" s="321">
        <f>IFERROR(E102/B102%,0)</f>
        <v>0</v>
      </c>
      <c r="G102" s="321">
        <f>IFERROR(E102/C102%,0)</f>
        <v>0</v>
      </c>
      <c r="H102" s="312"/>
      <c r="I102" s="312"/>
      <c r="J102" s="312"/>
      <c r="K102" s="312"/>
      <c r="L102" s="312"/>
      <c r="M102" s="312"/>
      <c r="N102" s="312"/>
      <c r="O102" s="312"/>
      <c r="P102" s="312"/>
      <c r="Q102" s="312"/>
      <c r="R102" s="312"/>
      <c r="S102" s="312"/>
      <c r="T102" s="312"/>
      <c r="U102" s="312"/>
      <c r="V102" s="312">
        <f>2333.75+1113.11</f>
        <v>3446.8599999999997</v>
      </c>
      <c r="W102" s="312"/>
      <c r="X102" s="312"/>
      <c r="Y102" s="312"/>
      <c r="Z102" s="312"/>
      <c r="AA102" s="312"/>
      <c r="AB102" s="312"/>
      <c r="AC102" s="312"/>
      <c r="AD102" s="312"/>
      <c r="AE102" s="312"/>
      <c r="AF102" s="765"/>
    </row>
    <row r="103" spans="1:32" ht="31.5" x14ac:dyDescent="0.25">
      <c r="A103" s="325" t="s">
        <v>174</v>
      </c>
      <c r="B103" s="313"/>
      <c r="C103" s="312"/>
      <c r="D103" s="313"/>
      <c r="E103" s="313"/>
      <c r="F103" s="321"/>
      <c r="G103" s="321"/>
      <c r="H103" s="312"/>
      <c r="I103" s="312"/>
      <c r="J103" s="312"/>
      <c r="K103" s="312"/>
      <c r="L103" s="312"/>
      <c r="M103" s="312"/>
      <c r="N103" s="312"/>
      <c r="O103" s="312"/>
      <c r="P103" s="312"/>
      <c r="Q103" s="312"/>
      <c r="R103" s="312"/>
      <c r="S103" s="312"/>
      <c r="T103" s="312"/>
      <c r="U103" s="312"/>
      <c r="V103" s="312"/>
      <c r="W103" s="312"/>
      <c r="X103" s="312"/>
      <c r="Y103" s="312"/>
      <c r="Z103" s="312"/>
      <c r="AA103" s="312"/>
      <c r="AB103" s="312"/>
      <c r="AC103" s="312"/>
      <c r="AD103" s="312"/>
      <c r="AE103" s="312"/>
      <c r="AF103" s="765"/>
    </row>
    <row r="104" spans="1:32" x14ac:dyDescent="0.25">
      <c r="A104" s="311" t="s">
        <v>374</v>
      </c>
      <c r="B104" s="313"/>
      <c r="C104" s="312"/>
      <c r="D104" s="313"/>
      <c r="E104" s="313"/>
      <c r="F104" s="321"/>
      <c r="G104" s="321"/>
      <c r="H104" s="312"/>
      <c r="I104" s="312"/>
      <c r="J104" s="312"/>
      <c r="K104" s="312"/>
      <c r="L104" s="312"/>
      <c r="M104" s="312"/>
      <c r="N104" s="312"/>
      <c r="O104" s="312"/>
      <c r="P104" s="312"/>
      <c r="Q104" s="312"/>
      <c r="R104" s="312"/>
      <c r="S104" s="312"/>
      <c r="T104" s="312"/>
      <c r="U104" s="312"/>
      <c r="V104" s="312"/>
      <c r="W104" s="312"/>
      <c r="X104" s="312"/>
      <c r="Y104" s="312"/>
      <c r="Z104" s="312"/>
      <c r="AA104" s="312"/>
      <c r="AB104" s="312"/>
      <c r="AC104" s="312"/>
      <c r="AD104" s="312"/>
      <c r="AE104" s="312"/>
      <c r="AF104" s="765"/>
    </row>
    <row r="105" spans="1:32" x14ac:dyDescent="0.25">
      <c r="A105" s="1264" t="s">
        <v>412</v>
      </c>
      <c r="B105" s="1265"/>
      <c r="C105" s="1265"/>
      <c r="D105" s="1265"/>
      <c r="E105" s="1265"/>
      <c r="F105" s="1265"/>
      <c r="G105" s="1265"/>
      <c r="H105" s="1265"/>
      <c r="I105" s="1265"/>
      <c r="J105" s="1265"/>
      <c r="K105" s="1265"/>
      <c r="L105" s="1265"/>
      <c r="M105" s="1265"/>
      <c r="N105" s="1265"/>
      <c r="O105" s="1265"/>
      <c r="P105" s="1265"/>
      <c r="Q105" s="1265"/>
      <c r="R105" s="1265"/>
      <c r="S105" s="1265"/>
      <c r="T105" s="1265"/>
      <c r="U105" s="1265"/>
      <c r="V105" s="1265"/>
      <c r="W105" s="1265"/>
      <c r="X105" s="1265"/>
      <c r="Y105" s="1265"/>
      <c r="Z105" s="1265"/>
      <c r="AA105" s="1265"/>
      <c r="AB105" s="1265"/>
      <c r="AC105" s="1265"/>
      <c r="AD105" s="1265"/>
      <c r="AE105" s="1266"/>
      <c r="AF105" s="330"/>
    </row>
    <row r="106" spans="1:32" x14ac:dyDescent="0.25">
      <c r="A106" s="311" t="s">
        <v>31</v>
      </c>
      <c r="B106" s="327">
        <f>B107+B108+B110</f>
        <v>4262.7</v>
      </c>
      <c r="C106" s="327">
        <f>C107+C108+C110</f>
        <v>0</v>
      </c>
      <c r="D106" s="327">
        <f>D107+D108+D110</f>
        <v>0</v>
      </c>
      <c r="E106" s="313">
        <f>E107+E108+E110</f>
        <v>0</v>
      </c>
      <c r="F106" s="313">
        <f>F108</f>
        <v>0</v>
      </c>
      <c r="G106" s="313">
        <f>G108</f>
        <v>0</v>
      </c>
      <c r="H106" s="312">
        <f>H107+H108+H110</f>
        <v>0</v>
      </c>
      <c r="I106" s="312">
        <f t="shared" ref="I106:AE106" si="34">I107+I108+I110</f>
        <v>0</v>
      </c>
      <c r="J106" s="312">
        <f t="shared" si="34"/>
        <v>0</v>
      </c>
      <c r="K106" s="312">
        <f t="shared" si="34"/>
        <v>0</v>
      </c>
      <c r="L106" s="312">
        <f t="shared" si="34"/>
        <v>0</v>
      </c>
      <c r="M106" s="312">
        <f t="shared" si="34"/>
        <v>0</v>
      </c>
      <c r="N106" s="312">
        <f t="shared" si="34"/>
        <v>0</v>
      </c>
      <c r="O106" s="312">
        <f t="shared" si="34"/>
        <v>0</v>
      </c>
      <c r="P106" s="312">
        <f t="shared" si="34"/>
        <v>0</v>
      </c>
      <c r="Q106" s="312">
        <f t="shared" si="34"/>
        <v>0</v>
      </c>
      <c r="R106" s="312">
        <f t="shared" si="34"/>
        <v>0</v>
      </c>
      <c r="S106" s="312">
        <f t="shared" si="34"/>
        <v>0</v>
      </c>
      <c r="T106" s="312">
        <f t="shared" si="34"/>
        <v>0</v>
      </c>
      <c r="U106" s="312">
        <f t="shared" si="34"/>
        <v>0</v>
      </c>
      <c r="V106" s="312">
        <f t="shared" si="34"/>
        <v>0</v>
      </c>
      <c r="W106" s="312">
        <f t="shared" si="34"/>
        <v>0</v>
      </c>
      <c r="X106" s="312">
        <f t="shared" si="34"/>
        <v>30.5</v>
      </c>
      <c r="Y106" s="312">
        <f t="shared" si="34"/>
        <v>0</v>
      </c>
      <c r="Z106" s="312">
        <f t="shared" si="34"/>
        <v>0</v>
      </c>
      <c r="AA106" s="312">
        <f t="shared" si="34"/>
        <v>0</v>
      </c>
      <c r="AB106" s="312">
        <f t="shared" si="34"/>
        <v>0</v>
      </c>
      <c r="AC106" s="312">
        <f t="shared" si="34"/>
        <v>0</v>
      </c>
      <c r="AD106" s="312">
        <f t="shared" si="34"/>
        <v>4232.2</v>
      </c>
      <c r="AE106" s="312">
        <f t="shared" si="34"/>
        <v>0</v>
      </c>
      <c r="AF106" s="1253"/>
    </row>
    <row r="107" spans="1:32" x14ac:dyDescent="0.25">
      <c r="A107" s="311" t="s">
        <v>32</v>
      </c>
      <c r="B107" s="313"/>
      <c r="C107" s="312"/>
      <c r="D107" s="313"/>
      <c r="E107" s="313"/>
      <c r="F107" s="321"/>
      <c r="G107" s="321"/>
      <c r="H107" s="312"/>
      <c r="I107" s="312"/>
      <c r="J107" s="312"/>
      <c r="K107" s="312"/>
      <c r="L107" s="312"/>
      <c r="M107" s="312"/>
      <c r="N107" s="312"/>
      <c r="O107" s="312"/>
      <c r="P107" s="312"/>
      <c r="Q107" s="312"/>
      <c r="R107" s="312"/>
      <c r="S107" s="312"/>
      <c r="T107" s="312"/>
      <c r="U107" s="312"/>
      <c r="V107" s="312"/>
      <c r="W107" s="312"/>
      <c r="X107" s="312"/>
      <c r="Y107" s="312"/>
      <c r="Z107" s="312"/>
      <c r="AA107" s="312"/>
      <c r="AB107" s="312"/>
      <c r="AC107" s="312"/>
      <c r="AD107" s="312"/>
      <c r="AE107" s="312"/>
      <c r="AF107" s="1253"/>
    </row>
    <row r="108" spans="1:32" x14ac:dyDescent="0.25">
      <c r="A108" s="311" t="s">
        <v>33</v>
      </c>
      <c r="B108" s="313">
        <f>H108+J108+L108+N108+P108+R108+T108+V108+X108+Z108+AB108+AD108</f>
        <v>4262.7</v>
      </c>
      <c r="C108" s="312">
        <f>H108+J108+L108+N108+P108+R108+T108</f>
        <v>0</v>
      </c>
      <c r="D108" s="313">
        <f>E108</f>
        <v>0</v>
      </c>
      <c r="E108" s="313">
        <f>I108+K108+M108+O108+Q108+S108+U108+W108+Y108+AA108+AC108+AE108</f>
        <v>0</v>
      </c>
      <c r="F108" s="321">
        <f>IFERROR(E108/B108%,0)</f>
        <v>0</v>
      </c>
      <c r="G108" s="321">
        <f>IFERROR(E108/C108%,0)</f>
        <v>0</v>
      </c>
      <c r="H108" s="312">
        <f t="shared" ref="H108:W108" si="35">H114</f>
        <v>0</v>
      </c>
      <c r="I108" s="312">
        <f t="shared" si="35"/>
        <v>0</v>
      </c>
      <c r="J108" s="312">
        <f t="shared" si="35"/>
        <v>0</v>
      </c>
      <c r="K108" s="312">
        <f t="shared" si="35"/>
        <v>0</v>
      </c>
      <c r="L108" s="312">
        <f t="shared" si="35"/>
        <v>0</v>
      </c>
      <c r="M108" s="312">
        <f t="shared" si="35"/>
        <v>0</v>
      </c>
      <c r="N108" s="312">
        <f t="shared" si="35"/>
        <v>0</v>
      </c>
      <c r="O108" s="312">
        <f t="shared" si="35"/>
        <v>0</v>
      </c>
      <c r="P108" s="312">
        <f t="shared" si="35"/>
        <v>0</v>
      </c>
      <c r="Q108" s="312">
        <f t="shared" si="35"/>
        <v>0</v>
      </c>
      <c r="R108" s="312">
        <f t="shared" si="35"/>
        <v>0</v>
      </c>
      <c r="S108" s="312">
        <f t="shared" si="35"/>
        <v>0</v>
      </c>
      <c r="T108" s="312">
        <f t="shared" si="35"/>
        <v>0</v>
      </c>
      <c r="U108" s="312">
        <f t="shared" si="35"/>
        <v>0</v>
      </c>
      <c r="V108" s="312">
        <f t="shared" si="35"/>
        <v>0</v>
      </c>
      <c r="W108" s="312">
        <f t="shared" si="35"/>
        <v>0</v>
      </c>
      <c r="X108" s="312">
        <f t="shared" ref="X108:AE108" si="36">X114</f>
        <v>30.5</v>
      </c>
      <c r="Y108" s="312">
        <f t="shared" si="36"/>
        <v>0</v>
      </c>
      <c r="Z108" s="312">
        <f t="shared" si="36"/>
        <v>0</v>
      </c>
      <c r="AA108" s="312">
        <f t="shared" si="36"/>
        <v>0</v>
      </c>
      <c r="AB108" s="312">
        <f t="shared" si="36"/>
        <v>0</v>
      </c>
      <c r="AC108" s="312">
        <f t="shared" si="36"/>
        <v>0</v>
      </c>
      <c r="AD108" s="312">
        <f t="shared" si="36"/>
        <v>4232.2</v>
      </c>
      <c r="AE108" s="312">
        <f t="shared" si="36"/>
        <v>0</v>
      </c>
      <c r="AF108" s="1253"/>
    </row>
    <row r="109" spans="1:32" ht="31.5" x14ac:dyDescent="0.25">
      <c r="A109" s="325" t="s">
        <v>174</v>
      </c>
      <c r="B109" s="313"/>
      <c r="C109" s="312"/>
      <c r="D109" s="313"/>
      <c r="E109" s="313"/>
      <c r="F109" s="321"/>
      <c r="G109" s="321"/>
      <c r="H109" s="312"/>
      <c r="I109" s="312"/>
      <c r="J109" s="312"/>
      <c r="K109" s="312"/>
      <c r="L109" s="312"/>
      <c r="M109" s="312"/>
      <c r="N109" s="312"/>
      <c r="O109" s="312"/>
      <c r="P109" s="312"/>
      <c r="Q109" s="312"/>
      <c r="R109" s="312"/>
      <c r="S109" s="312"/>
      <c r="T109" s="312"/>
      <c r="U109" s="312"/>
      <c r="V109" s="312"/>
      <c r="W109" s="312"/>
      <c r="X109" s="312"/>
      <c r="Y109" s="312"/>
      <c r="Z109" s="312"/>
      <c r="AA109" s="312"/>
      <c r="AB109" s="312"/>
      <c r="AC109" s="312"/>
      <c r="AD109" s="312"/>
      <c r="AE109" s="312"/>
      <c r="AF109" s="1253"/>
    </row>
    <row r="110" spans="1:32" x14ac:dyDescent="0.25">
      <c r="A110" s="311" t="s">
        <v>374</v>
      </c>
      <c r="B110" s="313"/>
      <c r="C110" s="312"/>
      <c r="D110" s="313"/>
      <c r="E110" s="313"/>
      <c r="F110" s="321"/>
      <c r="G110" s="321"/>
      <c r="H110" s="312"/>
      <c r="I110" s="312"/>
      <c r="J110" s="312"/>
      <c r="K110" s="312"/>
      <c r="L110" s="312"/>
      <c r="M110" s="312"/>
      <c r="N110" s="312"/>
      <c r="O110" s="312"/>
      <c r="P110" s="312"/>
      <c r="Q110" s="312"/>
      <c r="R110" s="312"/>
      <c r="S110" s="312"/>
      <c r="T110" s="312"/>
      <c r="U110" s="312"/>
      <c r="V110" s="312"/>
      <c r="W110" s="312"/>
      <c r="X110" s="312"/>
      <c r="Y110" s="312"/>
      <c r="Z110" s="312"/>
      <c r="AA110" s="312"/>
      <c r="AB110" s="312"/>
      <c r="AC110" s="312"/>
      <c r="AD110" s="312"/>
      <c r="AE110" s="312"/>
      <c r="AF110" s="1253"/>
    </row>
    <row r="111" spans="1:32" x14ac:dyDescent="0.25">
      <c r="A111" s="1268" t="s">
        <v>413</v>
      </c>
      <c r="B111" s="1269"/>
      <c r="C111" s="1269"/>
      <c r="D111" s="1269"/>
      <c r="E111" s="1269"/>
      <c r="F111" s="1269"/>
      <c r="G111" s="1269"/>
      <c r="H111" s="1269"/>
      <c r="I111" s="1269"/>
      <c r="J111" s="1269"/>
      <c r="K111" s="1269"/>
      <c r="L111" s="1269"/>
      <c r="M111" s="1269"/>
      <c r="N111" s="1269"/>
      <c r="O111" s="1269"/>
      <c r="P111" s="1269"/>
      <c r="Q111" s="1269"/>
      <c r="R111" s="1269"/>
      <c r="S111" s="1269"/>
      <c r="T111" s="1269"/>
      <c r="U111" s="1269"/>
      <c r="V111" s="1269"/>
      <c r="W111" s="1269"/>
      <c r="X111" s="1269"/>
      <c r="Y111" s="1269"/>
      <c r="Z111" s="1269"/>
      <c r="AA111" s="1269"/>
      <c r="AB111" s="1269"/>
      <c r="AC111" s="1269"/>
      <c r="AD111" s="1269"/>
      <c r="AE111" s="1270"/>
      <c r="AF111" s="330"/>
    </row>
    <row r="112" spans="1:32" x14ac:dyDescent="0.25">
      <c r="A112" s="311" t="s">
        <v>31</v>
      </c>
      <c r="B112" s="327">
        <f>B113+B114+B116</f>
        <v>4262.7</v>
      </c>
      <c r="C112" s="327">
        <f>C113+C114+C116</f>
        <v>0</v>
      </c>
      <c r="D112" s="327">
        <f>D113+D114+D116</f>
        <v>0</v>
      </c>
      <c r="E112" s="327">
        <f>E113+E114+E116</f>
        <v>0</v>
      </c>
      <c r="F112" s="313">
        <f>F114</f>
        <v>0</v>
      </c>
      <c r="G112" s="313">
        <f>G114</f>
        <v>0</v>
      </c>
      <c r="H112" s="312">
        <f>H113+H114+H116</f>
        <v>0</v>
      </c>
      <c r="I112" s="312">
        <f t="shared" ref="I112:AE112" si="37">I113+I114+I116</f>
        <v>0</v>
      </c>
      <c r="J112" s="312">
        <f t="shared" si="37"/>
        <v>0</v>
      </c>
      <c r="K112" s="312">
        <f t="shared" si="37"/>
        <v>0</v>
      </c>
      <c r="L112" s="312">
        <f t="shared" si="37"/>
        <v>0</v>
      </c>
      <c r="M112" s="312">
        <f t="shared" si="37"/>
        <v>0</v>
      </c>
      <c r="N112" s="312">
        <f t="shared" si="37"/>
        <v>0</v>
      </c>
      <c r="O112" s="312">
        <f t="shared" si="37"/>
        <v>0</v>
      </c>
      <c r="P112" s="312">
        <f t="shared" si="37"/>
        <v>0</v>
      </c>
      <c r="Q112" s="312">
        <f t="shared" si="37"/>
        <v>0</v>
      </c>
      <c r="R112" s="312">
        <f t="shared" si="37"/>
        <v>0</v>
      </c>
      <c r="S112" s="312">
        <f t="shared" si="37"/>
        <v>0</v>
      </c>
      <c r="T112" s="312">
        <f t="shared" si="37"/>
        <v>0</v>
      </c>
      <c r="U112" s="312">
        <f t="shared" si="37"/>
        <v>0</v>
      </c>
      <c r="V112" s="312">
        <f t="shared" si="37"/>
        <v>0</v>
      </c>
      <c r="W112" s="312">
        <f t="shared" si="37"/>
        <v>0</v>
      </c>
      <c r="X112" s="312">
        <f t="shared" si="37"/>
        <v>30.5</v>
      </c>
      <c r="Y112" s="312">
        <f t="shared" si="37"/>
        <v>0</v>
      </c>
      <c r="Z112" s="312">
        <f t="shared" si="37"/>
        <v>0</v>
      </c>
      <c r="AA112" s="312">
        <f t="shared" si="37"/>
        <v>0</v>
      </c>
      <c r="AB112" s="312">
        <f t="shared" si="37"/>
        <v>0</v>
      </c>
      <c r="AC112" s="312">
        <f t="shared" si="37"/>
        <v>0</v>
      </c>
      <c r="AD112" s="312">
        <f t="shared" si="37"/>
        <v>4232.2</v>
      </c>
      <c r="AE112" s="312">
        <f t="shared" si="37"/>
        <v>0</v>
      </c>
      <c r="AF112" s="1252" t="s">
        <v>552</v>
      </c>
    </row>
    <row r="113" spans="1:32" x14ac:dyDescent="0.25">
      <c r="A113" s="311" t="s">
        <v>32</v>
      </c>
      <c r="B113" s="313"/>
      <c r="C113" s="312"/>
      <c r="D113" s="313"/>
      <c r="E113" s="313"/>
      <c r="F113" s="321"/>
      <c r="G113" s="321"/>
      <c r="H113" s="312"/>
      <c r="I113" s="312"/>
      <c r="J113" s="312"/>
      <c r="K113" s="312"/>
      <c r="L113" s="312"/>
      <c r="M113" s="312"/>
      <c r="N113" s="312"/>
      <c r="O113" s="312"/>
      <c r="P113" s="312"/>
      <c r="Q113" s="312"/>
      <c r="R113" s="312"/>
      <c r="S113" s="312"/>
      <c r="T113" s="312"/>
      <c r="U113" s="312"/>
      <c r="V113" s="312"/>
      <c r="W113" s="312"/>
      <c r="X113" s="312"/>
      <c r="Y113" s="312"/>
      <c r="Z113" s="312"/>
      <c r="AA113" s="312"/>
      <c r="AB113" s="312"/>
      <c r="AC113" s="312"/>
      <c r="AD113" s="312"/>
      <c r="AE113" s="312"/>
      <c r="AF113" s="1252"/>
    </row>
    <row r="114" spans="1:32" x14ac:dyDescent="0.25">
      <c r="A114" s="311" t="s">
        <v>33</v>
      </c>
      <c r="B114" s="313">
        <f>H114+J114+L114+N114+P114+R114+T114+V114+X114+Z114+AB114+AD114</f>
        <v>4262.7</v>
      </c>
      <c r="C114" s="312">
        <f>H114+J114+L114+N114+P114+R114+T114</f>
        <v>0</v>
      </c>
      <c r="D114" s="313">
        <f>E114</f>
        <v>0</v>
      </c>
      <c r="E114" s="313">
        <f>I114+K114+M114+O114+Q114+S114+U114+W114+Y114+AA114+AC114+AE114</f>
        <v>0</v>
      </c>
      <c r="F114" s="321">
        <f>IFERROR(E114/B114%,0)</f>
        <v>0</v>
      </c>
      <c r="G114" s="321">
        <f>IFERROR(E114/C114%,0)</f>
        <v>0</v>
      </c>
      <c r="H114" s="312"/>
      <c r="I114" s="312"/>
      <c r="J114" s="312"/>
      <c r="K114" s="312"/>
      <c r="L114" s="312"/>
      <c r="M114" s="312"/>
      <c r="N114" s="312"/>
      <c r="O114" s="312"/>
      <c r="P114" s="312"/>
      <c r="Q114" s="312"/>
      <c r="R114" s="312"/>
      <c r="S114" s="312"/>
      <c r="T114" s="312"/>
      <c r="U114" s="312"/>
      <c r="V114" s="312"/>
      <c r="W114" s="312"/>
      <c r="X114" s="312">
        <v>30.5</v>
      </c>
      <c r="Y114" s="312"/>
      <c r="Z114" s="312"/>
      <c r="AA114" s="312"/>
      <c r="AB114" s="312"/>
      <c r="AC114" s="312"/>
      <c r="AD114" s="312">
        <v>4232.2</v>
      </c>
      <c r="AE114" s="312"/>
      <c r="AF114" s="1252"/>
    </row>
    <row r="115" spans="1:32" ht="31.5" x14ac:dyDescent="0.25">
      <c r="A115" s="325" t="s">
        <v>174</v>
      </c>
      <c r="B115" s="313"/>
      <c r="C115" s="312"/>
      <c r="D115" s="313"/>
      <c r="E115" s="313"/>
      <c r="F115" s="321"/>
      <c r="G115" s="321"/>
      <c r="H115" s="312"/>
      <c r="I115" s="312"/>
      <c r="J115" s="312"/>
      <c r="K115" s="312"/>
      <c r="L115" s="312"/>
      <c r="M115" s="312"/>
      <c r="N115" s="312"/>
      <c r="O115" s="312"/>
      <c r="P115" s="312"/>
      <c r="Q115" s="312"/>
      <c r="R115" s="312"/>
      <c r="S115" s="312"/>
      <c r="T115" s="312"/>
      <c r="U115" s="312"/>
      <c r="V115" s="312"/>
      <c r="W115" s="312"/>
      <c r="X115" s="312"/>
      <c r="Y115" s="312"/>
      <c r="Z115" s="312"/>
      <c r="AA115" s="312"/>
      <c r="AB115" s="312"/>
      <c r="AC115" s="312"/>
      <c r="AD115" s="312"/>
      <c r="AE115" s="312"/>
      <c r="AF115" s="1252"/>
    </row>
    <row r="116" spans="1:32" x14ac:dyDescent="0.25">
      <c r="A116" s="311" t="s">
        <v>374</v>
      </c>
      <c r="B116" s="313"/>
      <c r="C116" s="312"/>
      <c r="D116" s="313"/>
      <c r="E116" s="313"/>
      <c r="F116" s="321"/>
      <c r="G116" s="321"/>
      <c r="H116" s="312"/>
      <c r="I116" s="312"/>
      <c r="J116" s="312"/>
      <c r="K116" s="312"/>
      <c r="L116" s="312"/>
      <c r="M116" s="312"/>
      <c r="N116" s="312"/>
      <c r="O116" s="312"/>
      <c r="P116" s="312"/>
      <c r="Q116" s="312"/>
      <c r="R116" s="312"/>
      <c r="S116" s="312"/>
      <c r="T116" s="312"/>
      <c r="U116" s="312"/>
      <c r="V116" s="312"/>
      <c r="W116" s="312"/>
      <c r="X116" s="312"/>
      <c r="Y116" s="312"/>
      <c r="Z116" s="312"/>
      <c r="AA116" s="312"/>
      <c r="AB116" s="312"/>
      <c r="AC116" s="312"/>
      <c r="AD116" s="312"/>
      <c r="AE116" s="312"/>
      <c r="AF116" s="1252"/>
    </row>
    <row r="117" spans="1:32" x14ac:dyDescent="0.25">
      <c r="A117" s="314" t="s">
        <v>35</v>
      </c>
      <c r="B117" s="610">
        <f>B118+B119+B121</f>
        <v>851308.73900000006</v>
      </c>
      <c r="C117" s="610">
        <f>C118+C119+C121</f>
        <v>84521.479000000021</v>
      </c>
      <c r="D117" s="610">
        <f>D118+D119+D121</f>
        <v>147790.96000000002</v>
      </c>
      <c r="E117" s="610">
        <f>E118+E119+E121</f>
        <v>147790.96000000002</v>
      </c>
      <c r="F117" s="610">
        <f>E117/B117*100</f>
        <v>17.360442014680178</v>
      </c>
      <c r="G117" s="610">
        <f>E117/C117*100</f>
        <v>174.85609782100477</v>
      </c>
      <c r="H117" s="610">
        <f>H118+H119+H121</f>
        <v>33912.783000000003</v>
      </c>
      <c r="I117" s="610">
        <f t="shared" ref="I117:AE117" si="38">I118+I119+I121</f>
        <v>17885.599999999999</v>
      </c>
      <c r="J117" s="610">
        <f t="shared" si="38"/>
        <v>27118.280000000002</v>
      </c>
      <c r="K117" s="610">
        <f t="shared" si="38"/>
        <v>30278.300000000003</v>
      </c>
      <c r="L117" s="610">
        <f t="shared" si="38"/>
        <v>23490.416000000005</v>
      </c>
      <c r="M117" s="610">
        <f t="shared" si="38"/>
        <v>19182.32</v>
      </c>
      <c r="N117" s="610">
        <f t="shared" si="38"/>
        <v>28632.109000000004</v>
      </c>
      <c r="O117" s="610">
        <f t="shared" si="38"/>
        <v>20242.2</v>
      </c>
      <c r="P117" s="610">
        <f t="shared" si="38"/>
        <v>18063.654000000002</v>
      </c>
      <c r="Q117" s="610">
        <f t="shared" si="38"/>
        <v>20171.210000000003</v>
      </c>
      <c r="R117" s="610">
        <f t="shared" si="38"/>
        <v>17270.697</v>
      </c>
      <c r="S117" s="610">
        <f t="shared" si="38"/>
        <v>19085.489999999998</v>
      </c>
      <c r="T117" s="610">
        <f t="shared" si="38"/>
        <v>20182.940000000002</v>
      </c>
      <c r="U117" s="610">
        <f t="shared" si="38"/>
        <v>20945.839999999997</v>
      </c>
      <c r="V117" s="610">
        <f t="shared" si="38"/>
        <v>36253.47</v>
      </c>
      <c r="W117" s="610">
        <f t="shared" si="38"/>
        <v>0</v>
      </c>
      <c r="X117" s="610">
        <f t="shared" si="38"/>
        <v>94146.93299999999</v>
      </c>
      <c r="Y117" s="610">
        <f t="shared" si="38"/>
        <v>0</v>
      </c>
      <c r="Z117" s="610">
        <f t="shared" si="38"/>
        <v>439279.1</v>
      </c>
      <c r="AA117" s="610">
        <f t="shared" si="38"/>
        <v>0</v>
      </c>
      <c r="AB117" s="610">
        <f t="shared" si="38"/>
        <v>66868.395000000004</v>
      </c>
      <c r="AC117" s="610">
        <f t="shared" si="38"/>
        <v>0</v>
      </c>
      <c r="AD117" s="610">
        <f t="shared" si="38"/>
        <v>46089.962</v>
      </c>
      <c r="AE117" s="610">
        <f t="shared" si="38"/>
        <v>0</v>
      </c>
      <c r="AF117" s="1245"/>
    </row>
    <row r="118" spans="1:32" x14ac:dyDescent="0.25">
      <c r="A118" s="311" t="s">
        <v>32</v>
      </c>
      <c r="B118" s="611">
        <f>H118+J118+L118+N118+P118+R118+T118+V118+X118+Z118+AB118+AD118</f>
        <v>210752.09999999998</v>
      </c>
      <c r="C118" s="611">
        <f>H118+J118+L118</f>
        <v>0</v>
      </c>
      <c r="D118" s="611">
        <f t="shared" ref="D118:E121" si="39">D17+D53</f>
        <v>0</v>
      </c>
      <c r="E118" s="611">
        <f t="shared" si="39"/>
        <v>0</v>
      </c>
      <c r="F118" s="327">
        <f>IFERROR(E118/B118*100,0)</f>
        <v>0</v>
      </c>
      <c r="G118" s="327">
        <f>IFERROR(E118/C118*100,0)</f>
        <v>0</v>
      </c>
      <c r="H118" s="611">
        <f t="shared" ref="H118:AE118" si="40">H17+H53+H107</f>
        <v>0</v>
      </c>
      <c r="I118" s="611">
        <f t="shared" si="40"/>
        <v>0</v>
      </c>
      <c r="J118" s="611">
        <f t="shared" si="40"/>
        <v>0</v>
      </c>
      <c r="K118" s="611">
        <f t="shared" si="40"/>
        <v>0</v>
      </c>
      <c r="L118" s="611">
        <f t="shared" si="40"/>
        <v>0</v>
      </c>
      <c r="M118" s="611">
        <f t="shared" si="40"/>
        <v>0</v>
      </c>
      <c r="N118" s="611">
        <f t="shared" si="40"/>
        <v>0</v>
      </c>
      <c r="O118" s="611">
        <f t="shared" si="40"/>
        <v>0</v>
      </c>
      <c r="P118" s="611">
        <f t="shared" si="40"/>
        <v>0</v>
      </c>
      <c r="Q118" s="611">
        <f t="shared" si="40"/>
        <v>0</v>
      </c>
      <c r="R118" s="611">
        <f t="shared" si="40"/>
        <v>0</v>
      </c>
      <c r="S118" s="611">
        <f t="shared" si="40"/>
        <v>0</v>
      </c>
      <c r="T118" s="611">
        <f t="shared" si="40"/>
        <v>0</v>
      </c>
      <c r="U118" s="611">
        <f t="shared" si="40"/>
        <v>0</v>
      </c>
      <c r="V118" s="611">
        <f t="shared" si="40"/>
        <v>5612.6</v>
      </c>
      <c r="W118" s="611">
        <f t="shared" si="40"/>
        <v>0</v>
      </c>
      <c r="X118" s="611">
        <f t="shared" si="40"/>
        <v>41529.199999999997</v>
      </c>
      <c r="Y118" s="611">
        <f t="shared" si="40"/>
        <v>0</v>
      </c>
      <c r="Z118" s="611">
        <f t="shared" si="40"/>
        <v>163610.29999999999</v>
      </c>
      <c r="AA118" s="611">
        <f t="shared" si="40"/>
        <v>0</v>
      </c>
      <c r="AB118" s="611">
        <f t="shared" si="40"/>
        <v>0</v>
      </c>
      <c r="AC118" s="611">
        <f t="shared" si="40"/>
        <v>0</v>
      </c>
      <c r="AD118" s="611">
        <f t="shared" si="40"/>
        <v>0</v>
      </c>
      <c r="AE118" s="611">
        <f t="shared" si="40"/>
        <v>0</v>
      </c>
      <c r="AF118" s="1246"/>
    </row>
    <row r="119" spans="1:32" x14ac:dyDescent="0.25">
      <c r="A119" s="311" t="s">
        <v>33</v>
      </c>
      <c r="B119" s="611">
        <f>H119+J119+L119+N119+P119+R119+T119+V119+X119+Z119+AB119+AD119</f>
        <v>283948.87900000002</v>
      </c>
      <c r="C119" s="611">
        <f>H119+J119+L119</f>
        <v>84521.479000000021</v>
      </c>
      <c r="D119" s="611">
        <f t="shared" si="39"/>
        <v>147790.96000000002</v>
      </c>
      <c r="E119" s="611">
        <f t="shared" si="39"/>
        <v>147790.96000000002</v>
      </c>
      <c r="F119" s="327">
        <f>IFERROR(E119/B119*100,0)</f>
        <v>52.048439324882843</v>
      </c>
      <c r="G119" s="327">
        <f>IFERROR(E119/C119*100,0)</f>
        <v>174.85609782100477</v>
      </c>
      <c r="H119" s="611">
        <f t="shared" ref="H119:AE119" si="41">H18+H54+H108</f>
        <v>33912.783000000003</v>
      </c>
      <c r="I119" s="611">
        <f t="shared" si="41"/>
        <v>17885.599999999999</v>
      </c>
      <c r="J119" s="611">
        <f t="shared" si="41"/>
        <v>27118.280000000002</v>
      </c>
      <c r="K119" s="611">
        <f t="shared" si="41"/>
        <v>30278.300000000003</v>
      </c>
      <c r="L119" s="611">
        <f t="shared" si="41"/>
        <v>23490.416000000005</v>
      </c>
      <c r="M119" s="611">
        <f t="shared" si="41"/>
        <v>19182.32</v>
      </c>
      <c r="N119" s="611">
        <f t="shared" si="41"/>
        <v>28632.109000000004</v>
      </c>
      <c r="O119" s="611">
        <f t="shared" si="41"/>
        <v>20242.2</v>
      </c>
      <c r="P119" s="611">
        <f t="shared" si="41"/>
        <v>18063.654000000002</v>
      </c>
      <c r="Q119" s="611">
        <f t="shared" si="41"/>
        <v>20171.210000000003</v>
      </c>
      <c r="R119" s="611">
        <f t="shared" si="41"/>
        <v>17270.697</v>
      </c>
      <c r="S119" s="611">
        <f t="shared" si="41"/>
        <v>19085.489999999998</v>
      </c>
      <c r="T119" s="611">
        <f t="shared" si="41"/>
        <v>20182.940000000002</v>
      </c>
      <c r="U119" s="611">
        <f t="shared" si="41"/>
        <v>20945.839999999997</v>
      </c>
      <c r="V119" s="611">
        <f t="shared" si="41"/>
        <v>25028.270000000004</v>
      </c>
      <c r="W119" s="611">
        <f t="shared" si="41"/>
        <v>0</v>
      </c>
      <c r="X119" s="611">
        <f t="shared" si="41"/>
        <v>11088.533000000001</v>
      </c>
      <c r="Y119" s="611">
        <f t="shared" si="41"/>
        <v>0</v>
      </c>
      <c r="Z119" s="611">
        <f t="shared" si="41"/>
        <v>42079.54</v>
      </c>
      <c r="AA119" s="611">
        <f t="shared" si="41"/>
        <v>0</v>
      </c>
      <c r="AB119" s="611">
        <f t="shared" si="41"/>
        <v>21395.395</v>
      </c>
      <c r="AC119" s="611">
        <f t="shared" si="41"/>
        <v>0</v>
      </c>
      <c r="AD119" s="611">
        <f t="shared" si="41"/>
        <v>15686.261999999999</v>
      </c>
      <c r="AE119" s="611">
        <f t="shared" si="41"/>
        <v>0</v>
      </c>
      <c r="AF119" s="1246"/>
    </row>
    <row r="120" spans="1:32" ht="31.5" x14ac:dyDescent="0.25">
      <c r="A120" s="325" t="s">
        <v>174</v>
      </c>
      <c r="B120" s="611">
        <f>H120+J120+L120+N120+P120+R120+T120+V120+X120+Z120+AB120+AD120</f>
        <v>0</v>
      </c>
      <c r="C120" s="611">
        <f>H120+J120+L120</f>
        <v>0</v>
      </c>
      <c r="D120" s="611">
        <f t="shared" si="39"/>
        <v>0</v>
      </c>
      <c r="E120" s="611">
        <f t="shared" si="39"/>
        <v>0</v>
      </c>
      <c r="F120" s="327">
        <f>IFERROR(E120/B120*100,0)</f>
        <v>0</v>
      </c>
      <c r="G120" s="327">
        <f>IFERROR(E120/C120*100,0)</f>
        <v>0</v>
      </c>
      <c r="H120" s="611">
        <f t="shared" ref="H120:AE120" si="42">H19+H55+H109</f>
        <v>0</v>
      </c>
      <c r="I120" s="611">
        <f t="shared" si="42"/>
        <v>0</v>
      </c>
      <c r="J120" s="611">
        <f t="shared" si="42"/>
        <v>0</v>
      </c>
      <c r="K120" s="611">
        <f t="shared" si="42"/>
        <v>0</v>
      </c>
      <c r="L120" s="611">
        <f t="shared" si="42"/>
        <v>0</v>
      </c>
      <c r="M120" s="611">
        <f t="shared" si="42"/>
        <v>0</v>
      </c>
      <c r="N120" s="611">
        <f t="shared" si="42"/>
        <v>0</v>
      </c>
      <c r="O120" s="611">
        <f t="shared" si="42"/>
        <v>0</v>
      </c>
      <c r="P120" s="611">
        <f t="shared" si="42"/>
        <v>0</v>
      </c>
      <c r="Q120" s="611">
        <f t="shared" si="42"/>
        <v>0</v>
      </c>
      <c r="R120" s="611">
        <f t="shared" si="42"/>
        <v>0</v>
      </c>
      <c r="S120" s="611">
        <f t="shared" si="42"/>
        <v>0</v>
      </c>
      <c r="T120" s="611">
        <f t="shared" si="42"/>
        <v>0</v>
      </c>
      <c r="U120" s="611">
        <f t="shared" si="42"/>
        <v>0</v>
      </c>
      <c r="V120" s="611">
        <f t="shared" si="42"/>
        <v>0</v>
      </c>
      <c r="W120" s="611">
        <f t="shared" si="42"/>
        <v>0</v>
      </c>
      <c r="X120" s="611">
        <f t="shared" si="42"/>
        <v>0</v>
      </c>
      <c r="Y120" s="611">
        <f t="shared" si="42"/>
        <v>0</v>
      </c>
      <c r="Z120" s="611">
        <f t="shared" si="42"/>
        <v>0</v>
      </c>
      <c r="AA120" s="611">
        <f t="shared" si="42"/>
        <v>0</v>
      </c>
      <c r="AB120" s="611">
        <f t="shared" si="42"/>
        <v>0</v>
      </c>
      <c r="AC120" s="611">
        <f t="shared" si="42"/>
        <v>0</v>
      </c>
      <c r="AD120" s="611">
        <f t="shared" si="42"/>
        <v>0</v>
      </c>
      <c r="AE120" s="611">
        <f t="shared" si="42"/>
        <v>0</v>
      </c>
      <c r="AF120" s="1246"/>
    </row>
    <row r="121" spans="1:32" x14ac:dyDescent="0.25">
      <c r="A121" s="311" t="s">
        <v>374</v>
      </c>
      <c r="B121" s="611">
        <f>H121+J121+L121+N121+P121+R121+T121+V121+X121+Z121+AB121+AD121</f>
        <v>356607.76</v>
      </c>
      <c r="C121" s="611">
        <f>H121+J121+L121</f>
        <v>0</v>
      </c>
      <c r="D121" s="611">
        <f t="shared" si="39"/>
        <v>0</v>
      </c>
      <c r="E121" s="611">
        <f t="shared" si="39"/>
        <v>0</v>
      </c>
      <c r="F121" s="327">
        <f>IFERROR(E121/B121*100,0)</f>
        <v>0</v>
      </c>
      <c r="G121" s="327">
        <f>IFERROR(E121/C121*100,0)</f>
        <v>0</v>
      </c>
      <c r="H121" s="611">
        <f t="shared" ref="H121:AE121" si="43">H20+H56+H110</f>
        <v>0</v>
      </c>
      <c r="I121" s="611">
        <f t="shared" si="43"/>
        <v>0</v>
      </c>
      <c r="J121" s="611">
        <f t="shared" si="43"/>
        <v>0</v>
      </c>
      <c r="K121" s="611">
        <f t="shared" si="43"/>
        <v>0</v>
      </c>
      <c r="L121" s="611">
        <f t="shared" si="43"/>
        <v>0</v>
      </c>
      <c r="M121" s="611">
        <f t="shared" si="43"/>
        <v>0</v>
      </c>
      <c r="N121" s="611">
        <f t="shared" si="43"/>
        <v>0</v>
      </c>
      <c r="O121" s="611">
        <f t="shared" si="43"/>
        <v>0</v>
      </c>
      <c r="P121" s="611">
        <f t="shared" si="43"/>
        <v>0</v>
      </c>
      <c r="Q121" s="611">
        <f t="shared" si="43"/>
        <v>0</v>
      </c>
      <c r="R121" s="611">
        <f t="shared" si="43"/>
        <v>0</v>
      </c>
      <c r="S121" s="611">
        <f t="shared" si="43"/>
        <v>0</v>
      </c>
      <c r="T121" s="611">
        <f t="shared" si="43"/>
        <v>0</v>
      </c>
      <c r="U121" s="611">
        <f t="shared" si="43"/>
        <v>0</v>
      </c>
      <c r="V121" s="611">
        <f t="shared" si="43"/>
        <v>5612.6</v>
      </c>
      <c r="W121" s="611">
        <f t="shared" si="43"/>
        <v>0</v>
      </c>
      <c r="X121" s="611">
        <f t="shared" si="43"/>
        <v>41529.199999999997</v>
      </c>
      <c r="Y121" s="611">
        <f t="shared" si="43"/>
        <v>0</v>
      </c>
      <c r="Z121" s="611">
        <f t="shared" si="43"/>
        <v>233589.26</v>
      </c>
      <c r="AA121" s="611">
        <f t="shared" si="43"/>
        <v>0</v>
      </c>
      <c r="AB121" s="611">
        <f t="shared" si="43"/>
        <v>45473</v>
      </c>
      <c r="AC121" s="611">
        <f t="shared" si="43"/>
        <v>0</v>
      </c>
      <c r="AD121" s="611">
        <f t="shared" si="43"/>
        <v>30403.7</v>
      </c>
      <c r="AE121" s="611">
        <f t="shared" si="43"/>
        <v>0</v>
      </c>
      <c r="AF121" s="1247"/>
    </row>
    <row r="122" spans="1:32" x14ac:dyDescent="0.25">
      <c r="A122" s="1261" t="s">
        <v>414</v>
      </c>
      <c r="B122" s="1262"/>
      <c r="C122" s="1262"/>
      <c r="D122" s="1262"/>
      <c r="E122" s="1262"/>
      <c r="F122" s="1262"/>
      <c r="G122" s="1262"/>
      <c r="H122" s="1262"/>
      <c r="I122" s="1262"/>
      <c r="J122" s="1262"/>
      <c r="K122" s="1262"/>
      <c r="L122" s="1262"/>
      <c r="M122" s="1262"/>
      <c r="N122" s="1262"/>
      <c r="O122" s="1262"/>
      <c r="P122" s="1262"/>
      <c r="Q122" s="1262"/>
      <c r="R122" s="1262"/>
      <c r="S122" s="1262"/>
      <c r="T122" s="1262"/>
      <c r="U122" s="1262"/>
      <c r="V122" s="1262"/>
      <c r="W122" s="1262"/>
      <c r="X122" s="1262"/>
      <c r="Y122" s="1262"/>
      <c r="Z122" s="1262"/>
      <c r="AA122" s="1262"/>
      <c r="AB122" s="1262"/>
      <c r="AC122" s="1262"/>
      <c r="AD122" s="1262"/>
      <c r="AE122" s="1263"/>
      <c r="AF122" s="299"/>
    </row>
    <row r="123" spans="1:32" x14ac:dyDescent="0.25">
      <c r="A123" s="300" t="s">
        <v>54</v>
      </c>
      <c r="B123" s="316"/>
      <c r="C123" s="316"/>
      <c r="D123" s="316"/>
      <c r="E123" s="316"/>
      <c r="F123" s="316"/>
      <c r="G123" s="316"/>
      <c r="H123" s="316"/>
      <c r="I123" s="316"/>
      <c r="J123" s="316"/>
      <c r="K123" s="316"/>
      <c r="L123" s="316"/>
      <c r="M123" s="316"/>
      <c r="N123" s="316"/>
      <c r="O123" s="316"/>
      <c r="P123" s="316"/>
      <c r="Q123" s="316"/>
      <c r="R123" s="316"/>
      <c r="S123" s="316"/>
      <c r="T123" s="316"/>
      <c r="U123" s="316"/>
      <c r="V123" s="316"/>
      <c r="W123" s="316"/>
      <c r="X123" s="317"/>
      <c r="Y123" s="307"/>
      <c r="Z123" s="307"/>
      <c r="AA123" s="307"/>
      <c r="AB123" s="307"/>
      <c r="AC123" s="307"/>
      <c r="AD123" s="307"/>
      <c r="AE123" s="307"/>
      <c r="AF123" s="288"/>
    </row>
    <row r="124" spans="1:32" x14ac:dyDescent="0.25">
      <c r="A124" s="1264" t="s">
        <v>415</v>
      </c>
      <c r="B124" s="1265"/>
      <c r="C124" s="1265"/>
      <c r="D124" s="1265"/>
      <c r="E124" s="1265"/>
      <c r="F124" s="1265"/>
      <c r="G124" s="1265"/>
      <c r="H124" s="1265"/>
      <c r="I124" s="1265"/>
      <c r="J124" s="1265"/>
      <c r="K124" s="1265"/>
      <c r="L124" s="1265"/>
      <c r="M124" s="1265"/>
      <c r="N124" s="1265"/>
      <c r="O124" s="1265"/>
      <c r="P124" s="1265"/>
      <c r="Q124" s="1265"/>
      <c r="R124" s="1265"/>
      <c r="S124" s="1265"/>
      <c r="T124" s="1265"/>
      <c r="U124" s="1265"/>
      <c r="V124" s="1265"/>
      <c r="W124" s="1265"/>
      <c r="X124" s="1265"/>
      <c r="Y124" s="1265"/>
      <c r="Z124" s="1265"/>
      <c r="AA124" s="1265"/>
      <c r="AB124" s="1265"/>
      <c r="AC124" s="1265"/>
      <c r="AD124" s="1265"/>
      <c r="AE124" s="1266"/>
      <c r="AF124" s="318"/>
    </row>
    <row r="125" spans="1:32" x14ac:dyDescent="0.25">
      <c r="A125" s="319" t="s">
        <v>31</v>
      </c>
      <c r="B125" s="320">
        <f>B126+B127+B129</f>
        <v>13281.096000000001</v>
      </c>
      <c r="C125" s="320">
        <f>C126+C127+C129</f>
        <v>3554.7069999999999</v>
      </c>
      <c r="D125" s="320">
        <f>D126+D127+D129</f>
        <v>2401.64</v>
      </c>
      <c r="E125" s="320">
        <f>E126+E127+E129</f>
        <v>2401.64</v>
      </c>
      <c r="F125" s="320">
        <f>E125/B125*100</f>
        <v>18.083146149986415</v>
      </c>
      <c r="G125" s="320">
        <f>E125/C125*100</f>
        <v>67.562249153024425</v>
      </c>
      <c r="H125" s="320">
        <f>H126+H127+H129</f>
        <v>309.10599999999999</v>
      </c>
      <c r="I125" s="320">
        <f t="shared" ref="I125:AE125" si="44">I126+I127+I129</f>
        <v>290.38</v>
      </c>
      <c r="J125" s="320">
        <f t="shared" si="44"/>
        <v>520.11699999999996</v>
      </c>
      <c r="K125" s="320">
        <f t="shared" si="44"/>
        <v>297.3</v>
      </c>
      <c r="L125" s="320">
        <f t="shared" si="44"/>
        <v>519.91700000000003</v>
      </c>
      <c r="M125" s="320">
        <f t="shared" si="44"/>
        <v>298.05</v>
      </c>
      <c r="N125" s="320">
        <f t="shared" si="44"/>
        <v>519.91700000000003</v>
      </c>
      <c r="O125" s="320">
        <f t="shared" si="44"/>
        <v>304.35000000000002</v>
      </c>
      <c r="P125" s="320">
        <f t="shared" si="44"/>
        <v>519.91700000000003</v>
      </c>
      <c r="Q125" s="320">
        <f t="shared" si="44"/>
        <v>298.10000000000002</v>
      </c>
      <c r="R125" s="320">
        <f t="shared" si="44"/>
        <v>645.81700000000001</v>
      </c>
      <c r="S125" s="320">
        <f t="shared" si="44"/>
        <v>291.16000000000003</v>
      </c>
      <c r="T125" s="320">
        <f t="shared" si="44"/>
        <v>519.91600000000005</v>
      </c>
      <c r="U125" s="320">
        <f t="shared" si="44"/>
        <v>622.29999999999995</v>
      </c>
      <c r="V125" s="320">
        <f t="shared" si="44"/>
        <v>519.91600000000005</v>
      </c>
      <c r="W125" s="320">
        <f t="shared" si="44"/>
        <v>0</v>
      </c>
      <c r="X125" s="320">
        <f t="shared" si="44"/>
        <v>519.91600000000005</v>
      </c>
      <c r="Y125" s="320">
        <f t="shared" si="44"/>
        <v>0</v>
      </c>
      <c r="Z125" s="320">
        <f t="shared" si="44"/>
        <v>3700.4160000000002</v>
      </c>
      <c r="AA125" s="320">
        <f t="shared" si="44"/>
        <v>0</v>
      </c>
      <c r="AB125" s="320">
        <f t="shared" si="44"/>
        <v>4442.817</v>
      </c>
      <c r="AC125" s="320">
        <f t="shared" si="44"/>
        <v>0</v>
      </c>
      <c r="AD125" s="320">
        <f t="shared" si="44"/>
        <v>543.32399999999996</v>
      </c>
      <c r="AE125" s="320">
        <f t="shared" si="44"/>
        <v>0</v>
      </c>
      <c r="AF125" s="1248"/>
    </row>
    <row r="126" spans="1:32" x14ac:dyDescent="0.25">
      <c r="A126" s="311" t="s">
        <v>32</v>
      </c>
      <c r="B126" s="313">
        <f>H126+J126+L126+N126+P126+R126+T126+V126+X126+Z126+AB126+AD126</f>
        <v>0</v>
      </c>
      <c r="C126" s="313">
        <f>C132+C138+C144</f>
        <v>0</v>
      </c>
      <c r="D126" s="313">
        <f>E126</f>
        <v>0</v>
      </c>
      <c r="E126" s="313">
        <f>I126+K126+M126+O126+Q126+S126+U126+W126+Y126+AA126+AC126+AE126</f>
        <v>0</v>
      </c>
      <c r="F126" s="327">
        <f>IFERROR(E126/B126*100,0)</f>
        <v>0</v>
      </c>
      <c r="G126" s="327">
        <f>IFERROR(E126/C126*100,0)</f>
        <v>0</v>
      </c>
      <c r="H126" s="313">
        <f>H132+H138+H144</f>
        <v>0</v>
      </c>
      <c r="I126" s="313">
        <f t="shared" ref="I126:AE129" si="45">I132+I138+I144</f>
        <v>0</v>
      </c>
      <c r="J126" s="313">
        <f t="shared" si="45"/>
        <v>0</v>
      </c>
      <c r="K126" s="313">
        <f t="shared" si="45"/>
        <v>0</v>
      </c>
      <c r="L126" s="313">
        <f t="shared" si="45"/>
        <v>0</v>
      </c>
      <c r="M126" s="313">
        <f t="shared" si="45"/>
        <v>0</v>
      </c>
      <c r="N126" s="313">
        <f t="shared" si="45"/>
        <v>0</v>
      </c>
      <c r="O126" s="313">
        <f t="shared" si="45"/>
        <v>0</v>
      </c>
      <c r="P126" s="313">
        <f t="shared" si="45"/>
        <v>0</v>
      </c>
      <c r="Q126" s="313">
        <f t="shared" si="45"/>
        <v>0</v>
      </c>
      <c r="R126" s="313">
        <f t="shared" si="45"/>
        <v>0</v>
      </c>
      <c r="S126" s="313">
        <f t="shared" si="45"/>
        <v>0</v>
      </c>
      <c r="T126" s="313">
        <f t="shared" si="45"/>
        <v>0</v>
      </c>
      <c r="U126" s="313">
        <f t="shared" si="45"/>
        <v>0</v>
      </c>
      <c r="V126" s="313">
        <f t="shared" si="45"/>
        <v>0</v>
      </c>
      <c r="W126" s="313">
        <f t="shared" si="45"/>
        <v>0</v>
      </c>
      <c r="X126" s="313">
        <f t="shared" si="45"/>
        <v>0</v>
      </c>
      <c r="Y126" s="313">
        <f t="shared" si="45"/>
        <v>0</v>
      </c>
      <c r="Z126" s="313">
        <f t="shared" si="45"/>
        <v>0</v>
      </c>
      <c r="AA126" s="313">
        <f t="shared" si="45"/>
        <v>0</v>
      </c>
      <c r="AB126" s="313">
        <f t="shared" si="45"/>
        <v>0</v>
      </c>
      <c r="AC126" s="313">
        <f t="shared" si="45"/>
        <v>0</v>
      </c>
      <c r="AD126" s="313">
        <f t="shared" si="45"/>
        <v>0</v>
      </c>
      <c r="AE126" s="313">
        <f t="shared" si="45"/>
        <v>0</v>
      </c>
      <c r="AF126" s="1249"/>
    </row>
    <row r="127" spans="1:32" x14ac:dyDescent="0.25">
      <c r="A127" s="311" t="s">
        <v>33</v>
      </c>
      <c r="B127" s="313">
        <f>H127+J127+L127+N127+P127+R127+T127+V127+X127+Z127+AB127+AD127</f>
        <v>13281.096000000001</v>
      </c>
      <c r="C127" s="313">
        <f>C133+C139+C145</f>
        <v>3554.7069999999999</v>
      </c>
      <c r="D127" s="313">
        <f>E127</f>
        <v>2401.64</v>
      </c>
      <c r="E127" s="313">
        <f>I127+K127+M127+O127+Q127+S127+U127+W127+Y127+AA127+AC127+AE127</f>
        <v>2401.64</v>
      </c>
      <c r="F127" s="327">
        <f>IFERROR(E127/B127*100,0)</f>
        <v>18.083146149986415</v>
      </c>
      <c r="G127" s="327">
        <f>IFERROR(E127/C127*100,0)</f>
        <v>67.562249153024425</v>
      </c>
      <c r="H127" s="313">
        <f>H133+H139+H145</f>
        <v>309.10599999999999</v>
      </c>
      <c r="I127" s="313">
        <f t="shared" ref="I127:W127" si="46">I133+I139+I145</f>
        <v>290.38</v>
      </c>
      <c r="J127" s="313">
        <f t="shared" si="46"/>
        <v>520.11699999999996</v>
      </c>
      <c r="K127" s="313">
        <f t="shared" si="46"/>
        <v>297.3</v>
      </c>
      <c r="L127" s="313">
        <f t="shared" si="46"/>
        <v>519.91700000000003</v>
      </c>
      <c r="M127" s="313">
        <f t="shared" si="46"/>
        <v>298.05</v>
      </c>
      <c r="N127" s="313">
        <f t="shared" si="46"/>
        <v>519.91700000000003</v>
      </c>
      <c r="O127" s="313">
        <f t="shared" si="46"/>
        <v>304.35000000000002</v>
      </c>
      <c r="P127" s="313">
        <f t="shared" si="46"/>
        <v>519.91700000000003</v>
      </c>
      <c r="Q127" s="313">
        <f t="shared" si="46"/>
        <v>298.10000000000002</v>
      </c>
      <c r="R127" s="313">
        <f t="shared" si="46"/>
        <v>645.81700000000001</v>
      </c>
      <c r="S127" s="313">
        <f t="shared" si="46"/>
        <v>291.16000000000003</v>
      </c>
      <c r="T127" s="313">
        <f t="shared" si="46"/>
        <v>519.91600000000005</v>
      </c>
      <c r="U127" s="313">
        <f t="shared" si="46"/>
        <v>622.29999999999995</v>
      </c>
      <c r="V127" s="313">
        <f t="shared" si="46"/>
        <v>519.91600000000005</v>
      </c>
      <c r="W127" s="313">
        <f t="shared" si="46"/>
        <v>0</v>
      </c>
      <c r="X127" s="313">
        <f t="shared" si="45"/>
        <v>519.91600000000005</v>
      </c>
      <c r="Y127" s="313">
        <f t="shared" si="45"/>
        <v>0</v>
      </c>
      <c r="Z127" s="313">
        <f t="shared" si="45"/>
        <v>3700.4160000000002</v>
      </c>
      <c r="AA127" s="313">
        <f t="shared" si="45"/>
        <v>0</v>
      </c>
      <c r="AB127" s="313">
        <f t="shared" si="45"/>
        <v>4442.817</v>
      </c>
      <c r="AC127" s="313">
        <f t="shared" si="45"/>
        <v>0</v>
      </c>
      <c r="AD127" s="313">
        <f t="shared" si="45"/>
        <v>543.32399999999996</v>
      </c>
      <c r="AE127" s="313">
        <f t="shared" si="45"/>
        <v>0</v>
      </c>
      <c r="AF127" s="1249"/>
    </row>
    <row r="128" spans="1:32" ht="31.5" x14ac:dyDescent="0.25">
      <c r="A128" s="325" t="s">
        <v>174</v>
      </c>
      <c r="B128" s="313">
        <f>H128+J128+L128+N128+P128+R128+T128+V128+X128+Z128+AB128+AD128</f>
        <v>0</v>
      </c>
      <c r="C128" s="313">
        <f>C134+C140+C146</f>
        <v>0</v>
      </c>
      <c r="D128" s="313">
        <f>E128</f>
        <v>0</v>
      </c>
      <c r="E128" s="313">
        <f>I128+K128+M128+O128+Q128+S128+U128+W128+Y128+AA128+AC128+AE128</f>
        <v>0</v>
      </c>
      <c r="F128" s="327">
        <f>IFERROR(E128/B128*100,0)</f>
        <v>0</v>
      </c>
      <c r="G128" s="327">
        <f>IFERROR(E128/C128*100,0)</f>
        <v>0</v>
      </c>
      <c r="H128" s="313">
        <f>H134+H140+H146</f>
        <v>0</v>
      </c>
      <c r="I128" s="313">
        <f t="shared" si="45"/>
        <v>0</v>
      </c>
      <c r="J128" s="313">
        <f t="shared" si="45"/>
        <v>0</v>
      </c>
      <c r="K128" s="313">
        <f t="shared" si="45"/>
        <v>0</v>
      </c>
      <c r="L128" s="313">
        <f t="shared" si="45"/>
        <v>0</v>
      </c>
      <c r="M128" s="313">
        <f t="shared" si="45"/>
        <v>0</v>
      </c>
      <c r="N128" s="313">
        <f t="shared" si="45"/>
        <v>0</v>
      </c>
      <c r="O128" s="313">
        <f t="shared" si="45"/>
        <v>0</v>
      </c>
      <c r="P128" s="313">
        <f t="shared" si="45"/>
        <v>0</v>
      </c>
      <c r="Q128" s="313">
        <f t="shared" si="45"/>
        <v>0</v>
      </c>
      <c r="R128" s="313">
        <f t="shared" si="45"/>
        <v>0</v>
      </c>
      <c r="S128" s="313">
        <f t="shared" si="45"/>
        <v>0</v>
      </c>
      <c r="T128" s="313">
        <f t="shared" si="45"/>
        <v>0</v>
      </c>
      <c r="U128" s="313">
        <f t="shared" si="45"/>
        <v>0</v>
      </c>
      <c r="V128" s="313">
        <f t="shared" si="45"/>
        <v>0</v>
      </c>
      <c r="W128" s="313">
        <f t="shared" si="45"/>
        <v>0</v>
      </c>
      <c r="X128" s="313">
        <f t="shared" si="45"/>
        <v>0</v>
      </c>
      <c r="Y128" s="313">
        <f t="shared" si="45"/>
        <v>0</v>
      </c>
      <c r="Z128" s="313">
        <f t="shared" si="45"/>
        <v>0</v>
      </c>
      <c r="AA128" s="313">
        <f t="shared" si="45"/>
        <v>0</v>
      </c>
      <c r="AB128" s="313">
        <f t="shared" si="45"/>
        <v>0</v>
      </c>
      <c r="AC128" s="313">
        <f t="shared" si="45"/>
        <v>0</v>
      </c>
      <c r="AD128" s="313">
        <f t="shared" si="45"/>
        <v>0</v>
      </c>
      <c r="AE128" s="313">
        <f t="shared" si="45"/>
        <v>0</v>
      </c>
      <c r="AF128" s="1249"/>
    </row>
    <row r="129" spans="1:32" x14ac:dyDescent="0.25">
      <c r="A129" s="311" t="s">
        <v>374</v>
      </c>
      <c r="B129" s="313">
        <f>H129+J129+L129+N129+P129+R129+T129+V129+X129+Z129+AB129+AD129</f>
        <v>0</v>
      </c>
      <c r="C129" s="313">
        <f>C135+C141+C147</f>
        <v>0</v>
      </c>
      <c r="D129" s="313">
        <f>E129</f>
        <v>0</v>
      </c>
      <c r="E129" s="313">
        <f>I129+K129+M129+O129+Q129+S129+U129+W129+Y129+AA129+AC129+AE129</f>
        <v>0</v>
      </c>
      <c r="F129" s="327">
        <f>IFERROR(E129/B129*100,0)</f>
        <v>0</v>
      </c>
      <c r="G129" s="327">
        <f>IFERROR(E129/C129*100,0)</f>
        <v>0</v>
      </c>
      <c r="H129" s="313">
        <f>H135+H141+H147</f>
        <v>0</v>
      </c>
      <c r="I129" s="313">
        <f t="shared" si="45"/>
        <v>0</v>
      </c>
      <c r="J129" s="313">
        <f t="shared" si="45"/>
        <v>0</v>
      </c>
      <c r="K129" s="313">
        <f t="shared" si="45"/>
        <v>0</v>
      </c>
      <c r="L129" s="313">
        <f t="shared" si="45"/>
        <v>0</v>
      </c>
      <c r="M129" s="313">
        <f t="shared" si="45"/>
        <v>0</v>
      </c>
      <c r="N129" s="313">
        <f t="shared" si="45"/>
        <v>0</v>
      </c>
      <c r="O129" s="313">
        <f t="shared" si="45"/>
        <v>0</v>
      </c>
      <c r="P129" s="313">
        <f t="shared" si="45"/>
        <v>0</v>
      </c>
      <c r="Q129" s="313">
        <f t="shared" si="45"/>
        <v>0</v>
      </c>
      <c r="R129" s="313">
        <f t="shared" si="45"/>
        <v>0</v>
      </c>
      <c r="S129" s="313">
        <f t="shared" si="45"/>
        <v>0</v>
      </c>
      <c r="T129" s="313">
        <f t="shared" si="45"/>
        <v>0</v>
      </c>
      <c r="U129" s="313">
        <f t="shared" si="45"/>
        <v>0</v>
      </c>
      <c r="V129" s="313">
        <f t="shared" si="45"/>
        <v>0</v>
      </c>
      <c r="W129" s="313">
        <f t="shared" si="45"/>
        <v>0</v>
      </c>
      <c r="X129" s="313">
        <f t="shared" si="45"/>
        <v>0</v>
      </c>
      <c r="Y129" s="313">
        <f t="shared" si="45"/>
        <v>0</v>
      </c>
      <c r="Z129" s="313">
        <f t="shared" si="45"/>
        <v>0</v>
      </c>
      <c r="AA129" s="313">
        <f t="shared" si="45"/>
        <v>0</v>
      </c>
      <c r="AB129" s="313">
        <f t="shared" si="45"/>
        <v>0</v>
      </c>
      <c r="AC129" s="313">
        <f t="shared" si="45"/>
        <v>0</v>
      </c>
      <c r="AD129" s="313">
        <f t="shared" si="45"/>
        <v>0</v>
      </c>
      <c r="AE129" s="313">
        <f t="shared" si="45"/>
        <v>0</v>
      </c>
      <c r="AF129" s="1250"/>
    </row>
    <row r="130" spans="1:32" x14ac:dyDescent="0.25">
      <c r="A130" s="1268" t="s">
        <v>416</v>
      </c>
      <c r="B130" s="1269"/>
      <c r="C130" s="1269"/>
      <c r="D130" s="1269"/>
      <c r="E130" s="1269"/>
      <c r="F130" s="1269"/>
      <c r="G130" s="1269"/>
      <c r="H130" s="1269"/>
      <c r="I130" s="1269"/>
      <c r="J130" s="1269"/>
      <c r="K130" s="1269"/>
      <c r="L130" s="1269"/>
      <c r="M130" s="1269"/>
      <c r="N130" s="1269"/>
      <c r="O130" s="1269"/>
      <c r="P130" s="1269"/>
      <c r="Q130" s="1269"/>
      <c r="R130" s="1269"/>
      <c r="S130" s="1269"/>
      <c r="T130" s="1269"/>
      <c r="U130" s="1269"/>
      <c r="V130" s="1269"/>
      <c r="W130" s="1269"/>
      <c r="X130" s="1269"/>
      <c r="Y130" s="1269"/>
      <c r="Z130" s="1269"/>
      <c r="AA130" s="1269"/>
      <c r="AB130" s="1269"/>
      <c r="AC130" s="1269"/>
      <c r="AD130" s="1269"/>
      <c r="AE130" s="1270"/>
      <c r="AF130" s="322"/>
    </row>
    <row r="131" spans="1:32" x14ac:dyDescent="0.25">
      <c r="A131" s="311" t="s">
        <v>31</v>
      </c>
      <c r="B131" s="327">
        <f>B132+B133+B135</f>
        <v>6177.6959999999999</v>
      </c>
      <c r="C131" s="327">
        <f>C132+C133+C135</f>
        <v>3554.7069999999999</v>
      </c>
      <c r="D131" s="327">
        <f>D132+D133+D135</f>
        <v>2401.64</v>
      </c>
      <c r="E131" s="327">
        <f>E132+E133+E135</f>
        <v>2401.64</v>
      </c>
      <c r="F131" s="313">
        <f>IFERROR(E131/B131*100,0)</f>
        <v>38.875982243218182</v>
      </c>
      <c r="G131" s="313">
        <f>IFERROR(E131/C131*100,0)</f>
        <v>67.562249153024425</v>
      </c>
      <c r="H131" s="313">
        <f>H132+H133+H135</f>
        <v>309.10599999999999</v>
      </c>
      <c r="I131" s="313">
        <f t="shared" ref="I131:AE131" si="47">I132+I133+I135</f>
        <v>290.38</v>
      </c>
      <c r="J131" s="313">
        <f t="shared" si="47"/>
        <v>520.11699999999996</v>
      </c>
      <c r="K131" s="313">
        <f t="shared" si="47"/>
        <v>297.3</v>
      </c>
      <c r="L131" s="313">
        <f t="shared" si="47"/>
        <v>519.91700000000003</v>
      </c>
      <c r="M131" s="313">
        <f t="shared" si="47"/>
        <v>298.05</v>
      </c>
      <c r="N131" s="313">
        <f t="shared" si="47"/>
        <v>519.91700000000003</v>
      </c>
      <c r="O131" s="313">
        <f t="shared" si="47"/>
        <v>304.35000000000002</v>
      </c>
      <c r="P131" s="313">
        <f t="shared" si="47"/>
        <v>519.91700000000003</v>
      </c>
      <c r="Q131" s="313">
        <f t="shared" si="47"/>
        <v>298.10000000000002</v>
      </c>
      <c r="R131" s="313">
        <f t="shared" si="47"/>
        <v>645.81700000000001</v>
      </c>
      <c r="S131" s="313">
        <f t="shared" si="47"/>
        <v>291.16000000000003</v>
      </c>
      <c r="T131" s="313">
        <f t="shared" si="47"/>
        <v>519.91600000000005</v>
      </c>
      <c r="U131" s="313">
        <f t="shared" si="47"/>
        <v>622.29999999999995</v>
      </c>
      <c r="V131" s="313">
        <f t="shared" si="47"/>
        <v>519.91600000000005</v>
      </c>
      <c r="W131" s="313">
        <f t="shared" si="47"/>
        <v>0</v>
      </c>
      <c r="X131" s="313">
        <f t="shared" si="47"/>
        <v>519.91600000000005</v>
      </c>
      <c r="Y131" s="313">
        <f t="shared" si="47"/>
        <v>0</v>
      </c>
      <c r="Z131" s="313">
        <f t="shared" si="47"/>
        <v>519.91600000000005</v>
      </c>
      <c r="AA131" s="313">
        <f t="shared" si="47"/>
        <v>0</v>
      </c>
      <c r="AB131" s="313">
        <f t="shared" si="47"/>
        <v>519.91700000000003</v>
      </c>
      <c r="AC131" s="313">
        <f t="shared" si="47"/>
        <v>0</v>
      </c>
      <c r="AD131" s="313">
        <f t="shared" si="47"/>
        <v>543.32399999999996</v>
      </c>
      <c r="AE131" s="313">
        <f t="shared" si="47"/>
        <v>0</v>
      </c>
      <c r="AF131" s="1271" t="s">
        <v>470</v>
      </c>
    </row>
    <row r="132" spans="1:32" x14ac:dyDescent="0.25">
      <c r="A132" s="311" t="s">
        <v>32</v>
      </c>
      <c r="B132" s="313"/>
      <c r="C132" s="312"/>
      <c r="D132" s="313"/>
      <c r="E132" s="313"/>
      <c r="F132" s="313"/>
      <c r="G132" s="313"/>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1243"/>
    </row>
    <row r="133" spans="1:32" x14ac:dyDescent="0.25">
      <c r="A133" s="311" t="s">
        <v>33</v>
      </c>
      <c r="B133" s="313">
        <f>H133+J133+L133+N133+P133+R133+T133+V133+X133+Z133+AB133+AD133</f>
        <v>6177.6959999999999</v>
      </c>
      <c r="C133" s="312">
        <f>H133+J133+L133+N133+P133+R133+T133</f>
        <v>3554.7069999999999</v>
      </c>
      <c r="D133" s="313">
        <f>E133</f>
        <v>2401.64</v>
      </c>
      <c r="E133" s="313">
        <f>I133+K133+M133+O133+Q133+S133+U133+W133+Y133+AA133+AC133+AE133</f>
        <v>2401.64</v>
      </c>
      <c r="F133" s="313">
        <f>IFERROR(E133/B133*100,0)</f>
        <v>38.875982243218182</v>
      </c>
      <c r="G133" s="313">
        <f>IFERROR(E133/C133*100,0)</f>
        <v>67.562249153024425</v>
      </c>
      <c r="H133" s="312">
        <v>309.10599999999999</v>
      </c>
      <c r="I133" s="312">
        <v>290.38</v>
      </c>
      <c r="J133" s="312">
        <v>520.11699999999996</v>
      </c>
      <c r="K133" s="312">
        <v>297.3</v>
      </c>
      <c r="L133" s="312">
        <v>519.91700000000003</v>
      </c>
      <c r="M133" s="312">
        <v>298.05</v>
      </c>
      <c r="N133" s="312">
        <v>519.91700000000003</v>
      </c>
      <c r="O133" s="312">
        <v>304.35000000000002</v>
      </c>
      <c r="P133" s="312">
        <v>519.91700000000003</v>
      </c>
      <c r="Q133" s="312">
        <v>298.10000000000002</v>
      </c>
      <c r="R133" s="312">
        <v>645.81700000000001</v>
      </c>
      <c r="S133" s="312">
        <v>291.16000000000003</v>
      </c>
      <c r="T133" s="312">
        <v>519.91600000000005</v>
      </c>
      <c r="U133" s="312">
        <v>622.29999999999995</v>
      </c>
      <c r="V133" s="312">
        <v>519.91600000000005</v>
      </c>
      <c r="W133" s="312"/>
      <c r="X133" s="312">
        <v>519.91600000000005</v>
      </c>
      <c r="Y133" s="312"/>
      <c r="Z133" s="312">
        <v>519.91600000000005</v>
      </c>
      <c r="AA133" s="312"/>
      <c r="AB133" s="312">
        <v>519.91700000000003</v>
      </c>
      <c r="AC133" s="312">
        <v>0</v>
      </c>
      <c r="AD133" s="312">
        <v>543.32399999999996</v>
      </c>
      <c r="AE133" s="312"/>
      <c r="AF133" s="1243"/>
    </row>
    <row r="134" spans="1:32" ht="31.5" x14ac:dyDescent="0.25">
      <c r="A134" s="325" t="s">
        <v>174</v>
      </c>
      <c r="B134" s="313"/>
      <c r="C134" s="312"/>
      <c r="D134" s="313"/>
      <c r="E134" s="313"/>
      <c r="F134" s="313"/>
      <c r="G134" s="313"/>
      <c r="H134" s="312"/>
      <c r="I134" s="312"/>
      <c r="J134" s="312"/>
      <c r="K134" s="312"/>
      <c r="L134" s="312"/>
      <c r="M134" s="312"/>
      <c r="N134" s="312"/>
      <c r="O134" s="312"/>
      <c r="P134" s="312"/>
      <c r="Q134" s="312"/>
      <c r="R134" s="312"/>
      <c r="S134" s="312"/>
      <c r="T134" s="312"/>
      <c r="U134" s="312"/>
      <c r="V134" s="312"/>
      <c r="W134" s="312"/>
      <c r="X134" s="312"/>
      <c r="Y134" s="312"/>
      <c r="Z134" s="312"/>
      <c r="AA134" s="312"/>
      <c r="AB134" s="312"/>
      <c r="AC134" s="312"/>
      <c r="AD134" s="312"/>
      <c r="AE134" s="312"/>
      <c r="AF134" s="1243"/>
    </row>
    <row r="135" spans="1:32" x14ac:dyDescent="0.25">
      <c r="A135" s="311" t="s">
        <v>374</v>
      </c>
      <c r="B135" s="313"/>
      <c r="C135" s="312"/>
      <c r="D135" s="313"/>
      <c r="E135" s="313"/>
      <c r="F135" s="313"/>
      <c r="G135" s="313"/>
      <c r="H135" s="312"/>
      <c r="I135" s="312"/>
      <c r="J135" s="312"/>
      <c r="K135" s="312"/>
      <c r="L135" s="312"/>
      <c r="M135" s="312"/>
      <c r="N135" s="312"/>
      <c r="O135" s="312"/>
      <c r="P135" s="312"/>
      <c r="Q135" s="312"/>
      <c r="R135" s="312"/>
      <c r="S135" s="312"/>
      <c r="T135" s="312"/>
      <c r="U135" s="312"/>
      <c r="V135" s="312"/>
      <c r="W135" s="312"/>
      <c r="X135" s="312"/>
      <c r="Y135" s="312"/>
      <c r="Z135" s="312"/>
      <c r="AA135" s="312"/>
      <c r="AB135" s="312"/>
      <c r="AC135" s="312"/>
      <c r="AD135" s="312"/>
      <c r="AE135" s="312"/>
      <c r="AF135" s="1244"/>
    </row>
    <row r="136" spans="1:32" ht="19.5" customHeight="1" x14ac:dyDescent="0.25">
      <c r="A136" s="1268" t="s">
        <v>417</v>
      </c>
      <c r="B136" s="1269"/>
      <c r="C136" s="1269"/>
      <c r="D136" s="1269"/>
      <c r="E136" s="1269"/>
      <c r="F136" s="1269"/>
      <c r="G136" s="1269"/>
      <c r="H136" s="1269"/>
      <c r="I136" s="1269"/>
      <c r="J136" s="1269"/>
      <c r="K136" s="1269"/>
      <c r="L136" s="1269"/>
      <c r="M136" s="1269"/>
      <c r="N136" s="1269"/>
      <c r="O136" s="1269"/>
      <c r="P136" s="1269"/>
      <c r="Q136" s="1269"/>
      <c r="R136" s="1269"/>
      <c r="S136" s="1269"/>
      <c r="T136" s="1269"/>
      <c r="U136" s="1269"/>
      <c r="V136" s="1269"/>
      <c r="W136" s="1269"/>
      <c r="X136" s="1269"/>
      <c r="Y136" s="1269"/>
      <c r="Z136" s="1269"/>
      <c r="AA136" s="1269"/>
      <c r="AB136" s="1269"/>
      <c r="AC136" s="1269"/>
      <c r="AD136" s="1269"/>
      <c r="AE136" s="1270"/>
      <c r="AF136" s="310"/>
    </row>
    <row r="137" spans="1:32" x14ac:dyDescent="0.25">
      <c r="A137" s="311" t="s">
        <v>31</v>
      </c>
      <c r="B137" s="327">
        <f>B138+B139+B141</f>
        <v>3180.5</v>
      </c>
      <c r="C137" s="327">
        <f>C138+C139+C141</f>
        <v>0</v>
      </c>
      <c r="D137" s="327">
        <f>D138+D139+D141</f>
        <v>0</v>
      </c>
      <c r="E137" s="327">
        <f>E138+E139+E141</f>
        <v>0</v>
      </c>
      <c r="F137" s="313">
        <f>IFERROR(E137/B137*100,0)</f>
        <v>0</v>
      </c>
      <c r="G137" s="313">
        <f>IFERROR(E137/C137*100,0)</f>
        <v>0</v>
      </c>
      <c r="H137" s="313">
        <f>H138+H139+H141</f>
        <v>0</v>
      </c>
      <c r="I137" s="313">
        <f t="shared" ref="I137:AE137" si="48">I138+I139+I141</f>
        <v>0</v>
      </c>
      <c r="J137" s="313">
        <f t="shared" si="48"/>
        <v>0</v>
      </c>
      <c r="K137" s="313">
        <f t="shared" si="48"/>
        <v>0</v>
      </c>
      <c r="L137" s="313">
        <f t="shared" si="48"/>
        <v>0</v>
      </c>
      <c r="M137" s="313">
        <f t="shared" si="48"/>
        <v>0</v>
      </c>
      <c r="N137" s="313">
        <f t="shared" si="48"/>
        <v>0</v>
      </c>
      <c r="O137" s="313">
        <f t="shared" si="48"/>
        <v>0</v>
      </c>
      <c r="P137" s="313">
        <f t="shared" si="48"/>
        <v>0</v>
      </c>
      <c r="Q137" s="313">
        <f t="shared" si="48"/>
        <v>0</v>
      </c>
      <c r="R137" s="313">
        <f t="shared" si="48"/>
        <v>0</v>
      </c>
      <c r="S137" s="313">
        <f t="shared" si="48"/>
        <v>0</v>
      </c>
      <c r="T137" s="313">
        <f t="shared" si="48"/>
        <v>0</v>
      </c>
      <c r="U137" s="313">
        <f t="shared" si="48"/>
        <v>0</v>
      </c>
      <c r="V137" s="313">
        <f t="shared" si="48"/>
        <v>0</v>
      </c>
      <c r="W137" s="313">
        <f t="shared" si="48"/>
        <v>0</v>
      </c>
      <c r="X137" s="313">
        <f t="shared" si="48"/>
        <v>0</v>
      </c>
      <c r="Y137" s="313">
        <f t="shared" si="48"/>
        <v>0</v>
      </c>
      <c r="Z137" s="313">
        <f t="shared" si="48"/>
        <v>3180.5</v>
      </c>
      <c r="AA137" s="313">
        <f t="shared" si="48"/>
        <v>0</v>
      </c>
      <c r="AB137" s="313">
        <f t="shared" si="48"/>
        <v>0</v>
      </c>
      <c r="AC137" s="313">
        <f t="shared" si="48"/>
        <v>0</v>
      </c>
      <c r="AD137" s="313">
        <f t="shared" si="48"/>
        <v>0</v>
      </c>
      <c r="AE137" s="313">
        <f t="shared" si="48"/>
        <v>0</v>
      </c>
      <c r="AF137" s="1242" t="s">
        <v>520</v>
      </c>
    </row>
    <row r="138" spans="1:32" x14ac:dyDescent="0.25">
      <c r="A138" s="311" t="s">
        <v>32</v>
      </c>
      <c r="B138" s="313"/>
      <c r="C138" s="312"/>
      <c r="D138" s="313"/>
      <c r="E138" s="313"/>
      <c r="F138" s="313"/>
      <c r="G138" s="313"/>
      <c r="H138" s="312"/>
      <c r="I138" s="312"/>
      <c r="J138" s="312"/>
      <c r="K138" s="312"/>
      <c r="L138" s="312"/>
      <c r="M138" s="312"/>
      <c r="N138" s="312"/>
      <c r="O138" s="312"/>
      <c r="P138" s="312"/>
      <c r="Q138" s="312"/>
      <c r="R138" s="312"/>
      <c r="S138" s="312"/>
      <c r="T138" s="312"/>
      <c r="U138" s="312"/>
      <c r="V138" s="312"/>
      <c r="W138" s="312"/>
      <c r="X138" s="312"/>
      <c r="Y138" s="312"/>
      <c r="Z138" s="312"/>
      <c r="AA138" s="312"/>
      <c r="AB138" s="312"/>
      <c r="AC138" s="312"/>
      <c r="AD138" s="312"/>
      <c r="AE138" s="312"/>
      <c r="AF138" s="1243"/>
    </row>
    <row r="139" spans="1:32" ht="51.75" customHeight="1" x14ac:dyDescent="0.25">
      <c r="A139" s="311" t="s">
        <v>33</v>
      </c>
      <c r="B139" s="313">
        <f>H139+J139+L139+N139+P139+R139+T139+V139+X139+Z139+AB139+AD139</f>
        <v>3180.5</v>
      </c>
      <c r="C139" s="312">
        <f>H139+J139+L139+N139+P139+R139+T139</f>
        <v>0</v>
      </c>
      <c r="D139" s="313">
        <f>E139</f>
        <v>0</v>
      </c>
      <c r="E139" s="313">
        <f>I139+K139+M139+O139+Q139+S139+U139+W139+Y139+AA139+AC139+AE139</f>
        <v>0</v>
      </c>
      <c r="F139" s="313">
        <f>IFERROR(E139/B139*100,0)</f>
        <v>0</v>
      </c>
      <c r="G139" s="313">
        <f>IFERROR(E139/C139*100,0)</f>
        <v>0</v>
      </c>
      <c r="H139" s="312"/>
      <c r="I139" s="312"/>
      <c r="J139" s="312"/>
      <c r="K139" s="312"/>
      <c r="L139" s="312"/>
      <c r="M139" s="312"/>
      <c r="N139" s="312"/>
      <c r="O139" s="312"/>
      <c r="P139" s="312"/>
      <c r="Q139" s="312"/>
      <c r="R139" s="312"/>
      <c r="S139" s="312"/>
      <c r="T139" s="312"/>
      <c r="U139" s="312"/>
      <c r="V139" s="312"/>
      <c r="W139" s="312"/>
      <c r="X139" s="312"/>
      <c r="Y139" s="312"/>
      <c r="Z139" s="312">
        <v>3180.5</v>
      </c>
      <c r="AA139" s="312"/>
      <c r="AB139" s="312"/>
      <c r="AC139" s="312"/>
      <c r="AD139" s="312"/>
      <c r="AE139" s="312"/>
      <c r="AF139" s="1243"/>
    </row>
    <row r="140" spans="1:32" ht="31.5" x14ac:dyDescent="0.25">
      <c r="A140" s="325" t="s">
        <v>174</v>
      </c>
      <c r="B140" s="313"/>
      <c r="C140" s="312"/>
      <c r="D140" s="313"/>
      <c r="E140" s="313"/>
      <c r="F140" s="313"/>
      <c r="G140" s="313"/>
      <c r="H140" s="312"/>
      <c r="I140" s="312"/>
      <c r="J140" s="312"/>
      <c r="K140" s="312"/>
      <c r="L140" s="312"/>
      <c r="M140" s="312"/>
      <c r="N140" s="312"/>
      <c r="O140" s="312"/>
      <c r="P140" s="312"/>
      <c r="Q140" s="312"/>
      <c r="R140" s="312"/>
      <c r="S140" s="312"/>
      <c r="T140" s="312"/>
      <c r="U140" s="312"/>
      <c r="V140" s="312"/>
      <c r="W140" s="312"/>
      <c r="X140" s="312"/>
      <c r="Y140" s="312"/>
      <c r="Z140" s="312"/>
      <c r="AA140" s="312"/>
      <c r="AB140" s="312"/>
      <c r="AC140" s="312"/>
      <c r="AD140" s="312"/>
      <c r="AE140" s="312"/>
      <c r="AF140" s="1243"/>
    </row>
    <row r="141" spans="1:32" x14ac:dyDescent="0.25">
      <c r="A141" s="311" t="s">
        <v>374</v>
      </c>
      <c r="B141" s="313"/>
      <c r="C141" s="312"/>
      <c r="D141" s="313"/>
      <c r="E141" s="313"/>
      <c r="F141" s="313"/>
      <c r="G141" s="313"/>
      <c r="H141" s="312"/>
      <c r="I141" s="312"/>
      <c r="J141" s="312"/>
      <c r="K141" s="312"/>
      <c r="L141" s="312"/>
      <c r="M141" s="312"/>
      <c r="N141" s="312"/>
      <c r="O141" s="312"/>
      <c r="P141" s="312"/>
      <c r="Q141" s="312"/>
      <c r="R141" s="312"/>
      <c r="S141" s="312"/>
      <c r="T141" s="312"/>
      <c r="U141" s="312"/>
      <c r="V141" s="312"/>
      <c r="W141" s="312"/>
      <c r="X141" s="312"/>
      <c r="Y141" s="312"/>
      <c r="Z141" s="312"/>
      <c r="AA141" s="312"/>
      <c r="AB141" s="312"/>
      <c r="AC141" s="312"/>
      <c r="AD141" s="312"/>
      <c r="AE141" s="312"/>
      <c r="AF141" s="1244"/>
    </row>
    <row r="142" spans="1:32" ht="126.75" customHeight="1" x14ac:dyDescent="0.25">
      <c r="A142" s="825" t="s">
        <v>553</v>
      </c>
      <c r="B142" s="313"/>
      <c r="C142" s="312"/>
      <c r="D142" s="313"/>
      <c r="E142" s="313"/>
      <c r="F142" s="313"/>
      <c r="G142" s="313"/>
      <c r="H142" s="312"/>
      <c r="I142" s="312"/>
      <c r="J142" s="312"/>
      <c r="K142" s="312"/>
      <c r="L142" s="312"/>
      <c r="M142" s="312"/>
      <c r="N142" s="312"/>
      <c r="O142" s="312"/>
      <c r="P142" s="312"/>
      <c r="Q142" s="312"/>
      <c r="R142" s="312"/>
      <c r="S142" s="312"/>
      <c r="T142" s="312"/>
      <c r="U142" s="312"/>
      <c r="V142" s="312"/>
      <c r="W142" s="312"/>
      <c r="X142" s="312"/>
      <c r="Y142" s="312"/>
      <c r="Z142" s="312"/>
      <c r="AA142" s="312"/>
      <c r="AB142" s="312"/>
      <c r="AC142" s="312"/>
      <c r="AD142" s="312"/>
      <c r="AE142" s="312"/>
      <c r="AF142" s="827" t="s">
        <v>554</v>
      </c>
    </row>
    <row r="143" spans="1:32" x14ac:dyDescent="0.25">
      <c r="A143" s="311" t="s">
        <v>31</v>
      </c>
      <c r="B143" s="327">
        <f>B144+B145+B147</f>
        <v>3922.9</v>
      </c>
      <c r="C143" s="327">
        <f>C144+C145+C147</f>
        <v>0</v>
      </c>
      <c r="D143" s="327">
        <f>D144+D145+D147</f>
        <v>0</v>
      </c>
      <c r="E143" s="327">
        <f>E144+E145+E147</f>
        <v>0</v>
      </c>
      <c r="F143" s="313">
        <f>IFERROR(E143/B143*100,0)</f>
        <v>0</v>
      </c>
      <c r="G143" s="313">
        <f>IFERROR(E143/C143*100,0)</f>
        <v>0</v>
      </c>
      <c r="H143" s="313">
        <f>H144+H145+H147</f>
        <v>0</v>
      </c>
      <c r="I143" s="313">
        <f t="shared" ref="I143:AE143" si="49">I144+I145+I147</f>
        <v>0</v>
      </c>
      <c r="J143" s="313">
        <f t="shared" si="49"/>
        <v>0</v>
      </c>
      <c r="K143" s="313">
        <f t="shared" si="49"/>
        <v>0</v>
      </c>
      <c r="L143" s="313">
        <f t="shared" si="49"/>
        <v>0</v>
      </c>
      <c r="M143" s="313">
        <f t="shared" si="49"/>
        <v>0</v>
      </c>
      <c r="N143" s="313">
        <f t="shared" si="49"/>
        <v>0</v>
      </c>
      <c r="O143" s="313">
        <f t="shared" si="49"/>
        <v>0</v>
      </c>
      <c r="P143" s="313">
        <f t="shared" si="49"/>
        <v>0</v>
      </c>
      <c r="Q143" s="313">
        <f t="shared" si="49"/>
        <v>0</v>
      </c>
      <c r="R143" s="313">
        <f t="shared" si="49"/>
        <v>0</v>
      </c>
      <c r="S143" s="313">
        <f t="shared" si="49"/>
        <v>0</v>
      </c>
      <c r="T143" s="313">
        <f t="shared" si="49"/>
        <v>0</v>
      </c>
      <c r="U143" s="313">
        <f t="shared" si="49"/>
        <v>0</v>
      </c>
      <c r="V143" s="313">
        <f t="shared" si="49"/>
        <v>0</v>
      </c>
      <c r="W143" s="313">
        <f t="shared" si="49"/>
        <v>0</v>
      </c>
      <c r="X143" s="313">
        <f t="shared" si="49"/>
        <v>0</v>
      </c>
      <c r="Y143" s="313">
        <f t="shared" si="49"/>
        <v>0</v>
      </c>
      <c r="Z143" s="313">
        <f t="shared" si="49"/>
        <v>0</v>
      </c>
      <c r="AA143" s="313">
        <f t="shared" si="49"/>
        <v>0</v>
      </c>
      <c r="AB143" s="313">
        <f t="shared" si="49"/>
        <v>3922.9</v>
      </c>
      <c r="AC143" s="313">
        <f t="shared" si="49"/>
        <v>0</v>
      </c>
      <c r="AD143" s="313">
        <f t="shared" si="49"/>
        <v>0</v>
      </c>
      <c r="AE143" s="313">
        <f t="shared" si="49"/>
        <v>0</v>
      </c>
      <c r="AF143" s="827"/>
    </row>
    <row r="144" spans="1:32" x14ac:dyDescent="0.25">
      <c r="A144" s="311" t="s">
        <v>32</v>
      </c>
      <c r="B144" s="313"/>
      <c r="C144" s="312"/>
      <c r="D144" s="313"/>
      <c r="E144" s="313"/>
      <c r="F144" s="313"/>
      <c r="G144" s="313"/>
      <c r="H144" s="312"/>
      <c r="I144" s="312"/>
      <c r="J144" s="312"/>
      <c r="K144" s="312"/>
      <c r="L144" s="312"/>
      <c r="M144" s="312"/>
      <c r="N144" s="312"/>
      <c r="O144" s="312"/>
      <c r="P144" s="312"/>
      <c r="Q144" s="312"/>
      <c r="R144" s="312"/>
      <c r="S144" s="312"/>
      <c r="T144" s="312"/>
      <c r="U144" s="312"/>
      <c r="V144" s="312"/>
      <c r="W144" s="312"/>
      <c r="X144" s="312"/>
      <c r="Y144" s="312"/>
      <c r="Z144" s="312"/>
      <c r="AA144" s="312"/>
      <c r="AB144" s="312"/>
      <c r="AC144" s="312"/>
      <c r="AD144" s="312"/>
      <c r="AE144" s="312"/>
      <c r="AF144" s="826"/>
    </row>
    <row r="145" spans="1:32" ht="51.75" customHeight="1" x14ac:dyDescent="0.25">
      <c r="A145" s="311" t="s">
        <v>33</v>
      </c>
      <c r="B145" s="313">
        <f>H145+J145+L145+N145+P145+R145+T145+V145+X145+Z145+AB145+AD145</f>
        <v>3922.9</v>
      </c>
      <c r="C145" s="312">
        <f>H145+J145+L145+N145+P145+R145+T145</f>
        <v>0</v>
      </c>
      <c r="D145" s="313">
        <f>E145</f>
        <v>0</v>
      </c>
      <c r="E145" s="313">
        <f>I145+K145+M145+O145+Q145+S145+U145+W145+Y145+AA145+AC145+AE145</f>
        <v>0</v>
      </c>
      <c r="F145" s="313">
        <f>IFERROR(E145/B145*100,0)</f>
        <v>0</v>
      </c>
      <c r="G145" s="313">
        <f>IFERROR(E145/C145*100,0)</f>
        <v>0</v>
      </c>
      <c r="H145" s="312"/>
      <c r="I145" s="312"/>
      <c r="J145" s="312"/>
      <c r="K145" s="312"/>
      <c r="L145" s="312"/>
      <c r="M145" s="312"/>
      <c r="N145" s="312"/>
      <c r="O145" s="312"/>
      <c r="P145" s="312"/>
      <c r="Q145" s="312"/>
      <c r="R145" s="312"/>
      <c r="S145" s="312"/>
      <c r="T145" s="312"/>
      <c r="U145" s="312"/>
      <c r="V145" s="312"/>
      <c r="W145" s="312"/>
      <c r="X145" s="312"/>
      <c r="Y145" s="312"/>
      <c r="Z145" s="312"/>
      <c r="AA145" s="312"/>
      <c r="AB145" s="312">
        <v>3922.9</v>
      </c>
      <c r="AC145" s="312"/>
      <c r="AD145" s="312"/>
      <c r="AE145" s="312"/>
      <c r="AF145" s="826"/>
    </row>
    <row r="146" spans="1:32" ht="31.5" x14ac:dyDescent="0.25">
      <c r="A146" s="325" t="s">
        <v>174</v>
      </c>
      <c r="B146" s="313"/>
      <c r="C146" s="312"/>
      <c r="D146" s="313"/>
      <c r="E146" s="313"/>
      <c r="F146" s="313"/>
      <c r="G146" s="313"/>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826"/>
    </row>
    <row r="147" spans="1:32" x14ac:dyDescent="0.25">
      <c r="A147" s="311" t="s">
        <v>374</v>
      </c>
      <c r="B147" s="313"/>
      <c r="C147" s="312"/>
      <c r="D147" s="313"/>
      <c r="E147" s="313"/>
      <c r="F147" s="313"/>
      <c r="G147" s="313"/>
      <c r="H147" s="312"/>
      <c r="I147" s="312"/>
      <c r="J147" s="312"/>
      <c r="K147" s="312"/>
      <c r="L147" s="312"/>
      <c r="M147" s="312"/>
      <c r="N147" s="312"/>
      <c r="O147" s="312"/>
      <c r="P147" s="312"/>
      <c r="Q147" s="312"/>
      <c r="R147" s="312"/>
      <c r="S147" s="312"/>
      <c r="T147" s="312"/>
      <c r="U147" s="312"/>
      <c r="V147" s="312"/>
      <c r="W147" s="312"/>
      <c r="X147" s="312"/>
      <c r="Y147" s="312"/>
      <c r="Z147" s="312"/>
      <c r="AA147" s="312"/>
      <c r="AB147" s="312"/>
      <c r="AC147" s="312"/>
      <c r="AD147" s="312"/>
      <c r="AE147" s="312"/>
      <c r="AF147" s="826"/>
    </row>
    <row r="148" spans="1:32" x14ac:dyDescent="0.25">
      <c r="A148" s="314" t="s">
        <v>62</v>
      </c>
      <c r="B148" s="320">
        <f>B149+B150+B152</f>
        <v>13281.096000000001</v>
      </c>
      <c r="C148" s="320">
        <f>C149+C150+C152</f>
        <v>3554.7069999999999</v>
      </c>
      <c r="D148" s="320">
        <f>D149+D150+D152</f>
        <v>2401.64</v>
      </c>
      <c r="E148" s="320">
        <f>E149+E150+E152</f>
        <v>2401.64</v>
      </c>
      <c r="F148" s="320">
        <f>IFERROR(E148/B148*100,0)</f>
        <v>18.083146149986415</v>
      </c>
      <c r="G148" s="320">
        <f>IFERROR(E148/C148*100,0)</f>
        <v>67.562249153024425</v>
      </c>
      <c r="H148" s="320">
        <f>H149+H150+H152</f>
        <v>309.10599999999999</v>
      </c>
      <c r="I148" s="320">
        <f t="shared" ref="I148:AE148" si="50">I149+I150+I152</f>
        <v>290.38</v>
      </c>
      <c r="J148" s="320">
        <f t="shared" si="50"/>
        <v>520.11699999999996</v>
      </c>
      <c r="K148" s="320">
        <f t="shared" si="50"/>
        <v>297.3</v>
      </c>
      <c r="L148" s="320">
        <f t="shared" si="50"/>
        <v>519.91700000000003</v>
      </c>
      <c r="M148" s="320">
        <f t="shared" si="50"/>
        <v>298.05</v>
      </c>
      <c r="N148" s="320">
        <f t="shared" si="50"/>
        <v>519.91700000000003</v>
      </c>
      <c r="O148" s="320">
        <f t="shared" si="50"/>
        <v>304.35000000000002</v>
      </c>
      <c r="P148" s="320">
        <f t="shared" si="50"/>
        <v>519.91700000000003</v>
      </c>
      <c r="Q148" s="320">
        <f t="shared" si="50"/>
        <v>298.10000000000002</v>
      </c>
      <c r="R148" s="320">
        <f t="shared" si="50"/>
        <v>645.81700000000001</v>
      </c>
      <c r="S148" s="320">
        <f t="shared" si="50"/>
        <v>291.16000000000003</v>
      </c>
      <c r="T148" s="320">
        <f t="shared" si="50"/>
        <v>519.91600000000005</v>
      </c>
      <c r="U148" s="320">
        <f t="shared" si="50"/>
        <v>622.29999999999995</v>
      </c>
      <c r="V148" s="320">
        <f t="shared" si="50"/>
        <v>519.91600000000005</v>
      </c>
      <c r="W148" s="320">
        <f t="shared" si="50"/>
        <v>0</v>
      </c>
      <c r="X148" s="320">
        <f t="shared" si="50"/>
        <v>519.91600000000005</v>
      </c>
      <c r="Y148" s="320">
        <f t="shared" si="50"/>
        <v>0</v>
      </c>
      <c r="Z148" s="320">
        <f t="shared" si="50"/>
        <v>3700.4160000000002</v>
      </c>
      <c r="AA148" s="320">
        <f t="shared" si="50"/>
        <v>0</v>
      </c>
      <c r="AB148" s="320">
        <f t="shared" si="50"/>
        <v>4442.817</v>
      </c>
      <c r="AC148" s="320">
        <f t="shared" si="50"/>
        <v>0</v>
      </c>
      <c r="AD148" s="320">
        <f t="shared" si="50"/>
        <v>543.32399999999996</v>
      </c>
      <c r="AE148" s="320">
        <f t="shared" si="50"/>
        <v>0</v>
      </c>
      <c r="AF148" s="1245"/>
    </row>
    <row r="149" spans="1:32" x14ac:dyDescent="0.25">
      <c r="A149" s="311" t="s">
        <v>32</v>
      </c>
      <c r="B149" s="313"/>
      <c r="C149" s="313"/>
      <c r="D149" s="313"/>
      <c r="E149" s="313"/>
      <c r="F149" s="313"/>
      <c r="G149" s="313"/>
      <c r="H149" s="313"/>
      <c r="I149" s="313"/>
      <c r="J149" s="313"/>
      <c r="K149" s="313"/>
      <c r="L149" s="313"/>
      <c r="M149" s="313"/>
      <c r="N149" s="313"/>
      <c r="O149" s="313"/>
      <c r="P149" s="313"/>
      <c r="Q149" s="313"/>
      <c r="R149" s="313"/>
      <c r="S149" s="313"/>
      <c r="T149" s="313"/>
      <c r="U149" s="313"/>
      <c r="V149" s="313"/>
      <c r="W149" s="313"/>
      <c r="X149" s="313"/>
      <c r="Y149" s="313"/>
      <c r="Z149" s="313"/>
      <c r="AA149" s="313"/>
      <c r="AB149" s="313"/>
      <c r="AC149" s="313"/>
      <c r="AD149" s="313"/>
      <c r="AE149" s="313"/>
      <c r="AF149" s="1246"/>
    </row>
    <row r="150" spans="1:32" x14ac:dyDescent="0.25">
      <c r="A150" s="311" t="s">
        <v>93</v>
      </c>
      <c r="B150" s="313">
        <f>H150+J150+L150+N150+P150+R150+T150+V150+X150+Z150+AB150+AD150</f>
        <v>13281.096000000001</v>
      </c>
      <c r="C150" s="313">
        <f>C127</f>
        <v>3554.7069999999999</v>
      </c>
      <c r="D150" s="313">
        <f>E150</f>
        <v>2401.64</v>
      </c>
      <c r="E150" s="313">
        <f>I150+K150+M150+O150+Q150+S150+U150+W150+Y150+AA150+AC150+AE150</f>
        <v>2401.64</v>
      </c>
      <c r="F150" s="313">
        <f>IFERROR(E150/B150*100,0)</f>
        <v>18.083146149986415</v>
      </c>
      <c r="G150" s="313">
        <f>IFERROR(E150/C150*100,0)</f>
        <v>67.562249153024425</v>
      </c>
      <c r="H150" s="313">
        <f t="shared" ref="H150:W150" si="51">H127</f>
        <v>309.10599999999999</v>
      </c>
      <c r="I150" s="313">
        <f t="shared" si="51"/>
        <v>290.38</v>
      </c>
      <c r="J150" s="313">
        <f t="shared" si="51"/>
        <v>520.11699999999996</v>
      </c>
      <c r="K150" s="313">
        <f t="shared" si="51"/>
        <v>297.3</v>
      </c>
      <c r="L150" s="313">
        <f t="shared" si="51"/>
        <v>519.91700000000003</v>
      </c>
      <c r="M150" s="313">
        <f t="shared" si="51"/>
        <v>298.05</v>
      </c>
      <c r="N150" s="313">
        <f t="shared" si="51"/>
        <v>519.91700000000003</v>
      </c>
      <c r="O150" s="313">
        <f t="shared" si="51"/>
        <v>304.35000000000002</v>
      </c>
      <c r="P150" s="313">
        <f t="shared" si="51"/>
        <v>519.91700000000003</v>
      </c>
      <c r="Q150" s="313">
        <f t="shared" si="51"/>
        <v>298.10000000000002</v>
      </c>
      <c r="R150" s="313">
        <f t="shared" si="51"/>
        <v>645.81700000000001</v>
      </c>
      <c r="S150" s="313">
        <f t="shared" si="51"/>
        <v>291.16000000000003</v>
      </c>
      <c r="T150" s="313">
        <f t="shared" si="51"/>
        <v>519.91600000000005</v>
      </c>
      <c r="U150" s="313">
        <f t="shared" si="51"/>
        <v>622.29999999999995</v>
      </c>
      <c r="V150" s="313">
        <f t="shared" si="51"/>
        <v>519.91600000000005</v>
      </c>
      <c r="W150" s="313">
        <f t="shared" si="51"/>
        <v>0</v>
      </c>
      <c r="X150" s="313">
        <f t="shared" ref="X150:AE150" si="52">X127</f>
        <v>519.91600000000005</v>
      </c>
      <c r="Y150" s="313">
        <f t="shared" si="52"/>
        <v>0</v>
      </c>
      <c r="Z150" s="313">
        <f t="shared" si="52"/>
        <v>3700.4160000000002</v>
      </c>
      <c r="AA150" s="313">
        <f t="shared" si="52"/>
        <v>0</v>
      </c>
      <c r="AB150" s="313">
        <f t="shared" si="52"/>
        <v>4442.817</v>
      </c>
      <c r="AC150" s="313">
        <f t="shared" si="52"/>
        <v>0</v>
      </c>
      <c r="AD150" s="313">
        <f t="shared" si="52"/>
        <v>543.32399999999996</v>
      </c>
      <c r="AE150" s="313">
        <f t="shared" si="52"/>
        <v>0</v>
      </c>
      <c r="AF150" s="1246"/>
    </row>
    <row r="151" spans="1:32" ht="31.5" x14ac:dyDescent="0.25">
      <c r="A151" s="325" t="s">
        <v>174</v>
      </c>
      <c r="B151" s="312"/>
      <c r="C151" s="313"/>
      <c r="D151" s="313"/>
      <c r="E151" s="313"/>
      <c r="F151" s="313"/>
      <c r="G151" s="313"/>
      <c r="H151" s="313"/>
      <c r="I151" s="313"/>
      <c r="J151" s="313"/>
      <c r="K151" s="313"/>
      <c r="L151" s="313"/>
      <c r="M151" s="313"/>
      <c r="N151" s="313"/>
      <c r="O151" s="313"/>
      <c r="P151" s="313"/>
      <c r="Q151" s="313"/>
      <c r="R151" s="313"/>
      <c r="S151" s="313"/>
      <c r="T151" s="313"/>
      <c r="U151" s="313"/>
      <c r="V151" s="313"/>
      <c r="W151" s="313"/>
      <c r="X151" s="313"/>
      <c r="Y151" s="313"/>
      <c r="Z151" s="313"/>
      <c r="AA151" s="313"/>
      <c r="AB151" s="313"/>
      <c r="AC151" s="313"/>
      <c r="AD151" s="313"/>
      <c r="AE151" s="313"/>
      <c r="AF151" s="1246"/>
    </row>
    <row r="152" spans="1:32" x14ac:dyDescent="0.25">
      <c r="A152" s="311" t="s">
        <v>374</v>
      </c>
      <c r="B152" s="312"/>
      <c r="C152" s="313"/>
      <c r="D152" s="313"/>
      <c r="E152" s="313"/>
      <c r="F152" s="313"/>
      <c r="G152" s="313"/>
      <c r="H152" s="313"/>
      <c r="I152" s="313"/>
      <c r="J152" s="313"/>
      <c r="K152" s="313"/>
      <c r="L152" s="313"/>
      <c r="M152" s="313"/>
      <c r="N152" s="313"/>
      <c r="O152" s="313"/>
      <c r="P152" s="313"/>
      <c r="Q152" s="313"/>
      <c r="R152" s="313"/>
      <c r="S152" s="313"/>
      <c r="T152" s="313"/>
      <c r="U152" s="313"/>
      <c r="V152" s="313"/>
      <c r="W152" s="313"/>
      <c r="X152" s="313"/>
      <c r="Y152" s="313"/>
      <c r="Z152" s="313"/>
      <c r="AA152" s="313"/>
      <c r="AB152" s="313"/>
      <c r="AC152" s="313"/>
      <c r="AD152" s="313"/>
      <c r="AE152" s="313"/>
      <c r="AF152" s="1246"/>
    </row>
    <row r="153" spans="1:32" ht="31.5" x14ac:dyDescent="0.25">
      <c r="A153" s="314" t="s">
        <v>63</v>
      </c>
      <c r="B153" s="331">
        <f>B154+B155+B157</f>
        <v>904343.92700000003</v>
      </c>
      <c r="C153" s="331">
        <f>C154+C155+C157</f>
        <v>95688.049000000014</v>
      </c>
      <c r="D153" s="331">
        <f>D154+D155+D157</f>
        <v>173130.99</v>
      </c>
      <c r="E153" s="331">
        <f>E154+E155+E157</f>
        <v>173130.99</v>
      </c>
      <c r="F153" s="331">
        <f>E153/B153*100</f>
        <v>19.144374704248992</v>
      </c>
      <c r="G153" s="331">
        <f>E153/C153*100</f>
        <v>180.93272023970303</v>
      </c>
      <c r="H153" s="331">
        <f>H154+H155+H157</f>
        <v>37687.879000000001</v>
      </c>
      <c r="I153" s="331">
        <f t="shared" ref="I153:AE153" si="53">I154+I155+I157</f>
        <v>21641.969999999998</v>
      </c>
      <c r="J153" s="331">
        <f t="shared" si="53"/>
        <v>30920.217000000001</v>
      </c>
      <c r="K153" s="331">
        <f t="shared" si="53"/>
        <v>33857.420000000006</v>
      </c>
      <c r="L153" s="331">
        <f t="shared" si="53"/>
        <v>27079.953000000005</v>
      </c>
      <c r="M153" s="331">
        <f t="shared" si="53"/>
        <v>22549.989999999998</v>
      </c>
      <c r="N153" s="331">
        <f t="shared" si="53"/>
        <v>32433.851000000006</v>
      </c>
      <c r="O153" s="331">
        <f t="shared" si="53"/>
        <v>23828.379999999997</v>
      </c>
      <c r="P153" s="331">
        <f t="shared" si="53"/>
        <v>21759.444000000003</v>
      </c>
      <c r="Q153" s="331">
        <f t="shared" si="53"/>
        <v>23625.32</v>
      </c>
      <c r="R153" s="331">
        <f t="shared" si="53"/>
        <v>21198.339</v>
      </c>
      <c r="S153" s="331">
        <f t="shared" si="53"/>
        <v>22637.929999999997</v>
      </c>
      <c r="T153" s="331">
        <f t="shared" si="53"/>
        <v>24124.656000000003</v>
      </c>
      <c r="U153" s="331">
        <f t="shared" si="53"/>
        <v>24989.979999999996</v>
      </c>
      <c r="V153" s="331">
        <f t="shared" si="53"/>
        <v>40328.163000000008</v>
      </c>
      <c r="W153" s="331">
        <f t="shared" si="53"/>
        <v>0</v>
      </c>
      <c r="X153" s="331">
        <f t="shared" si="53"/>
        <v>98194.060999999987</v>
      </c>
      <c r="Y153" s="331">
        <f t="shared" si="53"/>
        <v>0</v>
      </c>
      <c r="Z153" s="331">
        <f t="shared" si="53"/>
        <v>446155.38899999997</v>
      </c>
      <c r="AA153" s="331">
        <f t="shared" si="53"/>
        <v>0</v>
      </c>
      <c r="AB153" s="331">
        <f t="shared" si="53"/>
        <v>74593.036999999997</v>
      </c>
      <c r="AC153" s="331">
        <f t="shared" si="53"/>
        <v>0</v>
      </c>
      <c r="AD153" s="331">
        <f t="shared" si="53"/>
        <v>49868.938000000002</v>
      </c>
      <c r="AE153" s="331">
        <f t="shared" si="53"/>
        <v>0</v>
      </c>
      <c r="AF153" s="1246"/>
    </row>
    <row r="154" spans="1:32" x14ac:dyDescent="0.25">
      <c r="A154" s="311" t="s">
        <v>32</v>
      </c>
      <c r="B154" s="313">
        <f>H154+J154+L154+N154+P154+R154+T154+V154+X154+Z154+AB154+AD154</f>
        <v>210752.09999999998</v>
      </c>
      <c r="C154" s="313">
        <f>H154+J154+L154</f>
        <v>0</v>
      </c>
      <c r="D154" s="313">
        <f>E154</f>
        <v>0</v>
      </c>
      <c r="E154" s="313">
        <f>I154+K154+M154+O154+Q154+S154+U154+W154+Y154+AA154+AC154+AE154</f>
        <v>0</v>
      </c>
      <c r="F154" s="313">
        <f>IFERROR(E154/B154*100,0)</f>
        <v>0</v>
      </c>
      <c r="G154" s="313">
        <f>IFERROR(E154/C154*100,0)</f>
        <v>0</v>
      </c>
      <c r="H154" s="313">
        <f t="shared" ref="H154:AE154" si="54">H159</f>
        <v>0</v>
      </c>
      <c r="I154" s="313">
        <f t="shared" si="54"/>
        <v>0</v>
      </c>
      <c r="J154" s="313">
        <f t="shared" si="54"/>
        <v>0</v>
      </c>
      <c r="K154" s="313">
        <f t="shared" si="54"/>
        <v>0</v>
      </c>
      <c r="L154" s="313">
        <f t="shared" si="54"/>
        <v>0</v>
      </c>
      <c r="M154" s="313">
        <f t="shared" si="54"/>
        <v>0</v>
      </c>
      <c r="N154" s="313">
        <f t="shared" si="54"/>
        <v>0</v>
      </c>
      <c r="O154" s="313">
        <f t="shared" si="54"/>
        <v>0</v>
      </c>
      <c r="P154" s="313">
        <f t="shared" si="54"/>
        <v>0</v>
      </c>
      <c r="Q154" s="313">
        <f t="shared" si="54"/>
        <v>0</v>
      </c>
      <c r="R154" s="313">
        <f t="shared" si="54"/>
        <v>0</v>
      </c>
      <c r="S154" s="313">
        <f t="shared" si="54"/>
        <v>0</v>
      </c>
      <c r="T154" s="313">
        <f t="shared" si="54"/>
        <v>0</v>
      </c>
      <c r="U154" s="313">
        <f t="shared" si="54"/>
        <v>0</v>
      </c>
      <c r="V154" s="313">
        <f t="shared" si="54"/>
        <v>5612.6</v>
      </c>
      <c r="W154" s="313">
        <f t="shared" si="54"/>
        <v>0</v>
      </c>
      <c r="X154" s="313">
        <f t="shared" si="54"/>
        <v>41529.199999999997</v>
      </c>
      <c r="Y154" s="313">
        <f t="shared" si="54"/>
        <v>0</v>
      </c>
      <c r="Z154" s="313">
        <f t="shared" si="54"/>
        <v>163610.29999999999</v>
      </c>
      <c r="AA154" s="313">
        <f t="shared" si="54"/>
        <v>0</v>
      </c>
      <c r="AB154" s="313">
        <f t="shared" si="54"/>
        <v>0</v>
      </c>
      <c r="AC154" s="313">
        <f t="shared" si="54"/>
        <v>0</v>
      </c>
      <c r="AD154" s="313">
        <f t="shared" si="54"/>
        <v>0</v>
      </c>
      <c r="AE154" s="313">
        <f t="shared" si="54"/>
        <v>0</v>
      </c>
      <c r="AF154" s="1246"/>
    </row>
    <row r="155" spans="1:32" x14ac:dyDescent="0.25">
      <c r="A155" s="311" t="s">
        <v>33</v>
      </c>
      <c r="B155" s="313">
        <f>H155+J155+L155+N155+P155+R155+T155+V155+X155+Z155+AB155+AD155</f>
        <v>336984.06700000004</v>
      </c>
      <c r="C155" s="313">
        <f>H155+J155+L155</f>
        <v>95688.049000000014</v>
      </c>
      <c r="D155" s="313">
        <f>E155</f>
        <v>173130.99</v>
      </c>
      <c r="E155" s="313">
        <f>I155+K155+M155+O155+Q155+S155+U155+W155+Y155+AA155+AC155+AE155</f>
        <v>173130.99</v>
      </c>
      <c r="F155" s="313">
        <f>IFERROR(E155/B155*100,0)</f>
        <v>51.376610040141749</v>
      </c>
      <c r="G155" s="313">
        <f>IFERROR(E155/C155*100,0)</f>
        <v>180.93272023970303</v>
      </c>
      <c r="H155" s="313">
        <f t="shared" ref="H155:W157" si="55">H160</f>
        <v>37687.879000000001</v>
      </c>
      <c r="I155" s="313">
        <f t="shared" si="55"/>
        <v>21641.969999999998</v>
      </c>
      <c r="J155" s="313">
        <f t="shared" si="55"/>
        <v>30920.217000000001</v>
      </c>
      <c r="K155" s="313">
        <f t="shared" si="55"/>
        <v>33857.420000000006</v>
      </c>
      <c r="L155" s="313">
        <f t="shared" si="55"/>
        <v>27079.953000000005</v>
      </c>
      <c r="M155" s="313">
        <f t="shared" si="55"/>
        <v>22549.989999999998</v>
      </c>
      <c r="N155" s="313">
        <f t="shared" si="55"/>
        <v>32433.851000000006</v>
      </c>
      <c r="O155" s="313">
        <f t="shared" si="55"/>
        <v>23828.379999999997</v>
      </c>
      <c r="P155" s="313">
        <f t="shared" si="55"/>
        <v>21759.444000000003</v>
      </c>
      <c r="Q155" s="313">
        <f t="shared" si="55"/>
        <v>23625.32</v>
      </c>
      <c r="R155" s="313">
        <f t="shared" si="55"/>
        <v>21198.339</v>
      </c>
      <c r="S155" s="313">
        <f t="shared" si="55"/>
        <v>22637.929999999997</v>
      </c>
      <c r="T155" s="313">
        <f t="shared" si="55"/>
        <v>24124.656000000003</v>
      </c>
      <c r="U155" s="313">
        <f t="shared" si="55"/>
        <v>24989.979999999996</v>
      </c>
      <c r="V155" s="313">
        <f t="shared" si="55"/>
        <v>29102.963000000007</v>
      </c>
      <c r="W155" s="313">
        <f t="shared" si="55"/>
        <v>0</v>
      </c>
      <c r="X155" s="313">
        <f t="shared" ref="X155:AE155" si="56">X160</f>
        <v>15135.661</v>
      </c>
      <c r="Y155" s="313">
        <f t="shared" si="56"/>
        <v>0</v>
      </c>
      <c r="Z155" s="313">
        <f t="shared" si="56"/>
        <v>48955.828999999998</v>
      </c>
      <c r="AA155" s="313">
        <f t="shared" si="56"/>
        <v>0</v>
      </c>
      <c r="AB155" s="313">
        <f t="shared" si="56"/>
        <v>29120.037</v>
      </c>
      <c r="AC155" s="313">
        <f t="shared" si="56"/>
        <v>0</v>
      </c>
      <c r="AD155" s="313">
        <f t="shared" si="56"/>
        <v>19465.238000000001</v>
      </c>
      <c r="AE155" s="313">
        <f t="shared" si="56"/>
        <v>0</v>
      </c>
      <c r="AF155" s="1246"/>
    </row>
    <row r="156" spans="1:32" ht="31.5" x14ac:dyDescent="0.25">
      <c r="A156" s="325" t="s">
        <v>174</v>
      </c>
      <c r="B156" s="313"/>
      <c r="C156" s="313"/>
      <c r="D156" s="313"/>
      <c r="E156" s="313"/>
      <c r="F156" s="313"/>
      <c r="G156" s="313"/>
      <c r="H156" s="313"/>
      <c r="I156" s="313"/>
      <c r="J156" s="313"/>
      <c r="K156" s="313"/>
      <c r="L156" s="313"/>
      <c r="M156" s="313"/>
      <c r="N156" s="313"/>
      <c r="O156" s="313"/>
      <c r="P156" s="313"/>
      <c r="Q156" s="313"/>
      <c r="R156" s="313"/>
      <c r="S156" s="313"/>
      <c r="T156" s="313"/>
      <c r="U156" s="313"/>
      <c r="V156" s="313"/>
      <c r="W156" s="313"/>
      <c r="X156" s="313"/>
      <c r="Y156" s="313"/>
      <c r="Z156" s="313"/>
      <c r="AA156" s="313"/>
      <c r="AB156" s="313"/>
      <c r="AC156" s="313"/>
      <c r="AD156" s="313"/>
      <c r="AE156" s="313"/>
      <c r="AF156" s="1246"/>
    </row>
    <row r="157" spans="1:32" x14ac:dyDescent="0.25">
      <c r="A157" s="311" t="s">
        <v>374</v>
      </c>
      <c r="B157" s="313">
        <f>H157+J157+L157+N157+P157+R157+T157+V157+X157+Z157+AB157+AD157</f>
        <v>356607.76</v>
      </c>
      <c r="C157" s="313">
        <f>H157+J157+L157</f>
        <v>0</v>
      </c>
      <c r="D157" s="313">
        <f>E157</f>
        <v>0</v>
      </c>
      <c r="E157" s="313">
        <f>I157+K157+M157+O157+Q157+S157+U157+W157+Y157+AA157+AC157+AE157</f>
        <v>0</v>
      </c>
      <c r="F157" s="313">
        <f>IFERROR(E157/B157*100,0)</f>
        <v>0</v>
      </c>
      <c r="G157" s="313">
        <f>IFERROR(E157/C157*100,0)</f>
        <v>0</v>
      </c>
      <c r="H157" s="313">
        <f t="shared" si="55"/>
        <v>0</v>
      </c>
      <c r="I157" s="313">
        <f t="shared" si="55"/>
        <v>0</v>
      </c>
      <c r="J157" s="313">
        <f t="shared" si="55"/>
        <v>0</v>
      </c>
      <c r="K157" s="313">
        <f t="shared" si="55"/>
        <v>0</v>
      </c>
      <c r="L157" s="313">
        <f t="shared" si="55"/>
        <v>0</v>
      </c>
      <c r="M157" s="313">
        <f t="shared" si="55"/>
        <v>0</v>
      </c>
      <c r="N157" s="313">
        <f t="shared" si="55"/>
        <v>0</v>
      </c>
      <c r="O157" s="313">
        <f t="shared" si="55"/>
        <v>0</v>
      </c>
      <c r="P157" s="313">
        <f t="shared" si="55"/>
        <v>0</v>
      </c>
      <c r="Q157" s="313">
        <f t="shared" si="55"/>
        <v>0</v>
      </c>
      <c r="R157" s="313">
        <f t="shared" si="55"/>
        <v>0</v>
      </c>
      <c r="S157" s="313">
        <f t="shared" si="55"/>
        <v>0</v>
      </c>
      <c r="T157" s="313">
        <f t="shared" si="55"/>
        <v>0</v>
      </c>
      <c r="U157" s="313">
        <f t="shared" si="55"/>
        <v>0</v>
      </c>
      <c r="V157" s="313">
        <f t="shared" si="55"/>
        <v>5612.6</v>
      </c>
      <c r="W157" s="313">
        <f t="shared" si="55"/>
        <v>0</v>
      </c>
      <c r="X157" s="313">
        <f t="shared" ref="X157:AE157" si="57">X162</f>
        <v>41529.199999999997</v>
      </c>
      <c r="Y157" s="313">
        <f t="shared" si="57"/>
        <v>0</v>
      </c>
      <c r="Z157" s="313">
        <f t="shared" si="57"/>
        <v>233589.26</v>
      </c>
      <c r="AA157" s="313">
        <f t="shared" si="57"/>
        <v>0</v>
      </c>
      <c r="AB157" s="313">
        <f t="shared" si="57"/>
        <v>45473</v>
      </c>
      <c r="AC157" s="313">
        <f t="shared" si="57"/>
        <v>0</v>
      </c>
      <c r="AD157" s="313">
        <f t="shared" si="57"/>
        <v>30403.7</v>
      </c>
      <c r="AE157" s="313">
        <f t="shared" si="57"/>
        <v>0</v>
      </c>
      <c r="AF157" s="1247"/>
    </row>
    <row r="158" spans="1:32" ht="31.5" x14ac:dyDescent="0.25">
      <c r="A158" s="332" t="s">
        <v>100</v>
      </c>
      <c r="B158" s="333">
        <f>B159+B160+B162</f>
        <v>904343.92700000014</v>
      </c>
      <c r="C158" s="333">
        <f>C159+C160+C162</f>
        <v>195136.639</v>
      </c>
      <c r="D158" s="333">
        <f>D159+D160+D162</f>
        <v>173130.99000000002</v>
      </c>
      <c r="E158" s="333">
        <f>E159+E160+E162</f>
        <v>173130.99000000002</v>
      </c>
      <c r="F158" s="333">
        <f>IFERROR(E158/B158%,0)</f>
        <v>19.144374704248996</v>
      </c>
      <c r="G158" s="333">
        <f>IFERROR(E158/C158%,0)</f>
        <v>88.722953765745672</v>
      </c>
      <c r="H158" s="333">
        <f>H159+H160+H162</f>
        <v>37687.879000000001</v>
      </c>
      <c r="I158" s="333">
        <f t="shared" ref="I158:AE158" si="58">I159+I160+I162</f>
        <v>21641.969999999998</v>
      </c>
      <c r="J158" s="333">
        <f t="shared" si="58"/>
        <v>30920.217000000001</v>
      </c>
      <c r="K158" s="333">
        <f t="shared" si="58"/>
        <v>33857.420000000006</v>
      </c>
      <c r="L158" s="333">
        <f t="shared" si="58"/>
        <v>27079.953000000005</v>
      </c>
      <c r="M158" s="333">
        <f t="shared" si="58"/>
        <v>22549.989999999998</v>
      </c>
      <c r="N158" s="333">
        <f t="shared" si="58"/>
        <v>32433.851000000006</v>
      </c>
      <c r="O158" s="333">
        <f t="shared" si="58"/>
        <v>23828.379999999997</v>
      </c>
      <c r="P158" s="333">
        <f t="shared" si="58"/>
        <v>21759.444000000003</v>
      </c>
      <c r="Q158" s="333">
        <f t="shared" si="58"/>
        <v>23625.32</v>
      </c>
      <c r="R158" s="333">
        <f t="shared" si="58"/>
        <v>21198.339</v>
      </c>
      <c r="S158" s="333">
        <f t="shared" si="58"/>
        <v>22637.929999999997</v>
      </c>
      <c r="T158" s="333">
        <f t="shared" si="58"/>
        <v>24124.656000000003</v>
      </c>
      <c r="U158" s="333">
        <f t="shared" si="58"/>
        <v>24989.979999999996</v>
      </c>
      <c r="V158" s="333">
        <f t="shared" si="58"/>
        <v>40328.163000000008</v>
      </c>
      <c r="W158" s="333">
        <f t="shared" si="58"/>
        <v>0</v>
      </c>
      <c r="X158" s="333">
        <f t="shared" si="58"/>
        <v>98194.060999999987</v>
      </c>
      <c r="Y158" s="333">
        <f t="shared" si="58"/>
        <v>0</v>
      </c>
      <c r="Z158" s="333">
        <f t="shared" si="58"/>
        <v>446155.38899999997</v>
      </c>
      <c r="AA158" s="333">
        <f t="shared" si="58"/>
        <v>0</v>
      </c>
      <c r="AB158" s="333">
        <f t="shared" si="58"/>
        <v>74593.036999999997</v>
      </c>
      <c r="AC158" s="333">
        <f t="shared" si="58"/>
        <v>0</v>
      </c>
      <c r="AD158" s="333">
        <f t="shared" si="58"/>
        <v>49868.938000000002</v>
      </c>
      <c r="AE158" s="333">
        <f t="shared" si="58"/>
        <v>0</v>
      </c>
      <c r="AF158" s="1248"/>
    </row>
    <row r="159" spans="1:32" x14ac:dyDescent="0.25">
      <c r="A159" s="311" t="s">
        <v>32</v>
      </c>
      <c r="B159" s="313">
        <f>B17+B53+B107+B126</f>
        <v>210752.09999999998</v>
      </c>
      <c r="C159" s="313">
        <f>C17+C53+C107+C126</f>
        <v>0</v>
      </c>
      <c r="D159" s="313">
        <f>D17+D53+D107+D126</f>
        <v>0</v>
      </c>
      <c r="E159" s="313">
        <f>E17+E53+E107+E126</f>
        <v>0</v>
      </c>
      <c r="F159" s="313">
        <f>IFERROR(E159/B159%,0)</f>
        <v>0</v>
      </c>
      <c r="G159" s="313">
        <f>IFERROR(E159/C159%,0)</f>
        <v>0</v>
      </c>
      <c r="H159" s="313">
        <f t="shared" ref="H159:AE159" si="59">H17+H53+H107+H126</f>
        <v>0</v>
      </c>
      <c r="I159" s="313">
        <f t="shared" si="59"/>
        <v>0</v>
      </c>
      <c r="J159" s="313">
        <f t="shared" si="59"/>
        <v>0</v>
      </c>
      <c r="K159" s="313">
        <f t="shared" si="59"/>
        <v>0</v>
      </c>
      <c r="L159" s="313">
        <f t="shared" si="59"/>
        <v>0</v>
      </c>
      <c r="M159" s="313">
        <f t="shared" si="59"/>
        <v>0</v>
      </c>
      <c r="N159" s="313">
        <f t="shared" si="59"/>
        <v>0</v>
      </c>
      <c r="O159" s="313">
        <f t="shared" si="59"/>
        <v>0</v>
      </c>
      <c r="P159" s="313">
        <f t="shared" si="59"/>
        <v>0</v>
      </c>
      <c r="Q159" s="313">
        <f t="shared" si="59"/>
        <v>0</v>
      </c>
      <c r="R159" s="313">
        <f t="shared" si="59"/>
        <v>0</v>
      </c>
      <c r="S159" s="313">
        <f t="shared" si="59"/>
        <v>0</v>
      </c>
      <c r="T159" s="313">
        <f t="shared" si="59"/>
        <v>0</v>
      </c>
      <c r="U159" s="313">
        <f t="shared" si="59"/>
        <v>0</v>
      </c>
      <c r="V159" s="313">
        <f t="shared" si="59"/>
        <v>5612.6</v>
      </c>
      <c r="W159" s="313">
        <f t="shared" si="59"/>
        <v>0</v>
      </c>
      <c r="X159" s="313">
        <f t="shared" si="59"/>
        <v>41529.199999999997</v>
      </c>
      <c r="Y159" s="313">
        <f t="shared" si="59"/>
        <v>0</v>
      </c>
      <c r="Z159" s="313">
        <f t="shared" si="59"/>
        <v>163610.29999999999</v>
      </c>
      <c r="AA159" s="313">
        <f t="shared" si="59"/>
        <v>0</v>
      </c>
      <c r="AB159" s="313">
        <f t="shared" si="59"/>
        <v>0</v>
      </c>
      <c r="AC159" s="313">
        <f t="shared" si="59"/>
        <v>0</v>
      </c>
      <c r="AD159" s="313">
        <f t="shared" si="59"/>
        <v>0</v>
      </c>
      <c r="AE159" s="313">
        <f t="shared" si="59"/>
        <v>0</v>
      </c>
      <c r="AF159" s="1249"/>
    </row>
    <row r="160" spans="1:32" x14ac:dyDescent="0.25">
      <c r="A160" s="311" t="s">
        <v>33</v>
      </c>
      <c r="B160" s="313">
        <f>B10+B18+B54+B108+B127</f>
        <v>336984.0670000001</v>
      </c>
      <c r="C160" s="313">
        <f>C10+C18+C54+C108+C127</f>
        <v>195136.639</v>
      </c>
      <c r="D160" s="313">
        <f>D10+D18+D54+D108+D127</f>
        <v>173130.99000000002</v>
      </c>
      <c r="E160" s="313">
        <f>E10+E18+E54+E108+E127</f>
        <v>173130.99000000002</v>
      </c>
      <c r="F160" s="313">
        <f>IFERROR(E160/B160%,0)</f>
        <v>51.376610040141742</v>
      </c>
      <c r="G160" s="313">
        <f>IFERROR(E160/C160%,0)</f>
        <v>88.722953765745672</v>
      </c>
      <c r="H160" s="575">
        <f t="shared" ref="H160:AE160" si="60">H10+H18+H54+H108+H127</f>
        <v>37687.879000000001</v>
      </c>
      <c r="I160" s="313">
        <f t="shared" si="60"/>
        <v>21641.969999999998</v>
      </c>
      <c r="J160" s="313">
        <f t="shared" si="60"/>
        <v>30920.217000000001</v>
      </c>
      <c r="K160" s="313">
        <f t="shared" si="60"/>
        <v>33857.420000000006</v>
      </c>
      <c r="L160" s="313">
        <f t="shared" si="60"/>
        <v>27079.953000000005</v>
      </c>
      <c r="M160" s="313">
        <f t="shared" si="60"/>
        <v>22549.989999999998</v>
      </c>
      <c r="N160" s="313">
        <f t="shared" si="60"/>
        <v>32433.851000000006</v>
      </c>
      <c r="O160" s="313">
        <f t="shared" si="60"/>
        <v>23828.379999999997</v>
      </c>
      <c r="P160" s="313">
        <f t="shared" si="60"/>
        <v>21759.444000000003</v>
      </c>
      <c r="Q160" s="313">
        <f t="shared" si="60"/>
        <v>23625.32</v>
      </c>
      <c r="R160" s="313">
        <f t="shared" si="60"/>
        <v>21198.339</v>
      </c>
      <c r="S160" s="313">
        <f t="shared" si="60"/>
        <v>22637.929999999997</v>
      </c>
      <c r="T160" s="313">
        <f t="shared" si="60"/>
        <v>24124.656000000003</v>
      </c>
      <c r="U160" s="313">
        <f t="shared" si="60"/>
        <v>24989.979999999996</v>
      </c>
      <c r="V160" s="313">
        <f t="shared" si="60"/>
        <v>29102.963000000007</v>
      </c>
      <c r="W160" s="313">
        <f t="shared" si="60"/>
        <v>0</v>
      </c>
      <c r="X160" s="313">
        <f t="shared" si="60"/>
        <v>15135.661</v>
      </c>
      <c r="Y160" s="313">
        <f t="shared" si="60"/>
        <v>0</v>
      </c>
      <c r="Z160" s="313">
        <f t="shared" si="60"/>
        <v>48955.828999999998</v>
      </c>
      <c r="AA160" s="313">
        <f t="shared" si="60"/>
        <v>0</v>
      </c>
      <c r="AB160" s="313">
        <f t="shared" si="60"/>
        <v>29120.037</v>
      </c>
      <c r="AC160" s="313">
        <f t="shared" si="60"/>
        <v>0</v>
      </c>
      <c r="AD160" s="313">
        <f t="shared" si="60"/>
        <v>19465.238000000001</v>
      </c>
      <c r="AE160" s="313">
        <f t="shared" si="60"/>
        <v>0</v>
      </c>
      <c r="AF160" s="1249"/>
    </row>
    <row r="161" spans="1:32" ht="31.5" x14ac:dyDescent="0.25">
      <c r="A161" s="325" t="s">
        <v>174</v>
      </c>
      <c r="B161" s="313">
        <f t="shared" ref="B161:E162" si="61">B19+B55++B109+B128</f>
        <v>0</v>
      </c>
      <c r="C161" s="313">
        <f t="shared" si="61"/>
        <v>0</v>
      </c>
      <c r="D161" s="313">
        <f t="shared" si="61"/>
        <v>0</v>
      </c>
      <c r="E161" s="313">
        <f t="shared" si="61"/>
        <v>0</v>
      </c>
      <c r="F161" s="313">
        <f>IFERROR(E161/B161%,0)</f>
        <v>0</v>
      </c>
      <c r="G161" s="313">
        <f>IFERROR(E161/C161%,0)</f>
        <v>0</v>
      </c>
      <c r="H161" s="313">
        <f t="shared" ref="H161:AE161" si="62">H19+H55++H109+H128</f>
        <v>0</v>
      </c>
      <c r="I161" s="313">
        <f t="shared" si="62"/>
        <v>0</v>
      </c>
      <c r="J161" s="313">
        <f t="shared" si="62"/>
        <v>0</v>
      </c>
      <c r="K161" s="313">
        <f t="shared" si="62"/>
        <v>0</v>
      </c>
      <c r="L161" s="313">
        <f t="shared" si="62"/>
        <v>0</v>
      </c>
      <c r="M161" s="313">
        <f t="shared" si="62"/>
        <v>0</v>
      </c>
      <c r="N161" s="313">
        <f t="shared" si="62"/>
        <v>0</v>
      </c>
      <c r="O161" s="313">
        <f t="shared" si="62"/>
        <v>0</v>
      </c>
      <c r="P161" s="313">
        <f t="shared" si="62"/>
        <v>0</v>
      </c>
      <c r="Q161" s="313">
        <f t="shared" si="62"/>
        <v>0</v>
      </c>
      <c r="R161" s="313">
        <f t="shared" si="62"/>
        <v>0</v>
      </c>
      <c r="S161" s="313">
        <f t="shared" si="62"/>
        <v>0</v>
      </c>
      <c r="T161" s="313">
        <f t="shared" si="62"/>
        <v>0</v>
      </c>
      <c r="U161" s="313">
        <f t="shared" si="62"/>
        <v>0</v>
      </c>
      <c r="V161" s="313">
        <f t="shared" si="62"/>
        <v>0</v>
      </c>
      <c r="W161" s="313">
        <f t="shared" si="62"/>
        <v>0</v>
      </c>
      <c r="X161" s="313">
        <f t="shared" si="62"/>
        <v>0</v>
      </c>
      <c r="Y161" s="313">
        <f t="shared" si="62"/>
        <v>0</v>
      </c>
      <c r="Z161" s="313">
        <f t="shared" si="62"/>
        <v>0</v>
      </c>
      <c r="AA161" s="313">
        <f t="shared" si="62"/>
        <v>0</v>
      </c>
      <c r="AB161" s="313">
        <f t="shared" si="62"/>
        <v>0</v>
      </c>
      <c r="AC161" s="313">
        <f t="shared" si="62"/>
        <v>0</v>
      </c>
      <c r="AD161" s="313">
        <f t="shared" si="62"/>
        <v>0</v>
      </c>
      <c r="AE161" s="313">
        <f t="shared" si="62"/>
        <v>0</v>
      </c>
      <c r="AF161" s="1249"/>
    </row>
    <row r="162" spans="1:32" x14ac:dyDescent="0.25">
      <c r="A162" s="311" t="s">
        <v>374</v>
      </c>
      <c r="B162" s="313">
        <f t="shared" si="61"/>
        <v>356607.76</v>
      </c>
      <c r="C162" s="313">
        <f t="shared" si="61"/>
        <v>0</v>
      </c>
      <c r="D162" s="313">
        <f t="shared" si="61"/>
        <v>0</v>
      </c>
      <c r="E162" s="313">
        <f t="shared" si="61"/>
        <v>0</v>
      </c>
      <c r="F162" s="313">
        <f>IFERROR(E162/B162%,0)</f>
        <v>0</v>
      </c>
      <c r="G162" s="313">
        <f>IFERROR(E162/C162%,0)</f>
        <v>0</v>
      </c>
      <c r="H162" s="313">
        <f t="shared" ref="H162:AE162" si="63">H20+H56++H110+H129</f>
        <v>0</v>
      </c>
      <c r="I162" s="313">
        <f t="shared" si="63"/>
        <v>0</v>
      </c>
      <c r="J162" s="313">
        <f t="shared" si="63"/>
        <v>0</v>
      </c>
      <c r="K162" s="313">
        <f t="shared" si="63"/>
        <v>0</v>
      </c>
      <c r="L162" s="313">
        <f t="shared" si="63"/>
        <v>0</v>
      </c>
      <c r="M162" s="313">
        <f t="shared" si="63"/>
        <v>0</v>
      </c>
      <c r="N162" s="313">
        <f t="shared" si="63"/>
        <v>0</v>
      </c>
      <c r="O162" s="313">
        <f t="shared" si="63"/>
        <v>0</v>
      </c>
      <c r="P162" s="313">
        <f t="shared" si="63"/>
        <v>0</v>
      </c>
      <c r="Q162" s="313">
        <f t="shared" si="63"/>
        <v>0</v>
      </c>
      <c r="R162" s="313">
        <f t="shared" si="63"/>
        <v>0</v>
      </c>
      <c r="S162" s="313">
        <f t="shared" si="63"/>
        <v>0</v>
      </c>
      <c r="T162" s="313">
        <f t="shared" si="63"/>
        <v>0</v>
      </c>
      <c r="U162" s="313">
        <f t="shared" si="63"/>
        <v>0</v>
      </c>
      <c r="V162" s="313">
        <f t="shared" si="63"/>
        <v>5612.6</v>
      </c>
      <c r="W162" s="313">
        <f t="shared" si="63"/>
        <v>0</v>
      </c>
      <c r="X162" s="313">
        <f t="shared" si="63"/>
        <v>41529.199999999997</v>
      </c>
      <c r="Y162" s="313">
        <f t="shared" si="63"/>
        <v>0</v>
      </c>
      <c r="Z162" s="313">
        <f t="shared" si="63"/>
        <v>233589.26</v>
      </c>
      <c r="AA162" s="313">
        <f t="shared" si="63"/>
        <v>0</v>
      </c>
      <c r="AB162" s="313">
        <f t="shared" si="63"/>
        <v>45473</v>
      </c>
      <c r="AC162" s="313">
        <f t="shared" si="63"/>
        <v>0</v>
      </c>
      <c r="AD162" s="313">
        <f t="shared" si="63"/>
        <v>30403.7</v>
      </c>
      <c r="AE162" s="313">
        <f t="shared" si="63"/>
        <v>0</v>
      </c>
      <c r="AF162" s="1250"/>
    </row>
    <row r="165" spans="1:32" ht="16.5" x14ac:dyDescent="0.25">
      <c r="A165" s="501" t="s">
        <v>481</v>
      </c>
      <c r="B165" s="501"/>
      <c r="C165" s="501"/>
      <c r="D165" s="501"/>
      <c r="F165" s="501" t="s">
        <v>473</v>
      </c>
      <c r="G165" s="501"/>
      <c r="H165" s="501"/>
    </row>
    <row r="166" spans="1:32" ht="16.5" x14ac:dyDescent="0.25">
      <c r="A166" s="501"/>
      <c r="B166" s="501"/>
      <c r="C166" s="501"/>
      <c r="D166" s="501"/>
      <c r="F166" s="501"/>
      <c r="G166" s="501"/>
      <c r="H166" s="501"/>
    </row>
    <row r="167" spans="1:32" ht="16.5" x14ac:dyDescent="0.25">
      <c r="A167" s="501" t="s">
        <v>471</v>
      </c>
      <c r="B167" s="502"/>
      <c r="C167" s="502"/>
      <c r="D167" s="501"/>
      <c r="F167" s="501" t="s">
        <v>480</v>
      </c>
      <c r="G167" s="502"/>
      <c r="H167" s="502"/>
    </row>
    <row r="168" spans="1:32" ht="16.5" x14ac:dyDescent="0.25">
      <c r="A168" s="501" t="s">
        <v>472</v>
      </c>
      <c r="B168" s="501"/>
      <c r="C168" s="501"/>
      <c r="D168" s="501"/>
    </row>
    <row r="169" spans="1:32" ht="16.5" x14ac:dyDescent="0.25">
      <c r="A169" s="501"/>
      <c r="B169" s="501"/>
      <c r="C169" s="501"/>
      <c r="D169" s="501"/>
    </row>
    <row r="170" spans="1:32" ht="16.5" x14ac:dyDescent="0.25">
      <c r="A170" s="501"/>
      <c r="B170" s="501"/>
      <c r="C170" s="501"/>
      <c r="D170" s="501"/>
    </row>
    <row r="171" spans="1:32" ht="16.5" x14ac:dyDescent="0.25">
      <c r="A171" s="501"/>
      <c r="B171" s="501"/>
      <c r="C171" s="501"/>
      <c r="D171" s="501"/>
    </row>
    <row r="172" spans="1:32" ht="16.5" x14ac:dyDescent="0.25">
      <c r="D172" s="501"/>
    </row>
    <row r="173" spans="1:32" ht="16.5" x14ac:dyDescent="0.25">
      <c r="D173" s="501"/>
    </row>
    <row r="174" spans="1:32" ht="16.5" x14ac:dyDescent="0.25">
      <c r="D174" s="501"/>
    </row>
    <row r="175" spans="1:32" ht="16.5" x14ac:dyDescent="0.25">
      <c r="A175" s="501"/>
      <c r="B175" s="501"/>
      <c r="C175" s="501"/>
      <c r="D175" s="501"/>
    </row>
  </sheetData>
  <customSheetViews>
    <customSheetView guid="{7C130984-112A-4861-AA43-E2940708E3DC}" scale="60" state="hidden">
      <pane xSplit="1" ySplit="8" topLeftCell="R21" activePane="bottomRight" state="frozen"/>
      <selection pane="bottomRight" activeCell="AF28" sqref="AF28:AF32"/>
      <pageMargins left="0.11811023622047245" right="0.11811023622047245" top="0" bottom="0.15748031496062992" header="0.31496062992125984" footer="0.31496062992125984"/>
      <pageSetup paperSize="9" scale="45" orientation="landscape" r:id="rId1"/>
    </customSheetView>
    <customSheetView guid="{533DC55B-6AD4-4674-9488-685EF2039F3E}" scale="60" state="hidden">
      <pane xSplit="1" ySplit="8" topLeftCell="R21" activePane="bottomRight" state="frozen"/>
      <selection pane="bottomRight" activeCell="AF28" sqref="AF28:AF32"/>
      <pageMargins left="0.11811023622047245" right="0.11811023622047245" top="0" bottom="0.15748031496062992" header="0.31496062992125984" footer="0.31496062992125984"/>
      <pageSetup paperSize="9" scale="45" orientation="landscape" r:id="rId2"/>
    </customSheetView>
    <customSheetView guid="{09C3E205-981E-4A4E-BE89-8B7044192060}" scale="60">
      <pane xSplit="1" ySplit="8" topLeftCell="R21" activePane="bottomRight" state="frozen"/>
      <selection pane="bottomRight" activeCell="AF28" sqref="AF28:AF32"/>
      <pageMargins left="0.11811023622047245" right="0.11811023622047245" top="0" bottom="0.15748031496062992" header="0.31496062992125984" footer="0.31496062992125984"/>
      <pageSetup paperSize="9" scale="45" orientation="landscape" r:id="rId3"/>
    </customSheetView>
    <customSheetView guid="{B1BF08D1-D416-4B47-ADD0-4F59132DC9E8}" scale="60">
      <pane xSplit="1" ySplit="8" topLeftCell="B15" activePane="bottomRight" state="frozen"/>
      <selection pane="bottomRight" activeCell="H16" sqref="H16"/>
      <pageMargins left="0.11811023622047245" right="0.11811023622047245" top="0" bottom="0.15748031496062992" header="0.31496062992125984" footer="0.31496062992125984"/>
      <pageSetup paperSize="9" scale="45" orientation="landscape" r:id="rId4"/>
    </customSheetView>
    <customSheetView guid="{4F41B9CC-959D-442C-80B0-1F0DB2C76D27}" scale="60">
      <pane xSplit="1" ySplit="8" topLeftCell="B15" activePane="bottomRight" state="frozen"/>
      <selection pane="bottomRight" activeCell="H16" sqref="H16"/>
      <pageMargins left="0.11811023622047245" right="0.11811023622047245" top="0" bottom="0.15748031496062992" header="0.31496062992125984" footer="0.31496062992125984"/>
      <pageSetup paperSize="9" scale="45" orientation="landscape" r:id="rId5"/>
    </customSheetView>
    <customSheetView guid="{84867370-1F3E-4368-AF79-FBCE46FFFE92}" scale="60">
      <pane xSplit="1" ySplit="8" topLeftCell="B15" activePane="bottomRight" state="frozen"/>
      <selection pane="bottomRight" activeCell="H16" sqref="H16"/>
      <pageMargins left="0.11811023622047245" right="0.11811023622047245" top="0" bottom="0.15748031496062992" header="0.31496062992125984" footer="0.31496062992125984"/>
      <pageSetup paperSize="9" scale="45" orientation="landscape" r:id="rId6"/>
    </customSheetView>
    <customSheetView guid="{E508E171-4ED9-4B07-84DF-DA28C60E1969}" scale="60">
      <pane xSplit="1" ySplit="8" topLeftCell="B15" activePane="bottomRight" state="frozen"/>
      <selection pane="bottomRight" activeCell="H16" sqref="H16"/>
      <pageMargins left="0.11811023622047245" right="0.11811023622047245" top="0" bottom="0.15748031496062992" header="0.31496062992125984" footer="0.31496062992125984"/>
      <pageSetup paperSize="9" scale="45" orientation="landscape" r:id="rId7"/>
    </customSheetView>
    <customSheetView guid="{602C8EDB-B9EF-4C85-B0D5-0558C3A0ABAB}" scale="60">
      <pane xSplit="1" ySplit="8" topLeftCell="B15" activePane="bottomRight" state="frozen"/>
      <selection pane="bottomRight" activeCell="H16" sqref="H16"/>
      <pageMargins left="0.11811023622047245" right="0.11811023622047245" top="0" bottom="0.15748031496062992" header="0.31496062992125984" footer="0.31496062992125984"/>
      <pageSetup paperSize="9" scale="45" orientation="landscape" r:id="rId8"/>
    </customSheetView>
    <customSheetView guid="{84B3377A-1CDD-4881-99FA-112F8B470D6F}" scale="60">
      <pane xSplit="1" ySplit="8" topLeftCell="B15" activePane="bottomRight" state="frozen"/>
      <selection pane="bottomRight" activeCell="H16" sqref="H16"/>
      <pageMargins left="0.11811023622047245" right="0.11811023622047245" top="0" bottom="0.15748031496062992" header="0.31496062992125984" footer="0.31496062992125984"/>
      <pageSetup paperSize="9" scale="45" orientation="landscape" r:id="rId9"/>
    </customSheetView>
    <customSheetView guid="{87218168-6C8E-4D5B-A5E5-DCCC26803AA3}" scale="60">
      <pane xSplit="1" ySplit="8" topLeftCell="B15" activePane="bottomRight" state="frozen"/>
      <selection pane="bottomRight" activeCell="H16" sqref="H16"/>
      <pageMargins left="0.11811023622047245" right="0.11811023622047245" top="0" bottom="0.15748031496062992" header="0.31496062992125984" footer="0.31496062992125984"/>
      <pageSetup paperSize="9" scale="45" orientation="landscape" r:id="rId10"/>
    </customSheetView>
    <customSheetView guid="{6A602CB8-B24C-4ED4-B378-B27354BE0A1A}" scale="60">
      <pane xSplit="1" ySplit="8" topLeftCell="B15" activePane="bottomRight" state="frozen"/>
      <selection pane="bottomRight" activeCell="B38" sqref="B38"/>
      <pageMargins left="0.11811023622047245" right="0.11811023622047245" top="0" bottom="0.15748031496062992" header="0.31496062992125984" footer="0.31496062992125984"/>
      <pageSetup paperSize="9" scale="45" orientation="landscape" r:id="rId11"/>
    </customSheetView>
    <customSheetView guid="{D01FA037-9AEC-4167-ADB8-2F327C01ECE6}" scale="60">
      <pane xSplit="1" ySplit="8" topLeftCell="B15" activePane="bottomRight" state="frozen"/>
      <selection pane="bottomRight" activeCell="B38" sqref="B38"/>
      <pageMargins left="0.11811023622047245" right="0.11811023622047245" top="0" bottom="0.15748031496062992" header="0.31496062992125984" footer="0.31496062992125984"/>
      <pageSetup paperSize="9" scale="45" orientation="landscape" r:id="rId12"/>
    </customSheetView>
    <customSheetView guid="{74870EE6-26B9-40F7-9DC9-260EF16D8959}" scale="60">
      <pane xSplit="1" ySplit="8" topLeftCell="B15" activePane="bottomRight" state="frozen"/>
      <selection pane="bottomRight" activeCell="B38" sqref="B38"/>
      <pageMargins left="0.11811023622047245" right="0.11811023622047245" top="0" bottom="0.15748031496062992" header="0.31496062992125984" footer="0.31496062992125984"/>
      <pageSetup paperSize="9" scale="45" orientation="landscape" r:id="rId13"/>
    </customSheetView>
    <customSheetView guid="{7226EA2B-7866-416F-9240-410CC1BF0336}" scale="60">
      <pane xSplit="1" ySplit="8" topLeftCell="B15" activePane="bottomRight" state="frozen"/>
      <selection pane="bottomRight" activeCell="B38" sqref="B38"/>
      <pageMargins left="0.11811023622047245" right="0.11811023622047245" top="0" bottom="0.15748031496062992" header="0.31496062992125984" footer="0.31496062992125984"/>
      <pageSetup paperSize="9" scale="45" orientation="landscape" r:id="rId14"/>
    </customSheetView>
    <customSheetView guid="{F8CAB90F-9980-4EC7-B30B-1637EB515304}" scale="60">
      <pane xSplit="1" ySplit="8" topLeftCell="B15" activePane="bottomRight" state="frozen"/>
      <selection pane="bottomRight" activeCell="B38" sqref="B38"/>
      <pageMargins left="0.11811023622047245" right="0.11811023622047245" top="0" bottom="0.15748031496062992" header="0.31496062992125984" footer="0.31496062992125984"/>
      <pageSetup paperSize="9" scale="45" orientation="landscape" r:id="rId15"/>
    </customSheetView>
    <customSheetView guid="{415078CD-EB99-432D-90BA-2F3D5A746E20}" scale="60">
      <pane xSplit="1" ySplit="8" topLeftCell="B15" activePane="bottomRight" state="frozen"/>
      <selection pane="bottomRight" activeCell="B38" sqref="B38"/>
      <pageMargins left="0.11811023622047245" right="0.11811023622047245" top="0" bottom="0.15748031496062992" header="0.31496062992125984" footer="0.31496062992125984"/>
      <pageSetup paperSize="9" scale="45" orientation="landscape" r:id="rId16"/>
    </customSheetView>
    <customSheetView guid="{CB4792DB-A624-4844-AEB6-A6ADA80946BB}" scale="60">
      <pane xSplit="1" ySplit="8" topLeftCell="F129" activePane="bottomRight" state="frozen"/>
      <selection pane="bottomRight" activeCell="U134" sqref="U134"/>
      <pageMargins left="0.11811023622047245" right="0.11811023622047245" top="0" bottom="0.15748031496062992" header="0.31496062992125984" footer="0.31496062992125984"/>
      <pageSetup paperSize="9" scale="45" orientation="landscape" r:id="rId17"/>
    </customSheetView>
    <customSheetView guid="{0C2B9C2A-7B94-41EF-A2E6-F8AC9A67DE25}" scale="60">
      <pane xSplit="1" ySplit="8" topLeftCell="B126" activePane="bottomRight" state="frozen"/>
      <selection pane="bottomRight" activeCell="A130" sqref="A130:AE130"/>
      <pageMargins left="0.11811023622047245" right="0.11811023622047245" top="0" bottom="0.15748031496062992" header="0.31496062992125984" footer="0.31496062992125984"/>
      <pageSetup paperSize="9" scale="45" orientation="landscape" r:id="rId18"/>
    </customSheetView>
    <customSheetView guid="{391AB76E-B386-49C1-800F-016A48AA1A46}" scale="60">
      <pane xSplit="1" ySplit="8" topLeftCell="B142" activePane="bottomRight" state="frozen"/>
      <selection pane="bottomRight" activeCell="L149" sqref="L149"/>
      <pageMargins left="0.11811023622047245" right="0.11811023622047245" top="0" bottom="0.15748031496062992" header="0.31496062992125984" footer="0.31496062992125984"/>
      <pageSetup paperSize="9" scale="45" orientation="landscape" r:id="rId19"/>
    </customSheetView>
    <customSheetView guid="{959E901C-5DDE-42EE-AE94-AB8976B5E00B}" scale="60">
      <pane xSplit="1" ySplit="8" topLeftCell="B126" activePane="bottomRight" state="frozen"/>
      <selection pane="bottomRight" activeCell="A38" sqref="A38"/>
      <pageMargins left="0.11811023622047245" right="0.11811023622047245" top="0.15748031496062992" bottom="0.15748031496062992" header="0.31496062992125984" footer="0.31496062992125984"/>
      <pageSetup paperSize="9" scale="45" orientation="landscape" r:id="rId20"/>
    </customSheetView>
    <customSheetView guid="{F679EF4A-C5FD-4B86-B87B-D85968E0F2CA}" scale="60">
      <pane xSplit="1" ySplit="8" topLeftCell="B126" activePane="bottomRight" state="frozen"/>
      <selection pane="bottomRight" activeCell="A38" sqref="A38"/>
      <pageMargins left="0.11811023622047245" right="0.11811023622047245" top="0.15748031496062992" bottom="0.15748031496062992" header="0.31496062992125984" footer="0.31496062992125984"/>
      <pageSetup paperSize="9" scale="45" orientation="landscape" r:id="rId21"/>
    </customSheetView>
    <customSheetView guid="{009B3074-D8EC-4952-BF50-43CD64449612}" scale="60">
      <pane xSplit="1" ySplit="8" topLeftCell="B30" activePane="bottomRight" state="frozen"/>
      <selection pane="bottomRight" activeCell="A38" sqref="A38"/>
      <pageMargins left="0.11811023622047245" right="0.11811023622047245" top="0.15748031496062992" bottom="0.15748031496062992" header="0.31496062992125984" footer="0.31496062992125984"/>
      <pageSetup paperSize="9" scale="45" orientation="landscape" r:id="rId22"/>
    </customSheetView>
    <customSheetView guid="{770624BF-07F3-44B6-94C3-4CC447CDD45C}" scale="80">
      <pane xSplit="1" ySplit="8" topLeftCell="B9" activePane="bottomRight" state="frozen"/>
      <selection pane="bottomRight" activeCell="J24" sqref="J24"/>
      <pageMargins left="0.11811023622047245" right="0.11811023622047245" top="0.15748031496062992" bottom="0.15748031496062992" header="0.31496062992125984" footer="0.31496062992125984"/>
      <pageSetup paperSize="9" scale="45" orientation="landscape" r:id="rId23"/>
    </customSheetView>
    <customSheetView guid="{B82BA08A-1A30-4F4D-A478-74A6BD09EA97}" scale="60" topLeftCell="A112">
      <selection activeCell="K140" sqref="K140"/>
      <pageMargins left="0.11811023622047245" right="0.11811023622047245" top="0.15748031496062992" bottom="0.15748031496062992" header="0.31496062992125984" footer="0.31496062992125984"/>
      <pageSetup paperSize="9" scale="45" orientation="landscape" r:id="rId24"/>
    </customSheetView>
    <customSheetView guid="{874882D1-E741-4CCA-BF0D-E72FA60B771D}" scale="60" topLeftCell="A142">
      <selection activeCell="G145" sqref="G145"/>
      <pageMargins left="0.11811023622047245" right="0.11811023622047245" top="0.15748031496062992" bottom="0.15748031496062992" header="0.31496062992125984" footer="0.31496062992125984"/>
      <pageSetup paperSize="9" scale="45" orientation="landscape" r:id="rId25"/>
    </customSheetView>
    <customSheetView guid="{C236B307-BD63-48C4-A75F-B3F3717BF55C}" scale="60" topLeftCell="A142">
      <selection activeCell="G145" sqref="G145"/>
      <pageMargins left="0.11811023622047245" right="0.11811023622047245" top="0.15748031496062992" bottom="0.15748031496062992" header="0.31496062992125984" footer="0.31496062992125984"/>
      <pageSetup paperSize="9" scale="45" orientation="landscape" r:id="rId26"/>
    </customSheetView>
    <customSheetView guid="{BCD82A82-B724-4763-8580-D765356E09BA}" scale="70">
      <selection sqref="A1:AD1"/>
      <pageMargins left="0.7" right="0.7" top="0.75" bottom="0.75" header="0.3" footer="0.3"/>
    </customSheetView>
    <customSheetView guid="{85F4575B-DBC5-482A-9916-255D8F0BC94E}" scale="60">
      <pane xSplit="1" ySplit="8" topLeftCell="B126" activePane="bottomRight" state="frozen"/>
      <selection pane="bottomRight" activeCell="A38" sqref="A38"/>
      <pageMargins left="0.11811023622047245" right="0.11811023622047245" top="0.15748031496062992" bottom="0.15748031496062992" header="0.31496062992125984" footer="0.31496062992125984"/>
      <pageSetup paperSize="9" scale="45" orientation="landscape" r:id="rId27"/>
    </customSheetView>
    <customSheetView guid="{4D0DFB57-2CBA-42F2-9A97-C453A6851FBA}" scale="60">
      <pane xSplit="1" ySplit="8" topLeftCell="B9" activePane="bottomRight" state="frozen"/>
      <selection pane="bottomRight" sqref="A1:XFD1048576"/>
      <pageMargins left="0.11811023622047245" right="0.11811023622047245" top="0" bottom="0.15748031496062992" header="0.31496062992125984" footer="0.31496062992125984"/>
      <pageSetup paperSize="9" scale="45" orientation="landscape" r:id="rId28"/>
    </customSheetView>
    <customSheetView guid="{CE1CCA00-200D-4EAA-9FBE-F8EE7C5F82FE}" scale="60">
      <pane xSplit="1" ySplit="8" topLeftCell="B9" activePane="bottomRight" state="frozen"/>
      <selection pane="bottomRight" sqref="A1:XFD1048576"/>
      <pageMargins left="0.11811023622047245" right="0.11811023622047245" top="0" bottom="0.15748031496062992" header="0.31496062992125984" footer="0.31496062992125984"/>
      <pageSetup paperSize="9" scale="45" orientation="landscape" r:id="rId29"/>
    </customSheetView>
    <customSheetView guid="{AC2D5927-4079-4C74-AF69-1BFAC505648F}" scale="60">
      <pane xSplit="1" ySplit="8" topLeftCell="B142" activePane="bottomRight" state="frozen"/>
      <selection pane="bottomRight" activeCell="L149" sqref="L149"/>
      <pageMargins left="0.11811023622047245" right="0.11811023622047245" top="0" bottom="0.15748031496062992" header="0.31496062992125984" footer="0.31496062992125984"/>
      <pageSetup paperSize="9" scale="45" orientation="landscape" r:id="rId30"/>
    </customSheetView>
    <customSheetView guid="{3C3F523F-5F34-4CF7-831E-F1ABC4278CEB}" scale="60">
      <pane xSplit="1" ySplit="8" topLeftCell="F48" activePane="bottomRight" state="frozen"/>
      <selection pane="bottomRight" activeCell="A63" sqref="A63:AE63"/>
      <pageMargins left="0.11811023622047245" right="0.11811023622047245" top="0" bottom="0.15748031496062992" header="0.31496062992125984" footer="0.31496062992125984"/>
      <pageSetup paperSize="9" scale="45" orientation="landscape" r:id="rId31"/>
    </customSheetView>
    <customSheetView guid="{69DABE6F-6182-4403-A4A2-969F10F1C13A}" scale="60">
      <pane xSplit="1" ySplit="8" topLeftCell="B15" activePane="bottomRight" state="frozen"/>
      <selection pane="bottomRight" activeCell="B38" sqref="B38"/>
      <pageMargins left="0.11811023622047245" right="0.11811023622047245" top="0" bottom="0.15748031496062992" header="0.31496062992125984" footer="0.31496062992125984"/>
      <pageSetup paperSize="9" scale="45" orientation="landscape" r:id="rId32"/>
    </customSheetView>
    <customSheetView guid="{DAA8A688-7558-4B5B-8DBD-E2629BD9E9A8}" scale="60">
      <pane xSplit="1" ySplit="8" topLeftCell="B15" activePane="bottomRight" state="frozen"/>
      <selection pane="bottomRight" activeCell="H16" sqref="H16"/>
      <pageMargins left="0.11811023622047245" right="0.11811023622047245" top="0" bottom="0.15748031496062992" header="0.31496062992125984" footer="0.31496062992125984"/>
      <pageSetup paperSize="9" scale="45" orientation="landscape" r:id="rId33"/>
    </customSheetView>
    <customSheetView guid="{47B983AB-FE5F-4725-860C-A2F29420596D}" scale="60">
      <pane xSplit="1" ySplit="8" topLeftCell="B15" activePane="bottomRight" state="frozen"/>
      <selection pane="bottomRight" activeCell="H16" sqref="H16"/>
      <pageMargins left="0.11811023622047245" right="0.11811023622047245" top="0" bottom="0.15748031496062992" header="0.31496062992125984" footer="0.31496062992125984"/>
      <pageSetup paperSize="9" scale="45" orientation="landscape" r:id="rId34"/>
    </customSheetView>
    <customSheetView guid="{442F2C94-DD1B-4A01-8694-513D4D6F3BD9}" scale="60">
      <pane xSplit="1" ySplit="8" topLeftCell="B15" activePane="bottomRight" state="frozen"/>
      <selection pane="bottomRight" activeCell="H16" sqref="H16"/>
      <pageMargins left="0.11811023622047245" right="0.11811023622047245" top="0" bottom="0.15748031496062992" header="0.31496062992125984" footer="0.31496062992125984"/>
      <pageSetup paperSize="9" scale="45" orientation="landscape" r:id="rId35"/>
    </customSheetView>
    <customSheetView guid="{472DFAFE-DC7C-463D-92A0-F6A14555FDD6}" scale="60">
      <pane xSplit="1" ySplit="8" topLeftCell="B15" activePane="bottomRight" state="frozen"/>
      <selection pane="bottomRight" activeCell="H16" sqref="H16"/>
      <pageMargins left="0.11811023622047245" right="0.11811023622047245" top="0" bottom="0.15748031496062992" header="0.31496062992125984" footer="0.31496062992125984"/>
      <pageSetup paperSize="9" scale="45" orientation="landscape" r:id="rId36"/>
    </customSheetView>
    <customSheetView guid="{B43381A8-767B-4F49-BD2E-0056691293F3}" scale="60">
      <pane xSplit="1" ySplit="8" topLeftCell="B15" activePane="bottomRight" state="frozen"/>
      <selection pane="bottomRight" activeCell="H16" sqref="H16"/>
      <pageMargins left="0.11811023622047245" right="0.11811023622047245" top="0" bottom="0.15748031496062992" header="0.31496062992125984" footer="0.31496062992125984"/>
      <pageSetup paperSize="9" scale="45" orientation="landscape" r:id="rId37"/>
    </customSheetView>
  </customSheetViews>
  <mergeCells count="64">
    <mergeCell ref="A124:AE124"/>
    <mergeCell ref="AF125:AF129"/>
    <mergeCell ref="A130:AE130"/>
    <mergeCell ref="AF131:AF135"/>
    <mergeCell ref="A136:AE136"/>
    <mergeCell ref="A122:AE122"/>
    <mergeCell ref="AF70:AF74"/>
    <mergeCell ref="A75:AE75"/>
    <mergeCell ref="AF76:AF80"/>
    <mergeCell ref="A81:AE81"/>
    <mergeCell ref="AF82:AF86"/>
    <mergeCell ref="A87:AE87"/>
    <mergeCell ref="AF88:AF92"/>
    <mergeCell ref="A93:AE93"/>
    <mergeCell ref="A105:AE105"/>
    <mergeCell ref="A111:AE111"/>
    <mergeCell ref="AF117:AF121"/>
    <mergeCell ref="AF16:AF20"/>
    <mergeCell ref="A21:AE21"/>
    <mergeCell ref="AF22:AF26"/>
    <mergeCell ref="A69:AE69"/>
    <mergeCell ref="AF28:AF32"/>
    <mergeCell ref="A33:AE33"/>
    <mergeCell ref="AF34:AF38"/>
    <mergeCell ref="A39:AE39"/>
    <mergeCell ref="A45:AE45"/>
    <mergeCell ref="A51:AE51"/>
    <mergeCell ref="A57:AE57"/>
    <mergeCell ref="A63:AE63"/>
    <mergeCell ref="A27:AE27"/>
    <mergeCell ref="A13:AE13"/>
    <mergeCell ref="A15:AE15"/>
    <mergeCell ref="AF8:AF12"/>
    <mergeCell ref="N3:O3"/>
    <mergeCell ref="P3:Q3"/>
    <mergeCell ref="R3:S3"/>
    <mergeCell ref="T3:U3"/>
    <mergeCell ref="V3:W3"/>
    <mergeCell ref="X3:Y3"/>
    <mergeCell ref="Z3:AA3"/>
    <mergeCell ref="AB3:AC3"/>
    <mergeCell ref="AD3:AE3"/>
    <mergeCell ref="A6:AE6"/>
    <mergeCell ref="A8:AE8"/>
    <mergeCell ref="A1:AD1"/>
    <mergeCell ref="A3:A4"/>
    <mergeCell ref="B3:B4"/>
    <mergeCell ref="C3:C4"/>
    <mergeCell ref="D3:D4"/>
    <mergeCell ref="E3:E4"/>
    <mergeCell ref="F3:G3"/>
    <mergeCell ref="H3:I3"/>
    <mergeCell ref="J3:K3"/>
    <mergeCell ref="L3:M3"/>
    <mergeCell ref="AF137:AF141"/>
    <mergeCell ref="AF148:AF152"/>
    <mergeCell ref="AF153:AF157"/>
    <mergeCell ref="AF158:AF162"/>
    <mergeCell ref="AF40:AF44"/>
    <mergeCell ref="AF46:AF50"/>
    <mergeCell ref="AF94:AF98"/>
    <mergeCell ref="AF106:AF110"/>
    <mergeCell ref="AF112:AF116"/>
    <mergeCell ref="AF52:AF68"/>
  </mergeCells>
  <hyperlinks>
    <hyperlink ref="A1:AD1" location="Оглавление!A1" display="Отчет о ходе реализации (сетевой график) муниципальной программы «Развитие транспортной системы города Когалыма» "/>
  </hyperlinks>
  <pageMargins left="0.11811023622047245" right="0.11811023622047245" top="0" bottom="0.15748031496062992" header="0.31496062992125984" footer="0.31496062992125984"/>
  <pageSetup paperSize="9" scale="45" orientation="landscape" r:id="rId38"/>
  <legacyDrawing r:id="rId39"/>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7C130984-112A-4861-AA43-E2940708E3DC}" state="hidden">
      <pageMargins left="0.7" right="0.7" top="0.75" bottom="0.75" header="0.3" footer="0.3"/>
    </customSheetView>
    <customSheetView guid="{533DC55B-6AD4-4674-9488-685EF2039F3E}" state="hidden">
      <pageMargins left="0.7" right="0.7" top="0.75" bottom="0.75" header="0.3" footer="0.3"/>
    </customSheetView>
    <customSheetView guid="{09C3E205-981E-4A4E-BE89-8B7044192060}">
      <pageMargins left="0.7" right="0.7" top="0.75" bottom="0.75" header="0.3" footer="0.3"/>
    </customSheetView>
    <customSheetView guid="{B1BF08D1-D416-4B47-ADD0-4F59132DC9E8}">
      <pageMargins left="0.7" right="0.7" top="0.75" bottom="0.75" header="0.3" footer="0.3"/>
    </customSheetView>
    <customSheetView guid="{4F41B9CC-959D-442C-80B0-1F0DB2C76D27}">
      <pageMargins left="0.7" right="0.7" top="0.75" bottom="0.75" header="0.3" footer="0.3"/>
    </customSheetView>
    <customSheetView guid="{84867370-1F3E-4368-AF79-FBCE46FFFE92}">
      <pageMargins left="0.7" right="0.7" top="0.75" bottom="0.75" header="0.3" footer="0.3"/>
    </customSheetView>
    <customSheetView guid="{E508E171-4ED9-4B07-84DF-DA28C60E1969}">
      <pageMargins left="0.7" right="0.7" top="0.75" bottom="0.75" header="0.3" footer="0.3"/>
    </customSheetView>
    <customSheetView guid="{602C8EDB-B9EF-4C85-B0D5-0558C3A0ABAB}">
      <pageMargins left="0.7" right="0.7" top="0.75" bottom="0.75" header="0.3" footer="0.3"/>
    </customSheetView>
    <customSheetView guid="{84B3377A-1CDD-4881-99FA-112F8B470D6F}">
      <pageMargins left="0.7" right="0.7" top="0.75" bottom="0.75" header="0.3" footer="0.3"/>
    </customSheetView>
    <customSheetView guid="{87218168-6C8E-4D5B-A5E5-DCCC26803AA3}">
      <pageMargins left="0.7" right="0.7" top="0.75" bottom="0.75" header="0.3" footer="0.3"/>
    </customSheetView>
    <customSheetView guid="{6A602CB8-B24C-4ED4-B378-B27354BE0A1A}">
      <pageMargins left="0.7" right="0.7" top="0.75" bottom="0.75" header="0.3" footer="0.3"/>
    </customSheetView>
    <customSheetView guid="{D01FA037-9AEC-4167-ADB8-2F327C01ECE6}">
      <pageMargins left="0.7" right="0.7" top="0.75" bottom="0.75" header="0.3" footer="0.3"/>
    </customSheetView>
    <customSheetView guid="{74870EE6-26B9-40F7-9DC9-260EF16D8959}">
      <pageMargins left="0.7" right="0.7" top="0.75" bottom="0.75" header="0.3" footer="0.3"/>
    </customSheetView>
    <customSheetView guid="{7226EA2B-7866-416F-9240-410CC1BF0336}">
      <pageMargins left="0.7" right="0.7" top="0.75" bottom="0.75" header="0.3" footer="0.3"/>
    </customSheetView>
    <customSheetView guid="{F8CAB90F-9980-4EC7-B30B-1637EB515304}">
      <pageMargins left="0.7" right="0.7" top="0.75" bottom="0.75" header="0.3" footer="0.3"/>
    </customSheetView>
    <customSheetView guid="{415078CD-EB99-432D-90BA-2F3D5A746E20}">
      <pageMargins left="0.7" right="0.7" top="0.75" bottom="0.75" header="0.3" footer="0.3"/>
    </customSheetView>
    <customSheetView guid="{CB4792DB-A624-4844-AEB6-A6ADA80946BB}">
      <pageMargins left="0.7" right="0.7" top="0.75" bottom="0.75" header="0.3" footer="0.3"/>
    </customSheetView>
    <customSheetView guid="{0C2B9C2A-7B94-41EF-A2E6-F8AC9A67DE25}">
      <pageMargins left="0.7" right="0.7" top="0.75" bottom="0.75" header="0.3" footer="0.3"/>
    </customSheetView>
    <customSheetView guid="{3C3F523F-5F34-4CF7-831E-F1ABC4278CEB}">
      <pageMargins left="0.7" right="0.7" top="0.75" bottom="0.75" header="0.3" footer="0.3"/>
    </customSheetView>
    <customSheetView guid="{69DABE6F-6182-4403-A4A2-969F10F1C13A}">
      <pageMargins left="0.7" right="0.7" top="0.75" bottom="0.75" header="0.3" footer="0.3"/>
    </customSheetView>
    <customSheetView guid="{DAA8A688-7558-4B5B-8DBD-E2629BD9E9A8}">
      <pageMargins left="0.7" right="0.7" top="0.75" bottom="0.75" header="0.3" footer="0.3"/>
    </customSheetView>
    <customSheetView guid="{47B983AB-FE5F-4725-860C-A2F29420596D}">
      <pageMargins left="0.7" right="0.7" top="0.75" bottom="0.75" header="0.3" footer="0.3"/>
    </customSheetView>
    <customSheetView guid="{442F2C94-DD1B-4A01-8694-513D4D6F3BD9}">
      <pageMargins left="0.7" right="0.7" top="0.75" bottom="0.75" header="0.3" footer="0.3"/>
    </customSheetView>
    <customSheetView guid="{472DFAFE-DC7C-463D-92A0-F6A14555FDD6}">
      <pageMargins left="0.7" right="0.7" top="0.75" bottom="0.75" header="0.3" footer="0.3"/>
    </customSheetView>
    <customSheetView guid="{B43381A8-767B-4F49-BD2E-0056691293F3}">
      <pageMargins left="0.7" right="0.7" top="0.75" bottom="0.75" header="0.3" footer="0.3"/>
    </customSheetView>
  </customSheetView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7"/>
  <sheetViews>
    <sheetView zoomScale="70" zoomScaleNormal="70" workbookViewId="0">
      <pane xSplit="1" ySplit="4" topLeftCell="X68" activePane="bottomRight" state="frozen"/>
      <selection pane="topRight" activeCell="B1" sqref="B1"/>
      <selection pane="bottomLeft" activeCell="A5" sqref="A5"/>
      <selection pane="bottomRight" activeCell="AD89" sqref="AD89"/>
    </sheetView>
  </sheetViews>
  <sheetFormatPr defaultColWidth="9.140625" defaultRowHeight="15.75" x14ac:dyDescent="0.25"/>
  <cols>
    <col min="1" max="1" width="47.28515625" style="292" customWidth="1"/>
    <col min="2" max="2" width="18.140625" style="292" bestFit="1" customWidth="1"/>
    <col min="3" max="3" width="13.42578125" style="292" bestFit="1" customWidth="1"/>
    <col min="4" max="5" width="13.85546875" style="292" bestFit="1" customWidth="1"/>
    <col min="6" max="6" width="9.7109375" style="292" bestFit="1" customWidth="1"/>
    <col min="7" max="7" width="11" style="292" bestFit="1" customWidth="1"/>
    <col min="8" max="8" width="13.42578125" style="292" bestFit="1" customWidth="1"/>
    <col min="9" max="9" width="12.140625" style="292" bestFit="1" customWidth="1"/>
    <col min="10" max="10" width="9.7109375" style="292" bestFit="1" customWidth="1"/>
    <col min="11" max="11" width="10.85546875" style="292" customWidth="1"/>
    <col min="12" max="12" width="12" style="292" customWidth="1"/>
    <col min="13" max="15" width="9.7109375" style="292" bestFit="1" customWidth="1"/>
    <col min="16" max="16" width="13.42578125" style="292" bestFit="1" customWidth="1"/>
    <col min="17" max="17" width="11.28515625" style="292" customWidth="1"/>
    <col min="18" max="18" width="12.28515625" style="292" customWidth="1"/>
    <col min="19" max="19" width="12.7109375" style="292" customWidth="1"/>
    <col min="20" max="20" width="9.7109375" style="292" bestFit="1" customWidth="1"/>
    <col min="21" max="21" width="12" style="292" customWidth="1"/>
    <col min="22" max="22" width="18.140625" style="292" bestFit="1" customWidth="1"/>
    <col min="23" max="23" width="12.5703125" style="292" customWidth="1"/>
    <col min="24" max="24" width="9.7109375" style="292" bestFit="1" customWidth="1"/>
    <col min="25" max="25" width="10.7109375" style="292" bestFit="1" customWidth="1"/>
    <col min="26" max="26" width="18.140625" style="292" bestFit="1" customWidth="1"/>
    <col min="27" max="27" width="12.5703125" style="292" customWidth="1"/>
    <col min="28" max="28" width="11.85546875" style="292" bestFit="1" customWidth="1"/>
    <col min="29" max="29" width="13.140625" style="292" customWidth="1"/>
    <col min="30" max="30" width="16.28515625" style="292" bestFit="1" customWidth="1"/>
    <col min="31" max="31" width="13.7109375" style="292" customWidth="1"/>
    <col min="32" max="32" width="77.85546875" style="292" customWidth="1"/>
    <col min="33" max="16384" width="9.140625" style="292"/>
  </cols>
  <sheetData>
    <row r="1" spans="1:32" ht="18.75" x14ac:dyDescent="0.25">
      <c r="A1" s="1278" t="s">
        <v>418</v>
      </c>
      <c r="B1" s="1278"/>
      <c r="C1" s="1278"/>
      <c r="D1" s="1278"/>
      <c r="E1" s="1278"/>
      <c r="F1" s="1278"/>
      <c r="G1" s="1278"/>
      <c r="H1" s="1278"/>
      <c r="I1" s="1278"/>
      <c r="J1" s="1278"/>
      <c r="K1" s="1278"/>
      <c r="L1" s="1278"/>
      <c r="M1" s="1278"/>
      <c r="N1" s="1278"/>
      <c r="O1" s="1278"/>
      <c r="P1" s="1278"/>
      <c r="Q1" s="1278"/>
      <c r="R1" s="1278"/>
      <c r="S1" s="1278"/>
      <c r="T1" s="1278"/>
      <c r="U1" s="1278"/>
      <c r="V1" s="1278"/>
      <c r="W1" s="1278"/>
      <c r="X1" s="1278"/>
      <c r="Y1" s="1278"/>
      <c r="Z1" s="334"/>
      <c r="AA1" s="334"/>
      <c r="AB1" s="334"/>
      <c r="AC1" s="334"/>
      <c r="AD1" s="334"/>
      <c r="AE1" s="334"/>
      <c r="AF1" s="334"/>
    </row>
    <row r="2" spans="1:32" x14ac:dyDescent="0.25">
      <c r="A2" s="1279" t="s">
        <v>419</v>
      </c>
      <c r="B2" s="1279" t="s">
        <v>420</v>
      </c>
      <c r="C2" s="1282" t="s">
        <v>639</v>
      </c>
      <c r="D2" s="1282" t="s">
        <v>640</v>
      </c>
      <c r="E2" s="1282" t="s">
        <v>638</v>
      </c>
      <c r="F2" s="1285" t="s">
        <v>371</v>
      </c>
      <c r="G2" s="1277"/>
      <c r="H2" s="1276" t="s">
        <v>7</v>
      </c>
      <c r="I2" s="1277"/>
      <c r="J2" s="1276" t="s">
        <v>8</v>
      </c>
      <c r="K2" s="1277"/>
      <c r="L2" s="1276" t="s">
        <v>9</v>
      </c>
      <c r="M2" s="1277"/>
      <c r="N2" s="1276" t="s">
        <v>10</v>
      </c>
      <c r="O2" s="1277"/>
      <c r="P2" s="1276" t="s">
        <v>11</v>
      </c>
      <c r="Q2" s="1277"/>
      <c r="R2" s="1276" t="s">
        <v>12</v>
      </c>
      <c r="S2" s="1277"/>
      <c r="T2" s="1276" t="s">
        <v>13</v>
      </c>
      <c r="U2" s="1277"/>
      <c r="V2" s="1276" t="s">
        <v>14</v>
      </c>
      <c r="W2" s="1277"/>
      <c r="X2" s="1276" t="s">
        <v>15</v>
      </c>
      <c r="Y2" s="1277"/>
      <c r="Z2" s="1276" t="s">
        <v>16</v>
      </c>
      <c r="AA2" s="1277"/>
      <c r="AB2" s="1276" t="s">
        <v>17</v>
      </c>
      <c r="AC2" s="1277"/>
      <c r="AD2" s="1276" t="s">
        <v>18</v>
      </c>
      <c r="AE2" s="1277"/>
      <c r="AF2" s="1282" t="s">
        <v>19</v>
      </c>
    </row>
    <row r="3" spans="1:32" ht="18.75" customHeight="1" x14ac:dyDescent="0.25">
      <c r="A3" s="1280"/>
      <c r="B3" s="1280"/>
      <c r="C3" s="1283"/>
      <c r="D3" s="1283"/>
      <c r="E3" s="1283"/>
      <c r="F3" s="1289" t="s">
        <v>20</v>
      </c>
      <c r="G3" s="1274" t="s">
        <v>21</v>
      </c>
      <c r="H3" s="335"/>
      <c r="I3" s="335"/>
      <c r="J3" s="335"/>
      <c r="K3" s="335"/>
      <c r="L3" s="335"/>
      <c r="M3" s="335"/>
      <c r="N3" s="1274" t="s">
        <v>165</v>
      </c>
      <c r="O3" s="1274" t="s">
        <v>23</v>
      </c>
      <c r="P3" s="1274" t="s">
        <v>165</v>
      </c>
      <c r="Q3" s="1274" t="s">
        <v>23</v>
      </c>
      <c r="R3" s="1274" t="s">
        <v>165</v>
      </c>
      <c r="S3" s="1274" t="s">
        <v>23</v>
      </c>
      <c r="T3" s="1274" t="s">
        <v>165</v>
      </c>
      <c r="U3" s="1274" t="s">
        <v>23</v>
      </c>
      <c r="V3" s="1274" t="s">
        <v>165</v>
      </c>
      <c r="W3" s="1274" t="s">
        <v>23</v>
      </c>
      <c r="X3" s="1274" t="s">
        <v>165</v>
      </c>
      <c r="Y3" s="1274" t="s">
        <v>23</v>
      </c>
      <c r="Z3" s="1274" t="s">
        <v>165</v>
      </c>
      <c r="AA3" s="1274" t="s">
        <v>23</v>
      </c>
      <c r="AB3" s="1274" t="s">
        <v>165</v>
      </c>
      <c r="AC3" s="1274" t="s">
        <v>23</v>
      </c>
      <c r="AD3" s="1274" t="s">
        <v>165</v>
      </c>
      <c r="AE3" s="1274" t="s">
        <v>23</v>
      </c>
      <c r="AF3" s="1283"/>
    </row>
    <row r="4" spans="1:32" ht="47.25" x14ac:dyDescent="0.25">
      <c r="A4" s="1281"/>
      <c r="B4" s="1281"/>
      <c r="C4" s="1284"/>
      <c r="D4" s="1284"/>
      <c r="E4" s="1284"/>
      <c r="F4" s="1290"/>
      <c r="G4" s="1275"/>
      <c r="H4" s="336" t="s">
        <v>165</v>
      </c>
      <c r="I4" s="336" t="s">
        <v>23</v>
      </c>
      <c r="J4" s="336" t="s">
        <v>165</v>
      </c>
      <c r="K4" s="337" t="s">
        <v>23</v>
      </c>
      <c r="L4" s="336" t="s">
        <v>165</v>
      </c>
      <c r="M4" s="336" t="s">
        <v>23</v>
      </c>
      <c r="N4" s="1275"/>
      <c r="O4" s="1275"/>
      <c r="P4" s="1275"/>
      <c r="Q4" s="1275"/>
      <c r="R4" s="1275"/>
      <c r="S4" s="1275"/>
      <c r="T4" s="1275"/>
      <c r="U4" s="1275"/>
      <c r="V4" s="1275"/>
      <c r="W4" s="1275"/>
      <c r="X4" s="1275"/>
      <c r="Y4" s="1275"/>
      <c r="Z4" s="1275"/>
      <c r="AA4" s="1275"/>
      <c r="AB4" s="1275"/>
      <c r="AC4" s="1275"/>
      <c r="AD4" s="1275"/>
      <c r="AE4" s="1275"/>
      <c r="AF4" s="1284"/>
    </row>
    <row r="5" spans="1:32" x14ac:dyDescent="0.25">
      <c r="A5" s="338" t="s">
        <v>421</v>
      </c>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40"/>
      <c r="AF5" s="341"/>
    </row>
    <row r="6" spans="1:32" x14ac:dyDescent="0.25">
      <c r="A6" s="1286" t="s">
        <v>483</v>
      </c>
      <c r="B6" s="1287"/>
      <c r="C6" s="1287"/>
      <c r="D6" s="1287"/>
      <c r="E6" s="1287"/>
      <c r="F6" s="1287"/>
      <c r="G6" s="1287"/>
      <c r="H6" s="1287"/>
      <c r="I6" s="1287"/>
      <c r="J6" s="1287"/>
      <c r="K6" s="1287"/>
      <c r="L6" s="1287"/>
      <c r="M6" s="1287"/>
      <c r="N6" s="1287"/>
      <c r="O6" s="1287"/>
      <c r="P6" s="1287"/>
      <c r="Q6" s="1287"/>
      <c r="R6" s="1287"/>
      <c r="S6" s="1287"/>
      <c r="T6" s="1287"/>
      <c r="U6" s="1287"/>
      <c r="V6" s="1287"/>
      <c r="W6" s="1287"/>
      <c r="X6" s="1287"/>
      <c r="Y6" s="1287"/>
      <c r="Z6" s="1287"/>
      <c r="AA6" s="1287"/>
      <c r="AB6" s="1287"/>
      <c r="AC6" s="1287"/>
      <c r="AD6" s="1287"/>
      <c r="AE6" s="1288"/>
      <c r="AF6" s="1282"/>
    </row>
    <row r="7" spans="1:32" x14ac:dyDescent="0.25">
      <c r="A7" s="342" t="s">
        <v>31</v>
      </c>
      <c r="B7" s="343">
        <v>394952.42</v>
      </c>
      <c r="C7" s="343">
        <f>C8+C9+C10+C12</f>
        <v>394952.42</v>
      </c>
      <c r="D7" s="343">
        <f t="shared" ref="D7:AE7" si="0">D8+D9+D10+D12</f>
        <v>138390.51</v>
      </c>
      <c r="E7" s="343">
        <f t="shared" si="0"/>
        <v>138390.51</v>
      </c>
      <c r="F7" s="343">
        <f t="shared" ref="F7:F12" si="1">IFERROR(E7/B7%,0)</f>
        <v>35.039792894546643</v>
      </c>
      <c r="G7" s="343">
        <f>IFERROR(E7/C7%,)</f>
        <v>35.039792894546643</v>
      </c>
      <c r="H7" s="343">
        <f t="shared" si="0"/>
        <v>0</v>
      </c>
      <c r="I7" s="343">
        <f t="shared" si="0"/>
        <v>0</v>
      </c>
      <c r="J7" s="343">
        <f t="shared" si="0"/>
        <v>0</v>
      </c>
      <c r="K7" s="343">
        <f t="shared" si="0"/>
        <v>0</v>
      </c>
      <c r="L7" s="343">
        <f t="shared" si="0"/>
        <v>0</v>
      </c>
      <c r="M7" s="343">
        <f t="shared" si="0"/>
        <v>0</v>
      </c>
      <c r="N7" s="343">
        <f t="shared" si="0"/>
        <v>0</v>
      </c>
      <c r="O7" s="343">
        <f t="shared" si="0"/>
        <v>0</v>
      </c>
      <c r="P7" s="343">
        <v>9878.57</v>
      </c>
      <c r="Q7" s="343">
        <v>9878.57</v>
      </c>
      <c r="R7" s="343">
        <f t="shared" si="0"/>
        <v>4172.3099999999995</v>
      </c>
      <c r="S7" s="343">
        <f t="shared" si="0"/>
        <v>4172.3099999999995</v>
      </c>
      <c r="T7" s="343">
        <f t="shared" si="0"/>
        <v>0</v>
      </c>
      <c r="U7" s="343">
        <f t="shared" si="0"/>
        <v>0</v>
      </c>
      <c r="V7" s="343">
        <f t="shared" si="0"/>
        <v>7901.54</v>
      </c>
      <c r="W7" s="343">
        <f t="shared" si="0"/>
        <v>2345.25</v>
      </c>
      <c r="X7" s="343">
        <f t="shared" si="0"/>
        <v>0</v>
      </c>
      <c r="Y7" s="343">
        <f t="shared" si="0"/>
        <v>5556.25</v>
      </c>
      <c r="Z7" s="343">
        <f t="shared" si="0"/>
        <v>111899.78</v>
      </c>
      <c r="AA7" s="343">
        <f t="shared" si="0"/>
        <v>0</v>
      </c>
      <c r="AB7" s="343">
        <f t="shared" si="0"/>
        <v>0</v>
      </c>
      <c r="AC7" s="343">
        <f t="shared" si="0"/>
        <v>0</v>
      </c>
      <c r="AD7" s="343">
        <f t="shared" si="0"/>
        <v>261450.22</v>
      </c>
      <c r="AE7" s="343">
        <f t="shared" si="0"/>
        <v>116438.14</v>
      </c>
      <c r="AF7" s="1283"/>
    </row>
    <row r="8" spans="1:32" x14ac:dyDescent="0.25">
      <c r="A8" s="344" t="s">
        <v>169</v>
      </c>
      <c r="B8" s="345">
        <f>H8+J8+L8+N8+P8+R8+T8+V8+X8+Z8+AB8+AD8</f>
        <v>4870.8</v>
      </c>
      <c r="C8" s="346">
        <f>C15</f>
        <v>4870.8</v>
      </c>
      <c r="D8" s="345">
        <f>E8</f>
        <v>4870.8</v>
      </c>
      <c r="E8" s="345">
        <f>I8+K8+M8+O8+Q8+S8+U8+W8+Y8+AA8+AC8+AE8</f>
        <v>4870.8</v>
      </c>
      <c r="F8" s="321">
        <f t="shared" si="1"/>
        <v>100</v>
      </c>
      <c r="G8" s="321">
        <f>IFERROR(E8/C8%,0)</f>
        <v>100</v>
      </c>
      <c r="H8" s="346">
        <f t="shared" ref="H8:AE12" si="2">H15</f>
        <v>0</v>
      </c>
      <c r="I8" s="346">
        <f t="shared" si="2"/>
        <v>0</v>
      </c>
      <c r="J8" s="346">
        <f t="shared" si="2"/>
        <v>0</v>
      </c>
      <c r="K8" s="346">
        <f t="shared" si="2"/>
        <v>0</v>
      </c>
      <c r="L8" s="346">
        <f t="shared" si="2"/>
        <v>0</v>
      </c>
      <c r="M8" s="346">
        <f t="shared" si="2"/>
        <v>0</v>
      </c>
      <c r="N8" s="346">
        <f t="shared" si="2"/>
        <v>0</v>
      </c>
      <c r="O8" s="346">
        <f t="shared" si="2"/>
        <v>0</v>
      </c>
      <c r="P8" s="346">
        <f t="shared" si="2"/>
        <v>3076.35</v>
      </c>
      <c r="Q8" s="346">
        <f t="shared" si="2"/>
        <v>3076.35</v>
      </c>
      <c r="R8" s="346">
        <f t="shared" si="2"/>
        <v>1299.33</v>
      </c>
      <c r="S8" s="346">
        <f t="shared" si="2"/>
        <v>1299.33</v>
      </c>
      <c r="T8" s="346">
        <f t="shared" si="2"/>
        <v>0</v>
      </c>
      <c r="U8" s="346">
        <f t="shared" si="2"/>
        <v>0</v>
      </c>
      <c r="V8" s="346">
        <f t="shared" si="2"/>
        <v>495.12</v>
      </c>
      <c r="W8" s="346">
        <f t="shared" si="2"/>
        <v>495.12</v>
      </c>
      <c r="X8" s="346">
        <f t="shared" si="2"/>
        <v>0</v>
      </c>
      <c r="Y8" s="346">
        <f t="shared" si="2"/>
        <v>0</v>
      </c>
      <c r="Z8" s="346">
        <f t="shared" si="2"/>
        <v>0</v>
      </c>
      <c r="AA8" s="346">
        <f t="shared" si="2"/>
        <v>0</v>
      </c>
      <c r="AB8" s="346">
        <f t="shared" si="2"/>
        <v>0</v>
      </c>
      <c r="AC8" s="346">
        <f t="shared" si="2"/>
        <v>0</v>
      </c>
      <c r="AD8" s="346">
        <f t="shared" si="2"/>
        <v>0</v>
      </c>
      <c r="AE8" s="346">
        <f t="shared" si="2"/>
        <v>0</v>
      </c>
      <c r="AF8" s="1283"/>
    </row>
    <row r="9" spans="1:32" x14ac:dyDescent="0.25">
      <c r="A9" s="344" t="s">
        <v>32</v>
      </c>
      <c r="B9" s="345">
        <f>H9+J9+L9+N9+P9+R9+T9+V9+X9+Z9+AB9+AD9</f>
        <v>7641.8200000000006</v>
      </c>
      <c r="C9" s="346">
        <f>C16</f>
        <v>7641.82</v>
      </c>
      <c r="D9" s="345">
        <f>E9</f>
        <v>7641.8200000000006</v>
      </c>
      <c r="E9" s="345">
        <f>I9+K9+M9+O9+Q9+S9+U9+W9+Y9+AA9+AC9+AE9</f>
        <v>7641.8200000000006</v>
      </c>
      <c r="F9" s="321">
        <f t="shared" si="1"/>
        <v>99.999999999999986</v>
      </c>
      <c r="G9" s="321">
        <f>IFERROR(E9/C9%,0)</f>
        <v>100.00000000000001</v>
      </c>
      <c r="H9" s="346">
        <f t="shared" si="2"/>
        <v>0</v>
      </c>
      <c r="I9" s="346">
        <f t="shared" si="2"/>
        <v>0</v>
      </c>
      <c r="J9" s="346">
        <f t="shared" si="2"/>
        <v>0</v>
      </c>
      <c r="K9" s="346">
        <f t="shared" si="2"/>
        <v>0</v>
      </c>
      <c r="L9" s="346">
        <f t="shared" si="2"/>
        <v>0</v>
      </c>
      <c r="M9" s="346">
        <f t="shared" si="2"/>
        <v>0</v>
      </c>
      <c r="N9" s="346">
        <f t="shared" si="2"/>
        <v>0</v>
      </c>
      <c r="O9" s="346">
        <f t="shared" si="2"/>
        <v>0</v>
      </c>
      <c r="P9" s="346">
        <f t="shared" si="2"/>
        <v>4826.5</v>
      </c>
      <c r="Q9" s="346">
        <f t="shared" si="2"/>
        <v>4826.5</v>
      </c>
      <c r="R9" s="346">
        <f t="shared" si="2"/>
        <v>2038.52</v>
      </c>
      <c r="S9" s="346">
        <f t="shared" si="2"/>
        <v>2038.52</v>
      </c>
      <c r="T9" s="346">
        <f t="shared" si="2"/>
        <v>0</v>
      </c>
      <c r="U9" s="346">
        <f t="shared" si="2"/>
        <v>0</v>
      </c>
      <c r="V9" s="346">
        <f t="shared" si="2"/>
        <v>776.8</v>
      </c>
      <c r="W9" s="346">
        <f t="shared" si="2"/>
        <v>776.8</v>
      </c>
      <c r="X9" s="346">
        <f t="shared" si="2"/>
        <v>0</v>
      </c>
      <c r="Y9" s="346">
        <f t="shared" si="2"/>
        <v>0</v>
      </c>
      <c r="Z9" s="346">
        <f t="shared" si="2"/>
        <v>0</v>
      </c>
      <c r="AA9" s="346">
        <f t="shared" si="2"/>
        <v>0</v>
      </c>
      <c r="AB9" s="346">
        <f t="shared" si="2"/>
        <v>0</v>
      </c>
      <c r="AC9" s="346">
        <f t="shared" si="2"/>
        <v>0</v>
      </c>
      <c r="AD9" s="346">
        <f t="shared" si="2"/>
        <v>0</v>
      </c>
      <c r="AE9" s="346">
        <f t="shared" si="2"/>
        <v>0</v>
      </c>
      <c r="AF9" s="1283"/>
    </row>
    <row r="10" spans="1:32" x14ac:dyDescent="0.25">
      <c r="A10" s="344" t="s">
        <v>33</v>
      </c>
      <c r="B10" s="345">
        <v>9439.7999999999993</v>
      </c>
      <c r="C10" s="346">
        <f>C17</f>
        <v>9439.7999999999993</v>
      </c>
      <c r="D10" s="345">
        <f>E10</f>
        <v>9789.75</v>
      </c>
      <c r="E10" s="345">
        <f>I10+K10+M10+O10+Q10+S10+U10+W10+Y10+AA10+AC10+AE10</f>
        <v>9789.75</v>
      </c>
      <c r="F10" s="321">
        <f t="shared" si="1"/>
        <v>103.70717599949153</v>
      </c>
      <c r="G10" s="321">
        <f>IFERROR(E10/C10%,0)</f>
        <v>103.70717599949153</v>
      </c>
      <c r="H10" s="346">
        <f t="shared" si="2"/>
        <v>0</v>
      </c>
      <c r="I10" s="346">
        <f t="shared" si="2"/>
        <v>0</v>
      </c>
      <c r="J10" s="346">
        <f t="shared" si="2"/>
        <v>0</v>
      </c>
      <c r="K10" s="346">
        <f t="shared" si="2"/>
        <v>0</v>
      </c>
      <c r="L10" s="346">
        <f t="shared" si="2"/>
        <v>0</v>
      </c>
      <c r="M10" s="346">
        <f t="shared" si="2"/>
        <v>0</v>
      </c>
      <c r="N10" s="346">
        <f t="shared" si="2"/>
        <v>0</v>
      </c>
      <c r="O10" s="346">
        <f t="shared" si="2"/>
        <v>0</v>
      </c>
      <c r="P10" s="346">
        <f t="shared" si="2"/>
        <v>1975.71</v>
      </c>
      <c r="Q10" s="346">
        <f t="shared" si="2"/>
        <v>1975.71</v>
      </c>
      <c r="R10" s="346">
        <f t="shared" si="2"/>
        <v>834.46</v>
      </c>
      <c r="S10" s="346">
        <f t="shared" si="2"/>
        <v>834.46</v>
      </c>
      <c r="T10" s="346">
        <f t="shared" si="2"/>
        <v>0</v>
      </c>
      <c r="U10" s="346">
        <f t="shared" si="2"/>
        <v>0</v>
      </c>
      <c r="V10" s="346">
        <f t="shared" si="2"/>
        <v>6629.62</v>
      </c>
      <c r="W10" s="346">
        <f t="shared" si="2"/>
        <v>1073.33</v>
      </c>
      <c r="X10" s="346">
        <f t="shared" si="2"/>
        <v>0</v>
      </c>
      <c r="Y10" s="346">
        <f t="shared" si="2"/>
        <v>5556.25</v>
      </c>
      <c r="Z10" s="346">
        <f t="shared" si="2"/>
        <v>0</v>
      </c>
      <c r="AA10" s="346">
        <f t="shared" si="2"/>
        <v>0</v>
      </c>
      <c r="AB10" s="346">
        <f t="shared" si="2"/>
        <v>0</v>
      </c>
      <c r="AC10" s="346">
        <f t="shared" si="2"/>
        <v>0</v>
      </c>
      <c r="AD10" s="346">
        <f t="shared" si="2"/>
        <v>350</v>
      </c>
      <c r="AE10" s="346">
        <f t="shared" si="2"/>
        <v>350</v>
      </c>
      <c r="AF10" s="1283"/>
    </row>
    <row r="11" spans="1:32" ht="31.5" x14ac:dyDescent="0.25">
      <c r="A11" s="347" t="s">
        <v>174</v>
      </c>
      <c r="B11" s="345">
        <f>H11+J11+L11+N11+P11+R11+T11+V11+X11+Z11+AB11+AD11</f>
        <v>3128.15</v>
      </c>
      <c r="C11" s="346">
        <f>C18</f>
        <v>3128.15</v>
      </c>
      <c r="D11" s="345">
        <f>E11</f>
        <v>3128.15</v>
      </c>
      <c r="E11" s="345">
        <f>I11+K11+M11+O11+Q11+S11+U11+W11+Y11+AA11+AC11+AE11</f>
        <v>3128.15</v>
      </c>
      <c r="F11" s="321">
        <f t="shared" si="1"/>
        <v>100</v>
      </c>
      <c r="G11" s="321">
        <f>IFERROR(E11/C11%,0)</f>
        <v>100</v>
      </c>
      <c r="H11" s="346">
        <f t="shared" si="2"/>
        <v>0</v>
      </c>
      <c r="I11" s="346">
        <f t="shared" si="2"/>
        <v>0</v>
      </c>
      <c r="J11" s="346">
        <f t="shared" si="2"/>
        <v>0</v>
      </c>
      <c r="K11" s="346">
        <f t="shared" si="2"/>
        <v>0</v>
      </c>
      <c r="L11" s="346">
        <f t="shared" si="2"/>
        <v>0</v>
      </c>
      <c r="M11" s="346">
        <f t="shared" si="2"/>
        <v>0</v>
      </c>
      <c r="N11" s="346">
        <f t="shared" si="2"/>
        <v>0</v>
      </c>
      <c r="O11" s="346">
        <f t="shared" si="2"/>
        <v>0</v>
      </c>
      <c r="P11" s="346">
        <f t="shared" si="2"/>
        <v>1975.71</v>
      </c>
      <c r="Q11" s="346">
        <f t="shared" si="2"/>
        <v>1975.71</v>
      </c>
      <c r="R11" s="346">
        <f t="shared" si="2"/>
        <v>834.46</v>
      </c>
      <c r="S11" s="346">
        <f t="shared" si="2"/>
        <v>834.46</v>
      </c>
      <c r="T11" s="346">
        <f t="shared" si="2"/>
        <v>0</v>
      </c>
      <c r="U11" s="346">
        <f t="shared" si="2"/>
        <v>0</v>
      </c>
      <c r="V11" s="346">
        <f t="shared" si="2"/>
        <v>317.98</v>
      </c>
      <c r="W11" s="346">
        <f t="shared" si="2"/>
        <v>317.98</v>
      </c>
      <c r="X11" s="346">
        <f t="shared" si="2"/>
        <v>0</v>
      </c>
      <c r="Y11" s="346">
        <f t="shared" si="2"/>
        <v>0</v>
      </c>
      <c r="Z11" s="346">
        <f t="shared" si="2"/>
        <v>0</v>
      </c>
      <c r="AA11" s="346">
        <f t="shared" si="2"/>
        <v>0</v>
      </c>
      <c r="AB11" s="346">
        <f t="shared" si="2"/>
        <v>0</v>
      </c>
      <c r="AC11" s="346">
        <f t="shared" si="2"/>
        <v>0</v>
      </c>
      <c r="AD11" s="346">
        <f t="shared" si="2"/>
        <v>0</v>
      </c>
      <c r="AE11" s="346">
        <f t="shared" si="2"/>
        <v>0</v>
      </c>
      <c r="AF11" s="1283"/>
    </row>
    <row r="12" spans="1:32" x14ac:dyDescent="0.25">
      <c r="A12" s="344" t="s">
        <v>374</v>
      </c>
      <c r="B12" s="345">
        <f>H12+J12+L12+N12+P12+R12+T12+V12+X12+Z12+AB12+AD12</f>
        <v>373000</v>
      </c>
      <c r="C12" s="346">
        <f>C19</f>
        <v>373000</v>
      </c>
      <c r="D12" s="345">
        <f>E12</f>
        <v>116088.14</v>
      </c>
      <c r="E12" s="345">
        <f>I12+K12+M12+O12+Q12+S12+U12+W12+Y12+AA12+AC12+AE12</f>
        <v>116088.14</v>
      </c>
      <c r="F12" s="321">
        <f t="shared" si="1"/>
        <v>31.122825737265416</v>
      </c>
      <c r="G12" s="321">
        <f>IFERROR(E12/C12%,0)</f>
        <v>31.122825737265416</v>
      </c>
      <c r="H12" s="346">
        <f>H19</f>
        <v>0</v>
      </c>
      <c r="I12" s="346">
        <f t="shared" si="2"/>
        <v>0</v>
      </c>
      <c r="J12" s="346">
        <f t="shared" si="2"/>
        <v>0</v>
      </c>
      <c r="K12" s="346">
        <f t="shared" si="2"/>
        <v>0</v>
      </c>
      <c r="L12" s="346">
        <f t="shared" si="2"/>
        <v>0</v>
      </c>
      <c r="M12" s="346">
        <f t="shared" si="2"/>
        <v>0</v>
      </c>
      <c r="N12" s="346">
        <f t="shared" si="2"/>
        <v>0</v>
      </c>
      <c r="O12" s="346">
        <f t="shared" si="2"/>
        <v>0</v>
      </c>
      <c r="P12" s="346">
        <f t="shared" si="2"/>
        <v>0</v>
      </c>
      <c r="Q12" s="346">
        <f t="shared" si="2"/>
        <v>0</v>
      </c>
      <c r="R12" s="346">
        <f t="shared" si="2"/>
        <v>0</v>
      </c>
      <c r="S12" s="346">
        <f t="shared" si="2"/>
        <v>0</v>
      </c>
      <c r="T12" s="346">
        <f t="shared" si="2"/>
        <v>0</v>
      </c>
      <c r="U12" s="346">
        <f t="shared" si="2"/>
        <v>0</v>
      </c>
      <c r="V12" s="346">
        <f t="shared" si="2"/>
        <v>0</v>
      </c>
      <c r="W12" s="346">
        <f t="shared" si="2"/>
        <v>0</v>
      </c>
      <c r="X12" s="346">
        <f t="shared" si="2"/>
        <v>0</v>
      </c>
      <c r="Y12" s="346">
        <f t="shared" si="2"/>
        <v>0</v>
      </c>
      <c r="Z12" s="346">
        <f t="shared" si="2"/>
        <v>111899.78</v>
      </c>
      <c r="AA12" s="346">
        <f t="shared" si="2"/>
        <v>0</v>
      </c>
      <c r="AB12" s="346">
        <f t="shared" si="2"/>
        <v>0</v>
      </c>
      <c r="AC12" s="346">
        <f t="shared" si="2"/>
        <v>0</v>
      </c>
      <c r="AD12" s="346">
        <f t="shared" si="2"/>
        <v>261100.22</v>
      </c>
      <c r="AE12" s="346">
        <f t="shared" si="2"/>
        <v>116088.14</v>
      </c>
      <c r="AF12" s="1284"/>
    </row>
    <row r="13" spans="1:32" ht="24" customHeight="1" x14ac:dyDescent="0.25">
      <c r="A13" s="1286" t="s">
        <v>422</v>
      </c>
      <c r="B13" s="1287"/>
      <c r="C13" s="1287"/>
      <c r="D13" s="1287"/>
      <c r="E13" s="1287"/>
      <c r="F13" s="1287"/>
      <c r="G13" s="1287"/>
      <c r="H13" s="1287"/>
      <c r="I13" s="1287"/>
      <c r="J13" s="1287"/>
      <c r="K13" s="1287"/>
      <c r="L13" s="1287"/>
      <c r="M13" s="1287"/>
      <c r="N13" s="1287"/>
      <c r="O13" s="1287"/>
      <c r="P13" s="1287"/>
      <c r="Q13" s="1287"/>
      <c r="R13" s="1287"/>
      <c r="S13" s="1287"/>
      <c r="T13" s="1287"/>
      <c r="U13" s="1287"/>
      <c r="V13" s="1287"/>
      <c r="W13" s="1287"/>
      <c r="X13" s="1287"/>
      <c r="Y13" s="1287"/>
      <c r="Z13" s="1287"/>
      <c r="AA13" s="1287"/>
      <c r="AB13" s="1287"/>
      <c r="AC13" s="1287"/>
      <c r="AD13" s="1287"/>
      <c r="AE13" s="1288"/>
      <c r="AF13" s="1291"/>
    </row>
    <row r="14" spans="1:32" s="558" customFormat="1" x14ac:dyDescent="0.25">
      <c r="A14" s="554" t="s">
        <v>31</v>
      </c>
      <c r="B14" s="974">
        <v>395302.42</v>
      </c>
      <c r="C14" s="974">
        <v>394952.42</v>
      </c>
      <c r="D14" s="974">
        <v>138390.51</v>
      </c>
      <c r="E14" s="974">
        <v>138390.51</v>
      </c>
      <c r="F14" s="974">
        <v>35.01</v>
      </c>
      <c r="G14" s="974">
        <v>35.04</v>
      </c>
      <c r="H14" s="974">
        <f t="shared" ref="H14:AD14" si="3">H15+H16+H17+H19</f>
        <v>0</v>
      </c>
      <c r="I14" s="974">
        <f t="shared" si="3"/>
        <v>0</v>
      </c>
      <c r="J14" s="974">
        <f t="shared" si="3"/>
        <v>0</v>
      </c>
      <c r="K14" s="974">
        <f t="shared" si="3"/>
        <v>0</v>
      </c>
      <c r="L14" s="974">
        <f t="shared" si="3"/>
        <v>0</v>
      </c>
      <c r="M14" s="974">
        <f t="shared" si="3"/>
        <v>0</v>
      </c>
      <c r="N14" s="974">
        <f t="shared" si="3"/>
        <v>0</v>
      </c>
      <c r="O14" s="974">
        <f t="shared" si="3"/>
        <v>0</v>
      </c>
      <c r="P14" s="974">
        <f t="shared" si="3"/>
        <v>9878.5600000000013</v>
      </c>
      <c r="Q14" s="974">
        <f t="shared" si="3"/>
        <v>9878.5600000000013</v>
      </c>
      <c r="R14" s="974">
        <f t="shared" si="3"/>
        <v>4172.3099999999995</v>
      </c>
      <c r="S14" s="974">
        <f t="shared" si="3"/>
        <v>4172.3099999999995</v>
      </c>
      <c r="T14" s="974">
        <f t="shared" si="3"/>
        <v>0</v>
      </c>
      <c r="U14" s="974">
        <f t="shared" si="3"/>
        <v>0</v>
      </c>
      <c r="V14" s="974">
        <f t="shared" si="3"/>
        <v>7901.54</v>
      </c>
      <c r="W14" s="974">
        <f t="shared" si="3"/>
        <v>2345.25</v>
      </c>
      <c r="X14" s="974">
        <f t="shared" si="3"/>
        <v>0</v>
      </c>
      <c r="Y14" s="974">
        <f t="shared" si="3"/>
        <v>5556.25</v>
      </c>
      <c r="Z14" s="974">
        <v>111899.78</v>
      </c>
      <c r="AA14" s="974">
        <f t="shared" si="3"/>
        <v>0</v>
      </c>
      <c r="AB14" s="974">
        <f t="shared" si="3"/>
        <v>0</v>
      </c>
      <c r="AC14" s="974">
        <f t="shared" si="3"/>
        <v>0</v>
      </c>
      <c r="AD14" s="974">
        <f t="shared" si="3"/>
        <v>261450.22</v>
      </c>
      <c r="AE14" s="974">
        <v>116438.14</v>
      </c>
      <c r="AF14" s="1292"/>
    </row>
    <row r="15" spans="1:32" x14ac:dyDescent="0.25">
      <c r="A15" s="344" t="s">
        <v>169</v>
      </c>
      <c r="B15" s="345">
        <v>4870.8</v>
      </c>
      <c r="C15" s="345">
        <v>4870.8</v>
      </c>
      <c r="D15" s="345">
        <v>4870.8</v>
      </c>
      <c r="E15" s="345">
        <v>4870.8</v>
      </c>
      <c r="F15" s="321">
        <f t="shared" ref="F15:F18" si="4">IFERROR(E15/B15%,0)</f>
        <v>100</v>
      </c>
      <c r="G15" s="321">
        <f t="shared" ref="G15:G18" si="5">IFERROR(E15/C15%,0)</f>
        <v>100</v>
      </c>
      <c r="H15" s="345">
        <f t="shared" ref="H15:O15" si="6">H22</f>
        <v>0</v>
      </c>
      <c r="I15" s="345">
        <f t="shared" si="6"/>
        <v>0</v>
      </c>
      <c r="J15" s="345">
        <f t="shared" si="6"/>
        <v>0</v>
      </c>
      <c r="K15" s="345">
        <f t="shared" si="6"/>
        <v>0</v>
      </c>
      <c r="L15" s="345">
        <f t="shared" si="6"/>
        <v>0</v>
      </c>
      <c r="M15" s="345">
        <f t="shared" si="6"/>
        <v>0</v>
      </c>
      <c r="N15" s="345">
        <f t="shared" si="6"/>
        <v>0</v>
      </c>
      <c r="O15" s="345">
        <f t="shared" si="6"/>
        <v>0</v>
      </c>
      <c r="P15" s="345">
        <v>3076.35</v>
      </c>
      <c r="Q15" s="345">
        <v>3076.35</v>
      </c>
      <c r="R15" s="345">
        <v>1299.33</v>
      </c>
      <c r="S15" s="345">
        <v>1299.33</v>
      </c>
      <c r="T15" s="345">
        <f>T22</f>
        <v>0</v>
      </c>
      <c r="U15" s="345">
        <f>U22</f>
        <v>0</v>
      </c>
      <c r="V15" s="345">
        <v>495.12</v>
      </c>
      <c r="W15" s="345">
        <v>495.12</v>
      </c>
      <c r="X15" s="345">
        <f t="shared" ref="X15:AE15" si="7">X22</f>
        <v>0</v>
      </c>
      <c r="Y15" s="345">
        <f t="shared" si="7"/>
        <v>0</v>
      </c>
      <c r="Z15" s="345">
        <f t="shared" si="7"/>
        <v>0</v>
      </c>
      <c r="AA15" s="345">
        <f t="shared" si="7"/>
        <v>0</v>
      </c>
      <c r="AB15" s="345">
        <f t="shared" si="7"/>
        <v>0</v>
      </c>
      <c r="AC15" s="345">
        <f t="shared" si="7"/>
        <v>0</v>
      </c>
      <c r="AD15" s="345">
        <f t="shared" si="7"/>
        <v>0</v>
      </c>
      <c r="AE15" s="345">
        <f t="shared" si="7"/>
        <v>0</v>
      </c>
      <c r="AF15" s="1292"/>
    </row>
    <row r="16" spans="1:32" x14ac:dyDescent="0.25">
      <c r="A16" s="344" t="s">
        <v>32</v>
      </c>
      <c r="B16" s="345">
        <v>7641.82</v>
      </c>
      <c r="C16" s="345">
        <v>7641.82</v>
      </c>
      <c r="D16" s="345">
        <v>7641.82</v>
      </c>
      <c r="E16" s="345">
        <v>7641.82</v>
      </c>
      <c r="F16" s="321">
        <f t="shared" si="4"/>
        <v>100</v>
      </c>
      <c r="G16" s="321">
        <f t="shared" si="5"/>
        <v>100</v>
      </c>
      <c r="H16" s="345">
        <f t="shared" ref="H16:W19" si="8">H23</f>
        <v>0</v>
      </c>
      <c r="I16" s="345">
        <f t="shared" si="8"/>
        <v>0</v>
      </c>
      <c r="J16" s="345">
        <f t="shared" si="8"/>
        <v>0</v>
      </c>
      <c r="K16" s="345">
        <f t="shared" si="8"/>
        <v>0</v>
      </c>
      <c r="L16" s="345">
        <f t="shared" si="8"/>
        <v>0</v>
      </c>
      <c r="M16" s="345">
        <f t="shared" si="8"/>
        <v>0</v>
      </c>
      <c r="N16" s="345">
        <f t="shared" si="8"/>
        <v>0</v>
      </c>
      <c r="O16" s="345">
        <f t="shared" si="8"/>
        <v>0</v>
      </c>
      <c r="P16" s="345">
        <v>4826.5</v>
      </c>
      <c r="Q16" s="345">
        <v>4826.5</v>
      </c>
      <c r="R16" s="345">
        <v>2038.52</v>
      </c>
      <c r="S16" s="345">
        <v>2038.52</v>
      </c>
      <c r="T16" s="345">
        <f t="shared" si="8"/>
        <v>0</v>
      </c>
      <c r="U16" s="345">
        <f t="shared" si="8"/>
        <v>0</v>
      </c>
      <c r="V16" s="345">
        <v>776.8</v>
      </c>
      <c r="W16" s="345">
        <v>776.8</v>
      </c>
      <c r="X16" s="345">
        <f t="shared" ref="X16:AE19" si="9">X23</f>
        <v>0</v>
      </c>
      <c r="Y16" s="345">
        <f t="shared" si="9"/>
        <v>0</v>
      </c>
      <c r="Z16" s="345">
        <f t="shared" si="9"/>
        <v>0</v>
      </c>
      <c r="AA16" s="345">
        <f t="shared" si="9"/>
        <v>0</v>
      </c>
      <c r="AB16" s="345">
        <f t="shared" si="9"/>
        <v>0</v>
      </c>
      <c r="AC16" s="345">
        <f t="shared" si="9"/>
        <v>0</v>
      </c>
      <c r="AD16" s="345">
        <f t="shared" si="9"/>
        <v>0</v>
      </c>
      <c r="AE16" s="345">
        <f t="shared" si="9"/>
        <v>0</v>
      </c>
      <c r="AF16" s="1292"/>
    </row>
    <row r="17" spans="1:32" x14ac:dyDescent="0.25">
      <c r="A17" s="344" t="s">
        <v>33</v>
      </c>
      <c r="B17" s="345">
        <v>9789.7999999999993</v>
      </c>
      <c r="C17" s="345">
        <v>9439.7999999999993</v>
      </c>
      <c r="D17" s="345">
        <v>9789.75</v>
      </c>
      <c r="E17" s="345">
        <v>9789.75</v>
      </c>
      <c r="F17" s="321">
        <f t="shared" si="4"/>
        <v>99.999489264336347</v>
      </c>
      <c r="G17" s="321">
        <f t="shared" si="5"/>
        <v>103.70717599949153</v>
      </c>
      <c r="H17" s="345">
        <f t="shared" si="8"/>
        <v>0</v>
      </c>
      <c r="I17" s="345">
        <f t="shared" si="8"/>
        <v>0</v>
      </c>
      <c r="J17" s="345">
        <f t="shared" si="8"/>
        <v>0</v>
      </c>
      <c r="K17" s="345">
        <f t="shared" si="8"/>
        <v>0</v>
      </c>
      <c r="L17" s="345">
        <v>0</v>
      </c>
      <c r="M17" s="345">
        <f t="shared" si="8"/>
        <v>0</v>
      </c>
      <c r="N17" s="345">
        <f t="shared" si="8"/>
        <v>0</v>
      </c>
      <c r="O17" s="345">
        <f t="shared" si="8"/>
        <v>0</v>
      </c>
      <c r="P17" s="345">
        <v>1975.71</v>
      </c>
      <c r="Q17" s="345">
        <v>1975.71</v>
      </c>
      <c r="R17" s="345">
        <v>834.46</v>
      </c>
      <c r="S17" s="345">
        <v>834.46</v>
      </c>
      <c r="T17" s="345">
        <f t="shared" si="8"/>
        <v>0</v>
      </c>
      <c r="U17" s="345">
        <f t="shared" si="8"/>
        <v>0</v>
      </c>
      <c r="V17" s="345">
        <v>6629.62</v>
      </c>
      <c r="W17" s="345">
        <v>1073.33</v>
      </c>
      <c r="X17" s="345">
        <f t="shared" si="9"/>
        <v>0</v>
      </c>
      <c r="Y17" s="343">
        <v>5556.25</v>
      </c>
      <c r="Z17" s="345">
        <f t="shared" si="9"/>
        <v>0</v>
      </c>
      <c r="AA17" s="345">
        <f t="shared" si="9"/>
        <v>0</v>
      </c>
      <c r="AB17" s="345">
        <f t="shared" si="9"/>
        <v>0</v>
      </c>
      <c r="AC17" s="345">
        <f t="shared" si="9"/>
        <v>0</v>
      </c>
      <c r="AD17" s="345">
        <v>350</v>
      </c>
      <c r="AE17" s="345">
        <v>350</v>
      </c>
      <c r="AF17" s="1292"/>
    </row>
    <row r="18" spans="1:32" ht="31.5" x14ac:dyDescent="0.25">
      <c r="A18" s="347" t="s">
        <v>174</v>
      </c>
      <c r="B18" s="345">
        <v>3128.15</v>
      </c>
      <c r="C18" s="345">
        <v>3128.15</v>
      </c>
      <c r="D18" s="345">
        <v>3128.15</v>
      </c>
      <c r="E18" s="345">
        <v>3128.15</v>
      </c>
      <c r="F18" s="321">
        <f t="shared" si="4"/>
        <v>100</v>
      </c>
      <c r="G18" s="321">
        <f t="shared" si="5"/>
        <v>100</v>
      </c>
      <c r="H18" s="345">
        <f t="shared" si="8"/>
        <v>0</v>
      </c>
      <c r="I18" s="345">
        <f t="shared" si="8"/>
        <v>0</v>
      </c>
      <c r="J18" s="345">
        <f t="shared" si="8"/>
        <v>0</v>
      </c>
      <c r="K18" s="345">
        <f t="shared" si="8"/>
        <v>0</v>
      </c>
      <c r="L18" s="345">
        <f t="shared" si="8"/>
        <v>0</v>
      </c>
      <c r="M18" s="345">
        <f t="shared" si="8"/>
        <v>0</v>
      </c>
      <c r="N18" s="345">
        <f t="shared" si="8"/>
        <v>0</v>
      </c>
      <c r="O18" s="345">
        <f t="shared" si="8"/>
        <v>0</v>
      </c>
      <c r="P18" s="345">
        <v>1975.71</v>
      </c>
      <c r="Q18" s="345">
        <v>1975.71</v>
      </c>
      <c r="R18" s="345">
        <v>834.46</v>
      </c>
      <c r="S18" s="345">
        <v>834.46</v>
      </c>
      <c r="T18" s="345">
        <f t="shared" si="8"/>
        <v>0</v>
      </c>
      <c r="U18" s="345">
        <f t="shared" si="8"/>
        <v>0</v>
      </c>
      <c r="V18" s="345">
        <v>317.98</v>
      </c>
      <c r="W18" s="345">
        <v>317.98</v>
      </c>
      <c r="X18" s="345">
        <f t="shared" si="9"/>
        <v>0</v>
      </c>
      <c r="Y18" s="345">
        <f t="shared" si="9"/>
        <v>0</v>
      </c>
      <c r="Z18" s="345">
        <f t="shared" si="9"/>
        <v>0</v>
      </c>
      <c r="AA18" s="345">
        <f t="shared" si="9"/>
        <v>0</v>
      </c>
      <c r="AB18" s="345">
        <f t="shared" si="9"/>
        <v>0</v>
      </c>
      <c r="AC18" s="345">
        <f t="shared" si="9"/>
        <v>0</v>
      </c>
      <c r="AD18" s="345">
        <f t="shared" si="9"/>
        <v>0</v>
      </c>
      <c r="AE18" s="345">
        <f t="shared" si="9"/>
        <v>0</v>
      </c>
      <c r="AF18" s="1292"/>
    </row>
    <row r="19" spans="1:32" x14ac:dyDescent="0.25">
      <c r="A19" s="344" t="s">
        <v>374</v>
      </c>
      <c r="B19" s="345">
        <v>373000</v>
      </c>
      <c r="C19" s="345">
        <v>373000</v>
      </c>
      <c r="D19" s="345">
        <v>116088.14</v>
      </c>
      <c r="E19" s="345">
        <v>116088.14</v>
      </c>
      <c r="F19" s="321"/>
      <c r="G19" s="321"/>
      <c r="H19" s="345">
        <f t="shared" si="8"/>
        <v>0</v>
      </c>
      <c r="I19" s="345">
        <f t="shared" si="8"/>
        <v>0</v>
      </c>
      <c r="J19" s="345">
        <f t="shared" si="8"/>
        <v>0</v>
      </c>
      <c r="K19" s="345">
        <f t="shared" si="8"/>
        <v>0</v>
      </c>
      <c r="L19" s="345">
        <f t="shared" si="8"/>
        <v>0</v>
      </c>
      <c r="M19" s="345">
        <f t="shared" si="8"/>
        <v>0</v>
      </c>
      <c r="N19" s="345">
        <f t="shared" si="8"/>
        <v>0</v>
      </c>
      <c r="O19" s="345">
        <f t="shared" si="8"/>
        <v>0</v>
      </c>
      <c r="P19" s="345">
        <f t="shared" si="8"/>
        <v>0</v>
      </c>
      <c r="Q19" s="345">
        <f t="shared" si="8"/>
        <v>0</v>
      </c>
      <c r="R19" s="345">
        <f t="shared" si="8"/>
        <v>0</v>
      </c>
      <c r="S19" s="345">
        <f t="shared" si="8"/>
        <v>0</v>
      </c>
      <c r="T19" s="345">
        <f t="shared" si="8"/>
        <v>0</v>
      </c>
      <c r="U19" s="345">
        <f t="shared" si="8"/>
        <v>0</v>
      </c>
      <c r="V19" s="345">
        <f t="shared" si="8"/>
        <v>0</v>
      </c>
      <c r="W19" s="345">
        <f t="shared" si="8"/>
        <v>0</v>
      </c>
      <c r="X19" s="345">
        <f t="shared" si="9"/>
        <v>0</v>
      </c>
      <c r="Y19" s="345">
        <f t="shared" si="9"/>
        <v>0</v>
      </c>
      <c r="Z19" s="345">
        <v>111899.78</v>
      </c>
      <c r="AA19" s="345">
        <f t="shared" si="9"/>
        <v>0</v>
      </c>
      <c r="AB19" s="345">
        <f t="shared" si="9"/>
        <v>0</v>
      </c>
      <c r="AC19" s="345">
        <f t="shared" si="9"/>
        <v>0</v>
      </c>
      <c r="AD19" s="343">
        <v>261100.22</v>
      </c>
      <c r="AE19" s="974">
        <v>116088.14</v>
      </c>
      <c r="AF19" s="1293"/>
    </row>
    <row r="20" spans="1:32" ht="30" customHeight="1" x14ac:dyDescent="0.25">
      <c r="A20" s="1286" t="s">
        <v>423</v>
      </c>
      <c r="B20" s="1287"/>
      <c r="C20" s="1287"/>
      <c r="D20" s="1287"/>
      <c r="E20" s="1287"/>
      <c r="F20" s="1287"/>
      <c r="G20" s="1287"/>
      <c r="H20" s="1287"/>
      <c r="I20" s="1287"/>
      <c r="J20" s="1287"/>
      <c r="K20" s="1287"/>
      <c r="L20" s="1287"/>
      <c r="M20" s="1287"/>
      <c r="N20" s="1287"/>
      <c r="O20" s="1287"/>
      <c r="P20" s="1287"/>
      <c r="Q20" s="1287"/>
      <c r="R20" s="1287"/>
      <c r="S20" s="1287"/>
      <c r="T20" s="1287"/>
      <c r="U20" s="1287"/>
      <c r="V20" s="1287"/>
      <c r="W20" s="1287"/>
      <c r="X20" s="1287"/>
      <c r="Y20" s="1287"/>
      <c r="Z20" s="1287"/>
      <c r="AA20" s="1287"/>
      <c r="AB20" s="1287"/>
      <c r="AC20" s="1287"/>
      <c r="AD20" s="1287"/>
      <c r="AE20" s="1288"/>
      <c r="AF20" s="1298" t="s">
        <v>620</v>
      </c>
    </row>
    <row r="21" spans="1:32" s="558" customFormat="1" x14ac:dyDescent="0.25">
      <c r="A21" s="554" t="s">
        <v>31</v>
      </c>
      <c r="B21" s="974">
        <f>B22+B23+B24+B26</f>
        <v>21952.42</v>
      </c>
      <c r="C21" s="974">
        <f t="shared" ref="C21:AE21" si="10">C22+C23+C24+C26</f>
        <v>21952.42</v>
      </c>
      <c r="D21" s="974">
        <f t="shared" si="10"/>
        <v>21952.37</v>
      </c>
      <c r="E21" s="974">
        <f t="shared" si="10"/>
        <v>21952.37</v>
      </c>
      <c r="F21" s="974">
        <v>100</v>
      </c>
      <c r="G21" s="974">
        <v>100</v>
      </c>
      <c r="H21" s="974">
        <f t="shared" si="10"/>
        <v>0</v>
      </c>
      <c r="I21" s="974">
        <f t="shared" si="10"/>
        <v>0</v>
      </c>
      <c r="J21" s="974">
        <f t="shared" si="10"/>
        <v>0</v>
      </c>
      <c r="K21" s="974">
        <f t="shared" si="10"/>
        <v>0</v>
      </c>
      <c r="L21" s="974">
        <f t="shared" si="10"/>
        <v>0</v>
      </c>
      <c r="M21" s="974">
        <f t="shared" si="10"/>
        <v>0</v>
      </c>
      <c r="N21" s="974">
        <f t="shared" si="10"/>
        <v>0</v>
      </c>
      <c r="O21" s="974">
        <f t="shared" si="10"/>
        <v>0</v>
      </c>
      <c r="P21" s="974">
        <v>9878.57</v>
      </c>
      <c r="Q21" s="974">
        <v>9878.57</v>
      </c>
      <c r="R21" s="974">
        <f t="shared" si="10"/>
        <v>4172.3099999999995</v>
      </c>
      <c r="S21" s="974">
        <f t="shared" si="10"/>
        <v>4172.3099999999995</v>
      </c>
      <c r="T21" s="974">
        <f t="shared" si="10"/>
        <v>0</v>
      </c>
      <c r="U21" s="974">
        <f t="shared" si="10"/>
        <v>0</v>
      </c>
      <c r="V21" s="974">
        <f t="shared" si="10"/>
        <v>7901.54</v>
      </c>
      <c r="W21" s="974">
        <f t="shared" si="10"/>
        <v>2345.25</v>
      </c>
      <c r="X21" s="974">
        <f t="shared" si="10"/>
        <v>0</v>
      </c>
      <c r="Y21" s="974">
        <f t="shared" si="10"/>
        <v>5556.25</v>
      </c>
      <c r="Z21" s="974">
        <f t="shared" si="10"/>
        <v>0</v>
      </c>
      <c r="AA21" s="974">
        <f t="shared" si="10"/>
        <v>0</v>
      </c>
      <c r="AB21" s="974">
        <f t="shared" si="10"/>
        <v>0</v>
      </c>
      <c r="AC21" s="974">
        <f t="shared" si="10"/>
        <v>0</v>
      </c>
      <c r="AD21" s="974">
        <f t="shared" si="10"/>
        <v>0</v>
      </c>
      <c r="AE21" s="974">
        <f t="shared" si="10"/>
        <v>0</v>
      </c>
      <c r="AF21" s="1299"/>
    </row>
    <row r="22" spans="1:32" x14ac:dyDescent="0.25">
      <c r="A22" s="344" t="s">
        <v>169</v>
      </c>
      <c r="B22" s="345">
        <v>4870.8</v>
      </c>
      <c r="C22" s="345">
        <v>4870.8</v>
      </c>
      <c r="D22" s="345">
        <v>4870.8</v>
      </c>
      <c r="E22" s="345">
        <v>4870.8</v>
      </c>
      <c r="F22" s="321">
        <f>IFERROR(E22/B22%,0)</f>
        <v>100</v>
      </c>
      <c r="G22" s="321">
        <f t="shared" ref="G22:G26" si="11">IFERROR(E22/C22%,0)</f>
        <v>100</v>
      </c>
      <c r="H22" s="346">
        <v>0</v>
      </c>
      <c r="I22" s="346">
        <v>0</v>
      </c>
      <c r="J22" s="346">
        <v>0</v>
      </c>
      <c r="K22" s="346">
        <v>0</v>
      </c>
      <c r="L22" s="346">
        <v>0</v>
      </c>
      <c r="M22" s="346">
        <v>0</v>
      </c>
      <c r="N22" s="346">
        <v>0</v>
      </c>
      <c r="O22" s="346">
        <v>0</v>
      </c>
      <c r="P22" s="345">
        <v>3076.35</v>
      </c>
      <c r="Q22" s="345">
        <v>3076.35</v>
      </c>
      <c r="R22" s="346">
        <v>1299.33</v>
      </c>
      <c r="S22" s="346">
        <v>1299.33</v>
      </c>
      <c r="T22" s="346">
        <v>0</v>
      </c>
      <c r="U22" s="346">
        <v>0</v>
      </c>
      <c r="V22" s="346">
        <v>495.12</v>
      </c>
      <c r="W22" s="346">
        <v>495.12</v>
      </c>
      <c r="X22" s="346">
        <v>0</v>
      </c>
      <c r="Y22" s="346">
        <v>0</v>
      </c>
      <c r="Z22" s="346">
        <v>0</v>
      </c>
      <c r="AA22" s="346">
        <v>0</v>
      </c>
      <c r="AB22" s="346">
        <v>0</v>
      </c>
      <c r="AC22" s="346">
        <v>0</v>
      </c>
      <c r="AD22" s="346">
        <v>0</v>
      </c>
      <c r="AE22" s="346">
        <v>0</v>
      </c>
      <c r="AF22" s="1299"/>
    </row>
    <row r="23" spans="1:32" x14ac:dyDescent="0.25">
      <c r="A23" s="344" t="s">
        <v>32</v>
      </c>
      <c r="B23" s="345">
        <v>7641.82</v>
      </c>
      <c r="C23" s="345">
        <v>7641.82</v>
      </c>
      <c r="D23" s="345">
        <v>7641.82</v>
      </c>
      <c r="E23" s="345">
        <v>7641.82</v>
      </c>
      <c r="F23" s="321">
        <f t="shared" ref="F23:F26" si="12">IFERROR(E23/B23%,0)</f>
        <v>100</v>
      </c>
      <c r="G23" s="321">
        <f t="shared" si="11"/>
        <v>100</v>
      </c>
      <c r="H23" s="346">
        <v>0</v>
      </c>
      <c r="I23" s="346">
        <v>0</v>
      </c>
      <c r="J23" s="346">
        <v>0</v>
      </c>
      <c r="K23" s="346">
        <v>0</v>
      </c>
      <c r="L23" s="346">
        <v>0</v>
      </c>
      <c r="M23" s="346">
        <v>0</v>
      </c>
      <c r="N23" s="346">
        <v>0</v>
      </c>
      <c r="O23" s="346">
        <v>0</v>
      </c>
      <c r="P23" s="345">
        <v>4826.5</v>
      </c>
      <c r="Q23" s="345">
        <v>4826.5</v>
      </c>
      <c r="R23" s="346">
        <v>2038.52</v>
      </c>
      <c r="S23" s="346">
        <v>2038.52</v>
      </c>
      <c r="T23" s="346">
        <v>0</v>
      </c>
      <c r="U23" s="346">
        <v>0</v>
      </c>
      <c r="V23" s="346">
        <v>776.8</v>
      </c>
      <c r="W23" s="346">
        <v>776.8</v>
      </c>
      <c r="X23" s="346">
        <v>0</v>
      </c>
      <c r="Y23" s="346">
        <v>0</v>
      </c>
      <c r="Z23" s="346">
        <v>0</v>
      </c>
      <c r="AA23" s="346">
        <v>0</v>
      </c>
      <c r="AB23" s="346">
        <v>0</v>
      </c>
      <c r="AC23" s="346">
        <v>0</v>
      </c>
      <c r="AD23" s="346">
        <v>0</v>
      </c>
      <c r="AE23" s="346">
        <v>0</v>
      </c>
      <c r="AF23" s="1299"/>
    </row>
    <row r="24" spans="1:32" x14ac:dyDescent="0.25">
      <c r="A24" s="344" t="s">
        <v>33</v>
      </c>
      <c r="B24" s="560">
        <v>9439.7999999999993</v>
      </c>
      <c r="C24" s="560">
        <v>9439.7999999999993</v>
      </c>
      <c r="D24" s="345">
        <v>9439.75</v>
      </c>
      <c r="E24" s="345">
        <v>9439.75</v>
      </c>
      <c r="F24" s="345">
        <f>IFERROR(E24/B24%,0)</f>
        <v>99.999470327761188</v>
      </c>
      <c r="G24" s="321">
        <f t="shared" si="11"/>
        <v>99.999470327761188</v>
      </c>
      <c r="H24" s="346">
        <v>0</v>
      </c>
      <c r="I24" s="346">
        <v>0</v>
      </c>
      <c r="J24" s="346">
        <v>0</v>
      </c>
      <c r="K24" s="346">
        <v>0</v>
      </c>
      <c r="L24" s="346">
        <v>0</v>
      </c>
      <c r="M24" s="346">
        <v>0</v>
      </c>
      <c r="N24" s="346">
        <v>0</v>
      </c>
      <c r="O24" s="346">
        <v>0</v>
      </c>
      <c r="P24" s="345">
        <v>1975.71</v>
      </c>
      <c r="Q24" s="345">
        <v>1975.71</v>
      </c>
      <c r="R24" s="346">
        <v>834.46</v>
      </c>
      <c r="S24" s="346">
        <v>834.46</v>
      </c>
      <c r="T24" s="346">
        <v>0</v>
      </c>
      <c r="U24" s="346">
        <v>0</v>
      </c>
      <c r="V24" s="346">
        <v>6629.62</v>
      </c>
      <c r="W24" s="346">
        <v>1073.33</v>
      </c>
      <c r="X24" s="346">
        <v>0</v>
      </c>
      <c r="Y24" s="343">
        <v>5556.25</v>
      </c>
      <c r="Z24" s="346">
        <v>0</v>
      </c>
      <c r="AA24" s="346">
        <v>0</v>
      </c>
      <c r="AB24" s="346">
        <v>0</v>
      </c>
      <c r="AC24" s="346">
        <v>0</v>
      </c>
      <c r="AD24" s="346">
        <v>0</v>
      </c>
      <c r="AE24" s="346">
        <v>0</v>
      </c>
      <c r="AF24" s="1299"/>
    </row>
    <row r="25" spans="1:32" ht="31.5" x14ac:dyDescent="0.25">
      <c r="A25" s="347" t="s">
        <v>174</v>
      </c>
      <c r="B25" s="560">
        <v>3128.15</v>
      </c>
      <c r="C25" s="560">
        <v>3128.15</v>
      </c>
      <c r="D25" s="560">
        <v>3128.15</v>
      </c>
      <c r="E25" s="560">
        <v>3128.15</v>
      </c>
      <c r="F25" s="345">
        <f t="shared" si="12"/>
        <v>100</v>
      </c>
      <c r="G25" s="321">
        <f t="shared" si="11"/>
        <v>100</v>
      </c>
      <c r="H25" s="346">
        <v>0</v>
      </c>
      <c r="I25" s="346">
        <v>0</v>
      </c>
      <c r="J25" s="346">
        <v>0</v>
      </c>
      <c r="K25" s="346">
        <v>0</v>
      </c>
      <c r="L25" s="346">
        <v>0</v>
      </c>
      <c r="M25" s="346">
        <v>0</v>
      </c>
      <c r="N25" s="346">
        <v>0</v>
      </c>
      <c r="O25" s="346">
        <v>0</v>
      </c>
      <c r="P25" s="345">
        <v>1975.71</v>
      </c>
      <c r="Q25" s="345">
        <v>1975.71</v>
      </c>
      <c r="R25" s="346">
        <v>834.46</v>
      </c>
      <c r="S25" s="346">
        <v>834.46</v>
      </c>
      <c r="T25" s="346">
        <v>0</v>
      </c>
      <c r="U25" s="346">
        <v>0</v>
      </c>
      <c r="V25" s="346">
        <v>317.98</v>
      </c>
      <c r="W25" s="346">
        <v>317.98</v>
      </c>
      <c r="X25" s="346">
        <v>0</v>
      </c>
      <c r="Y25" s="346">
        <v>0</v>
      </c>
      <c r="Z25" s="346">
        <v>0</v>
      </c>
      <c r="AA25" s="346">
        <v>0</v>
      </c>
      <c r="AB25" s="346">
        <v>0</v>
      </c>
      <c r="AC25" s="346">
        <v>0</v>
      </c>
      <c r="AD25" s="346">
        <v>0</v>
      </c>
      <c r="AE25" s="346">
        <v>0</v>
      </c>
      <c r="AF25" s="1299"/>
    </row>
    <row r="26" spans="1:32" ht="51.75" customHeight="1" x14ac:dyDescent="0.25">
      <c r="A26" s="344" t="s">
        <v>374</v>
      </c>
      <c r="B26" s="345">
        <f>H26+J26+L26+N26+P26+R26+T26+V26+X26+Z26+AB26+AD26</f>
        <v>0</v>
      </c>
      <c r="C26" s="345">
        <f>H26</f>
        <v>0</v>
      </c>
      <c r="D26" s="345">
        <v>0</v>
      </c>
      <c r="E26" s="345">
        <v>0</v>
      </c>
      <c r="F26" s="321">
        <f t="shared" si="12"/>
        <v>0</v>
      </c>
      <c r="G26" s="321">
        <f t="shared" si="11"/>
        <v>0</v>
      </c>
      <c r="H26" s="346">
        <v>0</v>
      </c>
      <c r="I26" s="346">
        <v>0</v>
      </c>
      <c r="J26" s="346">
        <v>0</v>
      </c>
      <c r="K26" s="346">
        <v>0</v>
      </c>
      <c r="L26" s="346">
        <v>0</v>
      </c>
      <c r="M26" s="346">
        <v>0</v>
      </c>
      <c r="N26" s="346">
        <v>0</v>
      </c>
      <c r="O26" s="346">
        <v>0</v>
      </c>
      <c r="P26" s="345">
        <f>P40</f>
        <v>0</v>
      </c>
      <c r="Q26" s="345">
        <f>Q40</f>
        <v>0</v>
      </c>
      <c r="R26" s="346">
        <v>0</v>
      </c>
      <c r="S26" s="346">
        <v>0</v>
      </c>
      <c r="T26" s="346">
        <v>0</v>
      </c>
      <c r="U26" s="346">
        <v>0</v>
      </c>
      <c r="V26" s="346">
        <v>0</v>
      </c>
      <c r="W26" s="346">
        <v>0</v>
      </c>
      <c r="X26" s="346">
        <v>0</v>
      </c>
      <c r="Y26" s="346">
        <v>0</v>
      </c>
      <c r="Z26" s="346">
        <v>0</v>
      </c>
      <c r="AA26" s="346">
        <v>0</v>
      </c>
      <c r="AB26" s="346">
        <v>0</v>
      </c>
      <c r="AC26" s="346">
        <v>0</v>
      </c>
      <c r="AD26" s="346">
        <v>0</v>
      </c>
      <c r="AE26" s="346">
        <v>0</v>
      </c>
      <c r="AF26" s="1300"/>
    </row>
    <row r="27" spans="1:32" ht="159" customHeight="1" x14ac:dyDescent="0.25">
      <c r="A27" s="882" t="s">
        <v>594</v>
      </c>
      <c r="B27" s="883"/>
      <c r="C27" s="883"/>
      <c r="D27" s="883"/>
      <c r="E27" s="883"/>
      <c r="F27" s="883"/>
      <c r="G27" s="883"/>
      <c r="H27" s="883"/>
      <c r="I27" s="883"/>
      <c r="J27" s="883"/>
      <c r="K27" s="883"/>
      <c r="L27" s="883"/>
      <c r="M27" s="883"/>
      <c r="N27" s="883"/>
      <c r="O27" s="883"/>
      <c r="P27" s="883"/>
      <c r="Q27" s="883"/>
      <c r="R27" s="883"/>
      <c r="S27" s="883"/>
      <c r="T27" s="883"/>
      <c r="U27" s="883"/>
      <c r="V27" s="883"/>
      <c r="W27" s="883"/>
      <c r="X27" s="883"/>
      <c r="Y27" s="883"/>
      <c r="Z27" s="883"/>
      <c r="AA27" s="883"/>
      <c r="AB27" s="883"/>
      <c r="AC27" s="883"/>
      <c r="AD27" s="883"/>
      <c r="AE27" s="884"/>
      <c r="AF27" s="933" t="s">
        <v>669</v>
      </c>
    </row>
    <row r="28" spans="1:32" ht="51.75" customHeight="1" x14ac:dyDescent="0.25">
      <c r="A28" s="889" t="s">
        <v>31</v>
      </c>
      <c r="B28" s="789">
        <v>373350</v>
      </c>
      <c r="C28" s="789">
        <v>373350</v>
      </c>
      <c r="D28" s="345">
        <v>116438.14</v>
      </c>
      <c r="E28" s="345">
        <v>116438.14</v>
      </c>
      <c r="F28" s="345">
        <v>31.19</v>
      </c>
      <c r="G28" s="345">
        <v>31.19</v>
      </c>
      <c r="H28" s="345">
        <f t="shared" ref="C28:N33" si="13">M28</f>
        <v>0</v>
      </c>
      <c r="I28" s="345">
        <f t="shared" si="13"/>
        <v>0</v>
      </c>
      <c r="J28" s="345">
        <f t="shared" si="13"/>
        <v>0</v>
      </c>
      <c r="K28" s="345">
        <f t="shared" si="13"/>
        <v>0</v>
      </c>
      <c r="L28" s="345">
        <f t="shared" si="13"/>
        <v>0</v>
      </c>
      <c r="M28" s="345">
        <f t="shared" si="13"/>
        <v>0</v>
      </c>
      <c r="N28" s="345">
        <f t="shared" si="13"/>
        <v>0</v>
      </c>
      <c r="O28" s="345">
        <v>0</v>
      </c>
      <c r="P28" s="345">
        <f t="shared" ref="P28:S33" si="14">U28</f>
        <v>0</v>
      </c>
      <c r="Q28" s="345">
        <f t="shared" si="14"/>
        <v>0</v>
      </c>
      <c r="R28" s="345">
        <f t="shared" si="14"/>
        <v>0</v>
      </c>
      <c r="S28" s="345">
        <f t="shared" si="14"/>
        <v>0</v>
      </c>
      <c r="T28" s="345">
        <v>0</v>
      </c>
      <c r="U28" s="345">
        <v>0</v>
      </c>
      <c r="V28" s="345">
        <f t="shared" ref="U28:X33" si="15">AA28</f>
        <v>0</v>
      </c>
      <c r="W28" s="345">
        <f t="shared" si="15"/>
        <v>0</v>
      </c>
      <c r="X28" s="345">
        <f t="shared" si="15"/>
        <v>0</v>
      </c>
      <c r="Y28" s="345">
        <v>0</v>
      </c>
      <c r="Z28" s="345">
        <v>111899.78</v>
      </c>
      <c r="AA28" s="345">
        <f>AF28</f>
        <v>0</v>
      </c>
      <c r="AB28" s="345">
        <f>AG28</f>
        <v>0</v>
      </c>
      <c r="AC28" s="345">
        <f t="shared" ref="Z28:AC33" si="16">AH28</f>
        <v>0</v>
      </c>
      <c r="AD28" s="789">
        <v>261450.22</v>
      </c>
      <c r="AE28" s="345">
        <v>116438.14</v>
      </c>
      <c r="AF28" s="933"/>
    </row>
    <row r="29" spans="1:32" ht="51.75" customHeight="1" x14ac:dyDescent="0.25">
      <c r="A29" s="344" t="s">
        <v>169</v>
      </c>
      <c r="B29" s="345">
        <f>G29</f>
        <v>0</v>
      </c>
      <c r="C29" s="345">
        <f t="shared" si="13"/>
        <v>0</v>
      </c>
      <c r="D29" s="345">
        <f t="shared" si="13"/>
        <v>0</v>
      </c>
      <c r="E29" s="345">
        <f t="shared" si="13"/>
        <v>0</v>
      </c>
      <c r="F29" s="345">
        <f t="shared" si="13"/>
        <v>0</v>
      </c>
      <c r="G29" s="345">
        <f t="shared" si="13"/>
        <v>0</v>
      </c>
      <c r="H29" s="345">
        <f t="shared" si="13"/>
        <v>0</v>
      </c>
      <c r="I29" s="345">
        <f t="shared" si="13"/>
        <v>0</v>
      </c>
      <c r="J29" s="345">
        <f t="shared" si="13"/>
        <v>0</v>
      </c>
      <c r="K29" s="345">
        <f t="shared" si="13"/>
        <v>0</v>
      </c>
      <c r="L29" s="345">
        <f t="shared" si="13"/>
        <v>0</v>
      </c>
      <c r="M29" s="345">
        <f t="shared" si="13"/>
        <v>0</v>
      </c>
      <c r="N29" s="345">
        <f t="shared" si="13"/>
        <v>0</v>
      </c>
      <c r="O29" s="345">
        <f>T29</f>
        <v>0</v>
      </c>
      <c r="P29" s="345">
        <f t="shared" si="14"/>
        <v>0</v>
      </c>
      <c r="Q29" s="345">
        <f t="shared" si="14"/>
        <v>0</v>
      </c>
      <c r="R29" s="345">
        <f t="shared" si="14"/>
        <v>0</v>
      </c>
      <c r="S29" s="345">
        <f t="shared" si="14"/>
        <v>0</v>
      </c>
      <c r="T29" s="345">
        <f>Y29</f>
        <v>0</v>
      </c>
      <c r="U29" s="345">
        <f t="shared" si="15"/>
        <v>0</v>
      </c>
      <c r="V29" s="345">
        <f t="shared" si="15"/>
        <v>0</v>
      </c>
      <c r="W29" s="345">
        <f t="shared" si="15"/>
        <v>0</v>
      </c>
      <c r="X29" s="345">
        <f t="shared" si="15"/>
        <v>0</v>
      </c>
      <c r="Y29" s="345">
        <f>AD29</f>
        <v>0</v>
      </c>
      <c r="Z29" s="345">
        <f t="shared" si="16"/>
        <v>0</v>
      </c>
      <c r="AA29" s="345">
        <f t="shared" si="16"/>
        <v>0</v>
      </c>
      <c r="AB29" s="345">
        <f t="shared" si="16"/>
        <v>0</v>
      </c>
      <c r="AC29" s="345">
        <f t="shared" si="16"/>
        <v>0</v>
      </c>
      <c r="AD29" s="345">
        <f>AI29</f>
        <v>0</v>
      </c>
      <c r="AE29" s="345">
        <f t="shared" ref="AE29:AE32" si="17">AJ29</f>
        <v>0</v>
      </c>
      <c r="AF29" s="890"/>
    </row>
    <row r="30" spans="1:32" ht="51.75" customHeight="1" x14ac:dyDescent="0.25">
      <c r="A30" s="344" t="s">
        <v>32</v>
      </c>
      <c r="B30" s="345">
        <f>G30</f>
        <v>0</v>
      </c>
      <c r="C30" s="345">
        <f t="shared" si="13"/>
        <v>0</v>
      </c>
      <c r="D30" s="345">
        <f t="shared" si="13"/>
        <v>0</v>
      </c>
      <c r="E30" s="345">
        <f t="shared" si="13"/>
        <v>0</v>
      </c>
      <c r="F30" s="345">
        <f t="shared" si="13"/>
        <v>0</v>
      </c>
      <c r="G30" s="345">
        <f t="shared" si="13"/>
        <v>0</v>
      </c>
      <c r="H30" s="345">
        <f t="shared" si="13"/>
        <v>0</v>
      </c>
      <c r="I30" s="345">
        <f t="shared" si="13"/>
        <v>0</v>
      </c>
      <c r="J30" s="345">
        <f t="shared" si="13"/>
        <v>0</v>
      </c>
      <c r="K30" s="345">
        <f t="shared" si="13"/>
        <v>0</v>
      </c>
      <c r="L30" s="345">
        <f t="shared" si="13"/>
        <v>0</v>
      </c>
      <c r="M30" s="345">
        <f t="shared" si="13"/>
        <v>0</v>
      </c>
      <c r="N30" s="345">
        <f t="shared" si="13"/>
        <v>0</v>
      </c>
      <c r="O30" s="345">
        <f>T30</f>
        <v>0</v>
      </c>
      <c r="P30" s="345">
        <f t="shared" si="14"/>
        <v>0</v>
      </c>
      <c r="Q30" s="345">
        <f t="shared" si="14"/>
        <v>0</v>
      </c>
      <c r="R30" s="345">
        <f t="shared" si="14"/>
        <v>0</v>
      </c>
      <c r="S30" s="345">
        <f t="shared" si="14"/>
        <v>0</v>
      </c>
      <c r="T30" s="345">
        <f>Y30</f>
        <v>0</v>
      </c>
      <c r="U30" s="345">
        <f t="shared" si="15"/>
        <v>0</v>
      </c>
      <c r="V30" s="345">
        <f t="shared" si="15"/>
        <v>0</v>
      </c>
      <c r="W30" s="345">
        <f t="shared" si="15"/>
        <v>0</v>
      </c>
      <c r="X30" s="345">
        <f t="shared" si="15"/>
        <v>0</v>
      </c>
      <c r="Y30" s="345">
        <f>AD30</f>
        <v>0</v>
      </c>
      <c r="Z30" s="345">
        <f t="shared" si="16"/>
        <v>0</v>
      </c>
      <c r="AA30" s="345">
        <f t="shared" si="16"/>
        <v>0</v>
      </c>
      <c r="AB30" s="345">
        <f t="shared" si="16"/>
        <v>0</v>
      </c>
      <c r="AC30" s="345">
        <f t="shared" si="16"/>
        <v>0</v>
      </c>
      <c r="AD30" s="345">
        <f>AI30</f>
        <v>0</v>
      </c>
      <c r="AE30" s="345">
        <f t="shared" si="17"/>
        <v>0</v>
      </c>
      <c r="AF30" s="890"/>
    </row>
    <row r="31" spans="1:32" x14ac:dyDescent="0.25">
      <c r="A31" s="344" t="s">
        <v>33</v>
      </c>
      <c r="B31" s="345">
        <v>350</v>
      </c>
      <c r="C31" s="345">
        <v>350</v>
      </c>
      <c r="D31" s="345">
        <v>350</v>
      </c>
      <c r="E31" s="345">
        <v>350</v>
      </c>
      <c r="F31" s="345">
        <v>100</v>
      </c>
      <c r="G31" s="345">
        <v>100</v>
      </c>
      <c r="H31" s="345">
        <f t="shared" si="13"/>
        <v>0</v>
      </c>
      <c r="I31" s="345">
        <f t="shared" si="13"/>
        <v>0</v>
      </c>
      <c r="J31" s="345">
        <v>0</v>
      </c>
      <c r="K31" s="345">
        <v>0</v>
      </c>
      <c r="L31" s="345">
        <f t="shared" si="13"/>
        <v>0</v>
      </c>
      <c r="M31" s="345">
        <f t="shared" si="13"/>
        <v>0</v>
      </c>
      <c r="N31" s="345">
        <f t="shared" si="13"/>
        <v>0</v>
      </c>
      <c r="O31" s="345">
        <v>0</v>
      </c>
      <c r="P31" s="345">
        <v>0</v>
      </c>
      <c r="Q31" s="345">
        <f t="shared" si="14"/>
        <v>0</v>
      </c>
      <c r="R31" s="345">
        <f t="shared" si="14"/>
        <v>0</v>
      </c>
      <c r="S31" s="345">
        <f t="shared" si="14"/>
        <v>0</v>
      </c>
      <c r="T31" s="345">
        <v>0</v>
      </c>
      <c r="U31" s="345">
        <v>0</v>
      </c>
      <c r="V31" s="345">
        <f t="shared" si="15"/>
        <v>0</v>
      </c>
      <c r="W31" s="345">
        <f t="shared" si="15"/>
        <v>0</v>
      </c>
      <c r="X31" s="345">
        <f t="shared" si="15"/>
        <v>0</v>
      </c>
      <c r="Y31" s="345">
        <v>0</v>
      </c>
      <c r="Z31" s="345">
        <v>0</v>
      </c>
      <c r="AA31" s="345">
        <f t="shared" si="16"/>
        <v>0</v>
      </c>
      <c r="AB31" s="345">
        <f t="shared" si="16"/>
        <v>0</v>
      </c>
      <c r="AC31" s="345">
        <f t="shared" si="16"/>
        <v>0</v>
      </c>
      <c r="AD31" s="345">
        <v>350</v>
      </c>
      <c r="AE31" s="345">
        <v>350</v>
      </c>
    </row>
    <row r="32" spans="1:32" ht="31.5" x14ac:dyDescent="0.25">
      <c r="A32" s="347" t="s">
        <v>174</v>
      </c>
      <c r="B32" s="345">
        <f>G32</f>
        <v>0</v>
      </c>
      <c r="C32" s="345">
        <f t="shared" si="13"/>
        <v>0</v>
      </c>
      <c r="D32" s="345">
        <f t="shared" si="13"/>
        <v>0</v>
      </c>
      <c r="E32" s="345">
        <f t="shared" si="13"/>
        <v>0</v>
      </c>
      <c r="F32" s="345">
        <f t="shared" si="13"/>
        <v>0</v>
      </c>
      <c r="G32" s="345">
        <f t="shared" si="13"/>
        <v>0</v>
      </c>
      <c r="H32" s="345">
        <f t="shared" si="13"/>
        <v>0</v>
      </c>
      <c r="I32" s="345">
        <f t="shared" si="13"/>
        <v>0</v>
      </c>
      <c r="J32" s="345">
        <f t="shared" si="13"/>
        <v>0</v>
      </c>
      <c r="K32" s="345">
        <f t="shared" si="13"/>
        <v>0</v>
      </c>
      <c r="L32" s="345">
        <f t="shared" si="13"/>
        <v>0</v>
      </c>
      <c r="M32" s="345">
        <f t="shared" si="13"/>
        <v>0</v>
      </c>
      <c r="N32" s="345">
        <f t="shared" si="13"/>
        <v>0</v>
      </c>
      <c r="O32" s="345">
        <f>T32</f>
        <v>0</v>
      </c>
      <c r="P32" s="345">
        <f t="shared" si="14"/>
        <v>0</v>
      </c>
      <c r="Q32" s="345">
        <f t="shared" si="14"/>
        <v>0</v>
      </c>
      <c r="R32" s="345">
        <f t="shared" si="14"/>
        <v>0</v>
      </c>
      <c r="S32" s="345">
        <f t="shared" si="14"/>
        <v>0</v>
      </c>
      <c r="T32" s="345">
        <f>Y32</f>
        <v>0</v>
      </c>
      <c r="U32" s="345">
        <f t="shared" si="15"/>
        <v>0</v>
      </c>
      <c r="V32" s="345">
        <f t="shared" si="15"/>
        <v>0</v>
      </c>
      <c r="W32" s="345">
        <f t="shared" si="15"/>
        <v>0</v>
      </c>
      <c r="X32" s="345">
        <f t="shared" si="15"/>
        <v>0</v>
      </c>
      <c r="Y32" s="345">
        <f>AD32</f>
        <v>0</v>
      </c>
      <c r="Z32" s="345">
        <f t="shared" si="16"/>
        <v>0</v>
      </c>
      <c r="AA32" s="345">
        <f t="shared" si="16"/>
        <v>0</v>
      </c>
      <c r="AB32" s="345">
        <f t="shared" si="16"/>
        <v>0</v>
      </c>
      <c r="AC32" s="345">
        <f t="shared" si="16"/>
        <v>0</v>
      </c>
      <c r="AD32" s="345">
        <f>AI32</f>
        <v>0</v>
      </c>
      <c r="AE32" s="345">
        <f t="shared" si="17"/>
        <v>0</v>
      </c>
    </row>
    <row r="33" spans="1:32" x14ac:dyDescent="0.25">
      <c r="A33" s="888" t="s">
        <v>170</v>
      </c>
      <c r="B33" s="891">
        <v>373000</v>
      </c>
      <c r="C33" s="891">
        <v>373000</v>
      </c>
      <c r="D33" s="345">
        <v>116088.14</v>
      </c>
      <c r="E33" s="345">
        <v>116088.14</v>
      </c>
      <c r="F33" s="345">
        <f t="shared" si="13"/>
        <v>0</v>
      </c>
      <c r="G33" s="345">
        <f t="shared" si="13"/>
        <v>0</v>
      </c>
      <c r="H33" s="345">
        <f t="shared" si="13"/>
        <v>0</v>
      </c>
      <c r="I33" s="345">
        <f t="shared" si="13"/>
        <v>0</v>
      </c>
      <c r="J33" s="345">
        <f t="shared" si="13"/>
        <v>0</v>
      </c>
      <c r="K33" s="345">
        <f t="shared" si="13"/>
        <v>0</v>
      </c>
      <c r="L33" s="345">
        <f t="shared" si="13"/>
        <v>0</v>
      </c>
      <c r="M33" s="345">
        <f t="shared" si="13"/>
        <v>0</v>
      </c>
      <c r="N33" s="345">
        <f t="shared" si="13"/>
        <v>0</v>
      </c>
      <c r="O33" s="345">
        <v>0</v>
      </c>
      <c r="P33" s="345">
        <f t="shared" si="14"/>
        <v>0</v>
      </c>
      <c r="Q33" s="345">
        <f t="shared" si="14"/>
        <v>0</v>
      </c>
      <c r="R33" s="345">
        <f t="shared" si="14"/>
        <v>0</v>
      </c>
      <c r="S33" s="345">
        <f t="shared" si="14"/>
        <v>0</v>
      </c>
      <c r="T33" s="345">
        <v>0</v>
      </c>
      <c r="U33" s="345">
        <v>0</v>
      </c>
      <c r="V33" s="345">
        <f t="shared" si="15"/>
        <v>0</v>
      </c>
      <c r="W33" s="345">
        <f t="shared" si="15"/>
        <v>0</v>
      </c>
      <c r="X33" s="345">
        <f t="shared" si="15"/>
        <v>0</v>
      </c>
      <c r="Y33" s="345">
        <v>0</v>
      </c>
      <c r="Z33" s="345">
        <v>111899.78</v>
      </c>
      <c r="AA33" s="345">
        <f t="shared" si="16"/>
        <v>0</v>
      </c>
      <c r="AB33" s="345">
        <f t="shared" si="16"/>
        <v>0</v>
      </c>
      <c r="AC33" s="345">
        <f t="shared" si="16"/>
        <v>0</v>
      </c>
      <c r="AD33" s="789">
        <v>261100.22</v>
      </c>
      <c r="AE33" s="345">
        <v>116088.14</v>
      </c>
    </row>
    <row r="34" spans="1:32" ht="109.5" customHeight="1" x14ac:dyDescent="0.25">
      <c r="A34" s="782" t="s">
        <v>541</v>
      </c>
      <c r="B34" s="788"/>
      <c r="C34" s="788"/>
      <c r="D34" s="788"/>
      <c r="E34" s="788"/>
      <c r="F34" s="768"/>
      <c r="G34" s="768"/>
      <c r="H34" s="789"/>
      <c r="I34" s="789"/>
      <c r="J34" s="789"/>
      <c r="K34" s="789"/>
      <c r="L34" s="789"/>
      <c r="M34" s="789"/>
      <c r="N34" s="789"/>
      <c r="O34" s="789"/>
      <c r="P34" s="789"/>
      <c r="Q34" s="789"/>
      <c r="R34" s="345">
        <f>W34</f>
        <v>0</v>
      </c>
      <c r="S34" s="789"/>
      <c r="T34" s="789"/>
      <c r="U34" s="789"/>
      <c r="V34" s="789"/>
      <c r="W34" s="789"/>
      <c r="X34" s="789"/>
      <c r="Y34" s="789"/>
      <c r="Z34" s="789"/>
      <c r="AA34" s="789"/>
      <c r="AB34" s="789"/>
      <c r="AC34" s="789"/>
      <c r="AD34" s="789"/>
      <c r="AE34" s="790"/>
      <c r="AF34" s="783" t="s">
        <v>621</v>
      </c>
    </row>
    <row r="35" spans="1:32" x14ac:dyDescent="0.25">
      <c r="A35" s="348" t="s">
        <v>31</v>
      </c>
      <c r="B35" s="343" t="s">
        <v>668</v>
      </c>
      <c r="C35" s="343" t="s">
        <v>668</v>
      </c>
      <c r="D35" s="343" t="str">
        <f t="shared" ref="D35:D40" si="18">C35</f>
        <v>20 901, 34</v>
      </c>
      <c r="E35" s="343">
        <v>20901.34</v>
      </c>
      <c r="F35" s="343">
        <v>100</v>
      </c>
      <c r="G35" s="343">
        <v>100</v>
      </c>
      <c r="H35" s="343">
        <f t="shared" ref="H35:T35" si="19">H36+H37+H38+H40</f>
        <v>0</v>
      </c>
      <c r="I35" s="343">
        <f t="shared" si="19"/>
        <v>0</v>
      </c>
      <c r="J35" s="343">
        <f t="shared" si="19"/>
        <v>0</v>
      </c>
      <c r="K35" s="343">
        <f t="shared" si="19"/>
        <v>0</v>
      </c>
      <c r="L35" s="343">
        <f t="shared" si="19"/>
        <v>0</v>
      </c>
      <c r="M35" s="343">
        <f t="shared" si="19"/>
        <v>0</v>
      </c>
      <c r="N35" s="343">
        <f t="shared" si="19"/>
        <v>0</v>
      </c>
      <c r="O35" s="343">
        <f t="shared" si="19"/>
        <v>0</v>
      </c>
      <c r="P35" s="343">
        <f t="shared" si="19"/>
        <v>0</v>
      </c>
      <c r="Q35" s="343">
        <f t="shared" si="19"/>
        <v>0</v>
      </c>
      <c r="R35" s="343">
        <v>9732.0400000000009</v>
      </c>
      <c r="S35" s="343">
        <v>9120.59</v>
      </c>
      <c r="T35" s="343">
        <f t="shared" si="19"/>
        <v>0</v>
      </c>
      <c r="U35" s="343">
        <v>0</v>
      </c>
      <c r="V35" s="343">
        <v>10328.64</v>
      </c>
      <c r="W35" s="343">
        <v>10709.1</v>
      </c>
      <c r="X35" s="343">
        <v>840.67</v>
      </c>
      <c r="Y35" s="343">
        <v>1071.6500000000001</v>
      </c>
      <c r="Z35" s="346">
        <v>0</v>
      </c>
      <c r="AA35" s="343">
        <f t="shared" ref="AA35:AE35" si="20">AA36+AA37+AA38+AA40</f>
        <v>0</v>
      </c>
      <c r="AB35" s="343">
        <f t="shared" si="20"/>
        <v>0</v>
      </c>
      <c r="AC35" s="346">
        <v>0</v>
      </c>
      <c r="AD35" s="343">
        <f t="shared" si="20"/>
        <v>0</v>
      </c>
      <c r="AE35" s="343">
        <f t="shared" si="20"/>
        <v>0</v>
      </c>
      <c r="AF35" s="784"/>
    </row>
    <row r="36" spans="1:32" x14ac:dyDescent="0.25">
      <c r="A36" s="344" t="s">
        <v>169</v>
      </c>
      <c r="B36" s="560">
        <f>H36+J36+L36+N36+P36+R36+T36+V36+X36+Z36+AB36+AD36</f>
        <v>0</v>
      </c>
      <c r="C36" s="345">
        <f>H36+J36+L36+N36+P36</f>
        <v>0</v>
      </c>
      <c r="D36" s="343">
        <f t="shared" si="18"/>
        <v>0</v>
      </c>
      <c r="E36" s="345">
        <v>0</v>
      </c>
      <c r="F36" s="321">
        <f t="shared" ref="F36:F40" si="21">IFERROR(E36/B36%,0)</f>
        <v>0</v>
      </c>
      <c r="G36" s="321">
        <f t="shared" ref="G36:G40" si="22">IFERROR(E36/C36%,0)</f>
        <v>0</v>
      </c>
      <c r="H36" s="346">
        <v>0</v>
      </c>
      <c r="I36" s="346">
        <v>0</v>
      </c>
      <c r="J36" s="346">
        <v>0</v>
      </c>
      <c r="K36" s="346">
        <v>0</v>
      </c>
      <c r="L36" s="346">
        <v>0</v>
      </c>
      <c r="M36" s="346">
        <v>0</v>
      </c>
      <c r="N36" s="346">
        <v>0</v>
      </c>
      <c r="O36" s="346">
        <v>0</v>
      </c>
      <c r="P36" s="346">
        <v>0</v>
      </c>
      <c r="Q36" s="346">
        <v>0</v>
      </c>
      <c r="R36" s="346">
        <v>0</v>
      </c>
      <c r="S36" s="346">
        <v>0</v>
      </c>
      <c r="T36" s="346">
        <v>0</v>
      </c>
      <c r="U36" s="346">
        <v>0</v>
      </c>
      <c r="V36" s="346">
        <v>0</v>
      </c>
      <c r="W36" s="346">
        <v>0</v>
      </c>
      <c r="X36" s="346">
        <v>0</v>
      </c>
      <c r="Y36" s="346">
        <v>0</v>
      </c>
      <c r="Z36" s="346">
        <v>0</v>
      </c>
      <c r="AA36" s="346">
        <v>0</v>
      </c>
      <c r="AB36" s="346">
        <v>0</v>
      </c>
      <c r="AC36" s="346">
        <v>0</v>
      </c>
      <c r="AD36" s="346">
        <v>0</v>
      </c>
      <c r="AE36" s="346">
        <v>0</v>
      </c>
      <c r="AF36" s="784"/>
    </row>
    <row r="37" spans="1:32" x14ac:dyDescent="0.25">
      <c r="A37" s="344" t="s">
        <v>32</v>
      </c>
      <c r="B37" s="560">
        <v>9598.74</v>
      </c>
      <c r="C37" s="560">
        <v>9598.74</v>
      </c>
      <c r="D37" s="343">
        <f t="shared" si="18"/>
        <v>9598.74</v>
      </c>
      <c r="E37" s="343">
        <v>9598.73</v>
      </c>
      <c r="F37" s="321">
        <f t="shared" si="21"/>
        <v>99.99989581965967</v>
      </c>
      <c r="G37" s="321">
        <f t="shared" si="22"/>
        <v>99.99989581965967</v>
      </c>
      <c r="H37" s="346">
        <v>0</v>
      </c>
      <c r="I37" s="346">
        <v>0</v>
      </c>
      <c r="J37" s="346">
        <v>0</v>
      </c>
      <c r="K37" s="346">
        <v>0</v>
      </c>
      <c r="L37" s="346">
        <v>0</v>
      </c>
      <c r="M37" s="346">
        <v>0</v>
      </c>
      <c r="N37" s="346">
        <v>0</v>
      </c>
      <c r="O37" s="346">
        <v>0</v>
      </c>
      <c r="P37" s="346">
        <v>0</v>
      </c>
      <c r="Q37" s="346">
        <v>0</v>
      </c>
      <c r="R37" s="346">
        <v>4799.99</v>
      </c>
      <c r="S37" s="346">
        <v>4188.54</v>
      </c>
      <c r="T37" s="346">
        <v>0</v>
      </c>
      <c r="U37" s="346">
        <v>0</v>
      </c>
      <c r="V37" s="346">
        <v>4537.59</v>
      </c>
      <c r="W37" s="346">
        <v>4918.05</v>
      </c>
      <c r="X37" s="346">
        <v>261.16000000000003</v>
      </c>
      <c r="Y37" s="346">
        <v>492.15</v>
      </c>
      <c r="Z37" s="346">
        <v>0</v>
      </c>
      <c r="AA37" s="346">
        <v>0</v>
      </c>
      <c r="AB37" s="346">
        <v>0</v>
      </c>
      <c r="AC37" s="346">
        <v>0</v>
      </c>
      <c r="AD37" s="346">
        <v>0</v>
      </c>
      <c r="AE37" s="346">
        <v>0</v>
      </c>
    </row>
    <row r="38" spans="1:32" x14ac:dyDescent="0.25">
      <c r="A38" s="344" t="s">
        <v>33</v>
      </c>
      <c r="B38" s="560">
        <v>11302.61</v>
      </c>
      <c r="C38" s="560">
        <v>11302.61</v>
      </c>
      <c r="D38" s="343">
        <f t="shared" si="18"/>
        <v>11302.61</v>
      </c>
      <c r="E38" s="343">
        <v>11302.61</v>
      </c>
      <c r="F38" s="345">
        <f t="shared" si="21"/>
        <v>100</v>
      </c>
      <c r="G38" s="321">
        <f t="shared" si="22"/>
        <v>100</v>
      </c>
      <c r="H38" s="346">
        <v>0</v>
      </c>
      <c r="I38" s="346">
        <v>0</v>
      </c>
      <c r="J38" s="346">
        <v>0</v>
      </c>
      <c r="K38" s="346">
        <v>0</v>
      </c>
      <c r="L38" s="346"/>
      <c r="M38" s="346">
        <v>0</v>
      </c>
      <c r="N38" s="346">
        <v>0</v>
      </c>
      <c r="O38" s="346">
        <v>0</v>
      </c>
      <c r="P38" s="346">
        <v>0</v>
      </c>
      <c r="Q38" s="346">
        <v>0</v>
      </c>
      <c r="R38" s="346">
        <v>4932.05</v>
      </c>
      <c r="S38" s="346">
        <v>4932.05</v>
      </c>
      <c r="T38" s="346">
        <v>0</v>
      </c>
      <c r="U38" s="346">
        <v>0</v>
      </c>
      <c r="V38" s="346">
        <v>5791.05</v>
      </c>
      <c r="W38" s="346">
        <v>5791.05</v>
      </c>
      <c r="X38" s="346">
        <v>579.51</v>
      </c>
      <c r="Y38" s="346">
        <v>579.51</v>
      </c>
      <c r="Z38" s="346">
        <v>0</v>
      </c>
      <c r="AA38" s="346">
        <v>0</v>
      </c>
      <c r="AB38" s="346">
        <v>0</v>
      </c>
      <c r="AC38" s="346">
        <v>0</v>
      </c>
      <c r="AD38" s="346">
        <v>0</v>
      </c>
      <c r="AE38" s="346">
        <v>0</v>
      </c>
      <c r="AF38" s="784"/>
    </row>
    <row r="39" spans="1:32" ht="31.5" x14ac:dyDescent="0.25">
      <c r="A39" s="347" t="s">
        <v>174</v>
      </c>
      <c r="B39" s="560">
        <v>1500</v>
      </c>
      <c r="C39" s="345">
        <v>1500</v>
      </c>
      <c r="D39" s="343">
        <f t="shared" si="18"/>
        <v>1500</v>
      </c>
      <c r="E39" s="345">
        <v>1500</v>
      </c>
      <c r="F39" s="345">
        <f t="shared" si="21"/>
        <v>100</v>
      </c>
      <c r="G39" s="321">
        <f t="shared" si="22"/>
        <v>100</v>
      </c>
      <c r="H39" s="346">
        <v>0</v>
      </c>
      <c r="I39" s="346">
        <v>0</v>
      </c>
      <c r="J39" s="346">
        <v>0</v>
      </c>
      <c r="K39" s="346">
        <v>0</v>
      </c>
      <c r="L39" s="346">
        <v>0</v>
      </c>
      <c r="M39" s="346">
        <v>0</v>
      </c>
      <c r="N39" s="346">
        <v>0</v>
      </c>
      <c r="O39" s="346">
        <v>0</v>
      </c>
      <c r="P39" s="346">
        <v>0</v>
      </c>
      <c r="Q39" s="346">
        <v>0</v>
      </c>
      <c r="R39" s="346">
        <v>1500</v>
      </c>
      <c r="S39" s="346">
        <v>1500</v>
      </c>
      <c r="T39" s="346">
        <v>0</v>
      </c>
      <c r="U39" s="346">
        <v>0</v>
      </c>
      <c r="V39" s="346">
        <v>0</v>
      </c>
      <c r="W39" s="346">
        <v>0</v>
      </c>
      <c r="X39" s="346">
        <v>0</v>
      </c>
      <c r="Y39" s="346">
        <v>0</v>
      </c>
      <c r="Z39" s="346">
        <v>0</v>
      </c>
      <c r="AA39" s="346">
        <v>0</v>
      </c>
      <c r="AB39" s="346">
        <v>0</v>
      </c>
      <c r="AC39" s="346">
        <v>0</v>
      </c>
      <c r="AD39" s="346">
        <v>0</v>
      </c>
      <c r="AE39" s="346">
        <v>0</v>
      </c>
      <c r="AF39" s="784"/>
    </row>
    <row r="40" spans="1:32" x14ac:dyDescent="0.25">
      <c r="A40" s="344" t="s">
        <v>374</v>
      </c>
      <c r="B40" s="345">
        <f>H40+J40+L40+N40+P40+R40+T40+V40+X40+Z40+AB40+AD40</f>
        <v>0</v>
      </c>
      <c r="C40" s="345">
        <f>H40+J40+L40+N40+P40</f>
        <v>0</v>
      </c>
      <c r="D40" s="343">
        <f t="shared" si="18"/>
        <v>0</v>
      </c>
      <c r="E40" s="345">
        <v>0</v>
      </c>
      <c r="F40" s="321">
        <f t="shared" si="21"/>
        <v>0</v>
      </c>
      <c r="G40" s="321">
        <f t="shared" si="22"/>
        <v>0</v>
      </c>
      <c r="H40" s="346">
        <v>0</v>
      </c>
      <c r="I40" s="346">
        <v>0</v>
      </c>
      <c r="J40" s="346">
        <v>0</v>
      </c>
      <c r="K40" s="346">
        <v>0</v>
      </c>
      <c r="L40" s="346">
        <v>0</v>
      </c>
      <c r="M40" s="346">
        <v>0</v>
      </c>
      <c r="N40" s="346">
        <v>0</v>
      </c>
      <c r="O40" s="346">
        <v>0</v>
      </c>
      <c r="P40" s="346">
        <v>0</v>
      </c>
      <c r="Q40" s="346">
        <v>0</v>
      </c>
      <c r="R40" s="346">
        <v>0</v>
      </c>
      <c r="S40" s="346">
        <v>0</v>
      </c>
      <c r="T40" s="346">
        <v>0</v>
      </c>
      <c r="U40" s="346">
        <v>0</v>
      </c>
      <c r="V40" s="346">
        <v>0</v>
      </c>
      <c r="W40" s="346">
        <v>0</v>
      </c>
      <c r="X40" s="346">
        <v>0</v>
      </c>
      <c r="Y40" s="346">
        <v>0</v>
      </c>
      <c r="Z40" s="346">
        <v>0</v>
      </c>
      <c r="AA40" s="346">
        <v>0</v>
      </c>
      <c r="AB40" s="346">
        <v>0</v>
      </c>
      <c r="AC40" s="346">
        <v>0</v>
      </c>
      <c r="AD40" s="346">
        <v>0</v>
      </c>
      <c r="AE40" s="346">
        <v>0</v>
      </c>
      <c r="AF40" s="784"/>
    </row>
    <row r="41" spans="1:32" x14ac:dyDescent="0.25">
      <c r="A41" s="1301" t="s">
        <v>424</v>
      </c>
      <c r="B41" s="1302"/>
      <c r="C41" s="1302"/>
      <c r="D41" s="1302"/>
      <c r="E41" s="1302"/>
      <c r="F41" s="1302"/>
      <c r="G41" s="1302"/>
      <c r="H41" s="1302"/>
      <c r="I41" s="1302"/>
      <c r="J41" s="1302"/>
      <c r="K41" s="1302"/>
      <c r="L41" s="1302"/>
      <c r="M41" s="1302"/>
      <c r="N41" s="1302"/>
      <c r="O41" s="1302"/>
      <c r="P41" s="1302"/>
      <c r="Q41" s="1302"/>
      <c r="R41" s="1302"/>
      <c r="S41" s="1302"/>
      <c r="T41" s="1302"/>
      <c r="U41" s="1302"/>
      <c r="V41" s="1302"/>
      <c r="W41" s="1302"/>
      <c r="X41" s="1302"/>
      <c r="Y41" s="1302"/>
      <c r="Z41" s="1302"/>
      <c r="AA41" s="1302"/>
      <c r="AB41" s="1302"/>
      <c r="AC41" s="1302"/>
      <c r="AD41" s="1302"/>
      <c r="AE41" s="1303"/>
      <c r="AF41" s="349"/>
    </row>
    <row r="42" spans="1:32" ht="82.5" customHeight="1" x14ac:dyDescent="0.25">
      <c r="A42" s="1286" t="s">
        <v>425</v>
      </c>
      <c r="B42" s="1287"/>
      <c r="C42" s="1287"/>
      <c r="D42" s="1287"/>
      <c r="E42" s="1287"/>
      <c r="F42" s="1287"/>
      <c r="G42" s="1287"/>
      <c r="H42" s="1287"/>
      <c r="I42" s="1287"/>
      <c r="J42" s="1287"/>
      <c r="K42" s="1287"/>
      <c r="L42" s="1287"/>
      <c r="M42" s="1287"/>
      <c r="N42" s="1287"/>
      <c r="O42" s="1287"/>
      <c r="P42" s="1287"/>
      <c r="Q42" s="1287"/>
      <c r="R42" s="1287"/>
      <c r="S42" s="1287"/>
      <c r="T42" s="1287"/>
      <c r="U42" s="1287"/>
      <c r="V42" s="1287"/>
      <c r="W42" s="1287"/>
      <c r="X42" s="1287"/>
      <c r="Y42" s="1287"/>
      <c r="Z42" s="1287"/>
      <c r="AA42" s="1287"/>
      <c r="AB42" s="1287"/>
      <c r="AC42" s="1287"/>
      <c r="AD42" s="1287"/>
      <c r="AE42" s="1288"/>
      <c r="AF42" s="1304" t="s">
        <v>648</v>
      </c>
    </row>
    <row r="43" spans="1:32" x14ac:dyDescent="0.25">
      <c r="A43" s="342" t="s">
        <v>31</v>
      </c>
      <c r="B43" s="350">
        <v>9078.7999999999993</v>
      </c>
      <c r="C43" s="350">
        <v>9078.7999999999993</v>
      </c>
      <c r="D43" s="350">
        <v>9078.7999999999993</v>
      </c>
      <c r="E43" s="350">
        <v>9078.75</v>
      </c>
      <c r="F43" s="343">
        <f t="shared" ref="F43:F48" si="23">IFERROR(E43/B43%,0)</f>
        <v>99.999449266422886</v>
      </c>
      <c r="G43" s="343">
        <f t="shared" ref="G43:G48" si="24">IFERROR(E43/C43%,0)</f>
        <v>99.999449266422886</v>
      </c>
      <c r="H43" s="350">
        <f t="shared" ref="H43:AE43" si="25">H44+H45+H46+H48</f>
        <v>0</v>
      </c>
      <c r="I43" s="350">
        <f t="shared" si="25"/>
        <v>0</v>
      </c>
      <c r="J43" s="350">
        <f t="shared" si="25"/>
        <v>0</v>
      </c>
      <c r="K43" s="350">
        <f t="shared" si="25"/>
        <v>0</v>
      </c>
      <c r="L43" s="350">
        <f t="shared" si="25"/>
        <v>0</v>
      </c>
      <c r="M43" s="350">
        <f t="shared" si="25"/>
        <v>0</v>
      </c>
      <c r="N43" s="350">
        <f t="shared" si="25"/>
        <v>0</v>
      </c>
      <c r="O43" s="350">
        <f t="shared" si="25"/>
        <v>0</v>
      </c>
      <c r="P43" s="350">
        <f t="shared" si="25"/>
        <v>0</v>
      </c>
      <c r="Q43" s="350">
        <f t="shared" si="25"/>
        <v>0</v>
      </c>
      <c r="R43" s="350">
        <f t="shared" si="25"/>
        <v>0</v>
      </c>
      <c r="S43" s="350">
        <f t="shared" si="25"/>
        <v>0</v>
      </c>
      <c r="T43" s="350">
        <f t="shared" si="25"/>
        <v>0</v>
      </c>
      <c r="U43" s="350">
        <f t="shared" si="25"/>
        <v>0</v>
      </c>
      <c r="V43" s="350">
        <v>9078.75</v>
      </c>
      <c r="W43" s="350">
        <v>9078.75</v>
      </c>
      <c r="X43" s="350">
        <f t="shared" si="25"/>
        <v>0</v>
      </c>
      <c r="Y43" s="350">
        <f t="shared" si="25"/>
        <v>0</v>
      </c>
      <c r="Z43" s="350">
        <v>0.05</v>
      </c>
      <c r="AA43" s="350">
        <f t="shared" si="25"/>
        <v>0</v>
      </c>
      <c r="AB43" s="350">
        <f t="shared" si="25"/>
        <v>0</v>
      </c>
      <c r="AC43" s="350">
        <f t="shared" si="25"/>
        <v>0</v>
      </c>
      <c r="AD43" s="350">
        <f t="shared" si="25"/>
        <v>0</v>
      </c>
      <c r="AE43" s="350">
        <f t="shared" si="25"/>
        <v>0</v>
      </c>
      <c r="AF43" s="1305"/>
    </row>
    <row r="44" spans="1:32" x14ac:dyDescent="0.25">
      <c r="A44" s="344" t="s">
        <v>169</v>
      </c>
      <c r="B44" s="345">
        <f>H44+J44+L44+N44+P44+R44+T44+V44+X44+Z44+AB44+AD44</f>
        <v>0</v>
      </c>
      <c r="C44" s="345">
        <f>H44+J44</f>
        <v>0</v>
      </c>
      <c r="D44" s="345">
        <f>E44</f>
        <v>0</v>
      </c>
      <c r="E44" s="345">
        <f>I44+K44+M44+O44+Q44+S44+U44+W44+Y44+AA44+AC44+AE44</f>
        <v>0</v>
      </c>
      <c r="F44" s="321">
        <f t="shared" si="23"/>
        <v>0</v>
      </c>
      <c r="G44" s="321">
        <f t="shared" si="24"/>
        <v>0</v>
      </c>
      <c r="H44" s="346">
        <v>0</v>
      </c>
      <c r="I44" s="346">
        <v>0</v>
      </c>
      <c r="J44" s="346">
        <v>0</v>
      </c>
      <c r="K44" s="346">
        <v>0</v>
      </c>
      <c r="L44" s="346">
        <v>0</v>
      </c>
      <c r="M44" s="346">
        <v>0</v>
      </c>
      <c r="N44" s="346">
        <v>0</v>
      </c>
      <c r="O44" s="346">
        <v>0</v>
      </c>
      <c r="P44" s="346">
        <v>0</v>
      </c>
      <c r="Q44" s="346">
        <v>0</v>
      </c>
      <c r="R44" s="346">
        <v>0</v>
      </c>
      <c r="S44" s="346">
        <v>0</v>
      </c>
      <c r="T44" s="346">
        <v>0</v>
      </c>
      <c r="U44" s="346">
        <v>0</v>
      </c>
      <c r="V44" s="346">
        <v>0</v>
      </c>
      <c r="W44" s="346">
        <v>0</v>
      </c>
      <c r="X44" s="346">
        <v>0</v>
      </c>
      <c r="Y44" s="346">
        <v>0</v>
      </c>
      <c r="Z44" s="346">
        <v>0</v>
      </c>
      <c r="AA44" s="346">
        <v>0</v>
      </c>
      <c r="AB44" s="346">
        <v>0</v>
      </c>
      <c r="AC44" s="346">
        <v>0</v>
      </c>
      <c r="AD44" s="346">
        <v>0</v>
      </c>
      <c r="AE44" s="346">
        <v>0</v>
      </c>
      <c r="AF44" s="1305"/>
    </row>
    <row r="45" spans="1:32" x14ac:dyDescent="0.25">
      <c r="A45" s="344" t="s">
        <v>32</v>
      </c>
      <c r="B45" s="345">
        <f>H45+J45+L45+N45+P45+R45+T45+V45+X45+Z45+AB45+AD45</f>
        <v>0</v>
      </c>
      <c r="C45" s="345">
        <f>H45+J45</f>
        <v>0</v>
      </c>
      <c r="D45" s="345">
        <f>E45</f>
        <v>0</v>
      </c>
      <c r="E45" s="345">
        <f>I45+K45+M45+O45+Q45+S45+U45+W45+Y45+AA45+AC45+AE45</f>
        <v>0</v>
      </c>
      <c r="F45" s="321">
        <f t="shared" si="23"/>
        <v>0</v>
      </c>
      <c r="G45" s="321">
        <f t="shared" si="24"/>
        <v>0</v>
      </c>
      <c r="H45" s="346">
        <v>0</v>
      </c>
      <c r="I45" s="346">
        <v>0</v>
      </c>
      <c r="J45" s="346">
        <v>0</v>
      </c>
      <c r="K45" s="346">
        <v>0</v>
      </c>
      <c r="L45" s="346">
        <v>0</v>
      </c>
      <c r="M45" s="346">
        <v>0</v>
      </c>
      <c r="N45" s="346">
        <v>0</v>
      </c>
      <c r="O45" s="346">
        <v>0</v>
      </c>
      <c r="P45" s="346">
        <v>0</v>
      </c>
      <c r="Q45" s="346">
        <v>0</v>
      </c>
      <c r="R45" s="346">
        <v>0</v>
      </c>
      <c r="S45" s="346">
        <v>0</v>
      </c>
      <c r="T45" s="346">
        <v>0</v>
      </c>
      <c r="U45" s="346">
        <v>0</v>
      </c>
      <c r="V45" s="346">
        <v>0</v>
      </c>
      <c r="W45" s="346">
        <v>0</v>
      </c>
      <c r="X45" s="346">
        <v>0</v>
      </c>
      <c r="Y45" s="346">
        <v>0</v>
      </c>
      <c r="Z45" s="346">
        <v>0</v>
      </c>
      <c r="AA45" s="346">
        <v>0</v>
      </c>
      <c r="AB45" s="346">
        <v>0</v>
      </c>
      <c r="AC45" s="346">
        <v>0</v>
      </c>
      <c r="AD45" s="346">
        <v>0</v>
      </c>
      <c r="AE45" s="346">
        <v>0</v>
      </c>
      <c r="AF45" s="1305"/>
    </row>
    <row r="46" spans="1:32" x14ac:dyDescent="0.25">
      <c r="A46" s="344" t="s">
        <v>33</v>
      </c>
      <c r="B46" s="350">
        <v>9078.7999999999993</v>
      </c>
      <c r="C46" s="350">
        <v>9078.7999999999993</v>
      </c>
      <c r="D46" s="350">
        <v>9078.7999999999993</v>
      </c>
      <c r="E46" s="350">
        <v>9078.75</v>
      </c>
      <c r="F46" s="321">
        <f t="shared" si="23"/>
        <v>99.999449266422886</v>
      </c>
      <c r="G46" s="321">
        <f t="shared" si="24"/>
        <v>99.999449266422886</v>
      </c>
      <c r="H46" s="346">
        <v>0</v>
      </c>
      <c r="I46" s="346">
        <v>0</v>
      </c>
      <c r="J46" s="346">
        <v>0</v>
      </c>
      <c r="K46" s="346">
        <v>0</v>
      </c>
      <c r="L46" s="346">
        <v>0</v>
      </c>
      <c r="M46" s="346">
        <v>0</v>
      </c>
      <c r="N46" s="346">
        <v>0</v>
      </c>
      <c r="O46" s="346">
        <v>0</v>
      </c>
      <c r="P46" s="346">
        <v>0</v>
      </c>
      <c r="Q46" s="346">
        <v>0</v>
      </c>
      <c r="R46" s="346">
        <v>0</v>
      </c>
      <c r="S46" s="346">
        <v>0</v>
      </c>
      <c r="T46" s="346">
        <v>0</v>
      </c>
      <c r="U46" s="346">
        <v>0</v>
      </c>
      <c r="V46" s="350">
        <v>9078.75</v>
      </c>
      <c r="W46" s="350">
        <v>9078.75</v>
      </c>
      <c r="X46" s="346">
        <v>0</v>
      </c>
      <c r="Y46" s="346">
        <v>0</v>
      </c>
      <c r="Z46" s="350">
        <v>0.05</v>
      </c>
      <c r="AA46" s="346">
        <v>0</v>
      </c>
      <c r="AB46" s="346">
        <v>0</v>
      </c>
      <c r="AC46" s="346">
        <v>0</v>
      </c>
      <c r="AD46" s="346">
        <v>0</v>
      </c>
      <c r="AE46" s="346">
        <v>0</v>
      </c>
      <c r="AF46" s="1305"/>
    </row>
    <row r="47" spans="1:32" ht="31.5" x14ac:dyDescent="0.25">
      <c r="A47" s="347" t="s">
        <v>174</v>
      </c>
      <c r="B47" s="345">
        <f>H47+J47+L47+N47+P47+R47+T47+V47+X47+Z47+AB47+AD47</f>
        <v>0</v>
      </c>
      <c r="C47" s="345">
        <f>H47+J47</f>
        <v>0</v>
      </c>
      <c r="D47" s="345">
        <f>E47</f>
        <v>0</v>
      </c>
      <c r="E47" s="345">
        <f>I47+K47+M47+O47+Q47+S47+U47+W47+Y47+AA47+AC47+AE47</f>
        <v>0</v>
      </c>
      <c r="F47" s="321">
        <f t="shared" si="23"/>
        <v>0</v>
      </c>
      <c r="G47" s="321">
        <f t="shared" si="24"/>
        <v>0</v>
      </c>
      <c r="H47" s="346">
        <v>0</v>
      </c>
      <c r="I47" s="346">
        <v>0</v>
      </c>
      <c r="J47" s="346">
        <v>0</v>
      </c>
      <c r="K47" s="346">
        <v>0</v>
      </c>
      <c r="L47" s="346">
        <v>0</v>
      </c>
      <c r="M47" s="346">
        <v>0</v>
      </c>
      <c r="N47" s="346">
        <v>0</v>
      </c>
      <c r="O47" s="346">
        <v>0</v>
      </c>
      <c r="P47" s="346">
        <v>0</v>
      </c>
      <c r="Q47" s="346">
        <v>0</v>
      </c>
      <c r="R47" s="346">
        <v>0</v>
      </c>
      <c r="S47" s="346">
        <v>0</v>
      </c>
      <c r="T47" s="346">
        <v>0</v>
      </c>
      <c r="U47" s="346">
        <v>0</v>
      </c>
      <c r="V47" s="346">
        <v>0</v>
      </c>
      <c r="W47" s="346">
        <v>0</v>
      </c>
      <c r="X47" s="346">
        <v>0</v>
      </c>
      <c r="Y47" s="346">
        <v>0</v>
      </c>
      <c r="Z47" s="350">
        <v>0</v>
      </c>
      <c r="AA47" s="346">
        <v>0</v>
      </c>
      <c r="AB47" s="346">
        <v>0</v>
      </c>
      <c r="AC47" s="346">
        <v>0</v>
      </c>
      <c r="AD47" s="346">
        <v>0</v>
      </c>
      <c r="AE47" s="346">
        <v>0</v>
      </c>
      <c r="AF47" s="1305"/>
    </row>
    <row r="48" spans="1:32" x14ac:dyDescent="0.25">
      <c r="A48" s="344" t="s">
        <v>374</v>
      </c>
      <c r="B48" s="345">
        <f>H48+J48+L48+N48+P48+R48+T48+V48+X48+Z48+AB48+AD48</f>
        <v>0</v>
      </c>
      <c r="C48" s="345">
        <f>H48+J48</f>
        <v>0</v>
      </c>
      <c r="D48" s="345">
        <f>E48</f>
        <v>0</v>
      </c>
      <c r="E48" s="345">
        <f>I48+K48+M48+O48+Q48+S48+U48+W48+Y48+AA48+AC48+AE48</f>
        <v>0</v>
      </c>
      <c r="F48" s="321">
        <f t="shared" si="23"/>
        <v>0</v>
      </c>
      <c r="G48" s="321">
        <f t="shared" si="24"/>
        <v>0</v>
      </c>
      <c r="H48" s="346">
        <v>0</v>
      </c>
      <c r="I48" s="346">
        <v>0</v>
      </c>
      <c r="J48" s="346">
        <v>0</v>
      </c>
      <c r="K48" s="346">
        <v>0</v>
      </c>
      <c r="L48" s="346">
        <v>0</v>
      </c>
      <c r="M48" s="346">
        <v>0</v>
      </c>
      <c r="N48" s="346">
        <v>0</v>
      </c>
      <c r="O48" s="346">
        <v>0</v>
      </c>
      <c r="P48" s="346">
        <v>0</v>
      </c>
      <c r="Q48" s="346">
        <v>0</v>
      </c>
      <c r="R48" s="346">
        <v>0</v>
      </c>
      <c r="S48" s="346">
        <v>0</v>
      </c>
      <c r="T48" s="346">
        <v>0</v>
      </c>
      <c r="U48" s="346">
        <v>0</v>
      </c>
      <c r="V48" s="346">
        <v>0</v>
      </c>
      <c r="W48" s="346">
        <v>0</v>
      </c>
      <c r="X48" s="346">
        <v>0</v>
      </c>
      <c r="Y48" s="346">
        <v>0</v>
      </c>
      <c r="Z48" s="346">
        <v>0</v>
      </c>
      <c r="AA48" s="346">
        <v>0</v>
      </c>
      <c r="AB48" s="346">
        <v>0</v>
      </c>
      <c r="AC48" s="346">
        <v>0</v>
      </c>
      <c r="AD48" s="346">
        <v>0</v>
      </c>
      <c r="AE48" s="346">
        <v>0</v>
      </c>
      <c r="AF48" s="1306"/>
    </row>
    <row r="49" spans="1:32" ht="39.75" customHeight="1" x14ac:dyDescent="0.25">
      <c r="A49" s="1307" t="s">
        <v>426</v>
      </c>
      <c r="B49" s="1308"/>
      <c r="C49" s="1308"/>
      <c r="D49" s="1308"/>
      <c r="E49" s="1308"/>
      <c r="F49" s="1308"/>
      <c r="G49" s="1308"/>
      <c r="H49" s="1308"/>
      <c r="I49" s="1308"/>
      <c r="J49" s="1308"/>
      <c r="K49" s="1308"/>
      <c r="L49" s="1308"/>
      <c r="M49" s="1308"/>
      <c r="N49" s="1308"/>
      <c r="O49" s="1308"/>
      <c r="P49" s="1308"/>
      <c r="Q49" s="1308"/>
      <c r="R49" s="1308"/>
      <c r="S49" s="1308"/>
      <c r="T49" s="1308"/>
      <c r="U49" s="1308"/>
      <c r="V49" s="1308"/>
      <c r="W49" s="1308"/>
      <c r="X49" s="1308"/>
      <c r="Y49" s="1308"/>
      <c r="Z49" s="1308"/>
      <c r="AA49" s="1308"/>
      <c r="AB49" s="1308"/>
      <c r="AC49" s="1308"/>
      <c r="AD49" s="1308"/>
      <c r="AE49" s="1309"/>
      <c r="AF49" s="351"/>
    </row>
    <row r="50" spans="1:32" s="558" customFormat="1" x14ac:dyDescent="0.25">
      <c r="A50" s="554" t="s">
        <v>31</v>
      </c>
      <c r="B50" s="555">
        <v>28878.5</v>
      </c>
      <c r="C50" s="555">
        <v>28878.5</v>
      </c>
      <c r="D50" s="555">
        <v>28878.5</v>
      </c>
      <c r="E50" s="555">
        <v>26525.21</v>
      </c>
      <c r="F50" s="556">
        <f>IFERROR(E50/B50%,0)</f>
        <v>91.851065671693462</v>
      </c>
      <c r="G50" s="556">
        <f>IFERROR(E50/C50%,0)</f>
        <v>91.851065671693462</v>
      </c>
      <c r="H50" s="555">
        <f t="shared" ref="H50:O50" si="26">H51+H52+H53+H77</f>
        <v>232</v>
      </c>
      <c r="I50" s="555">
        <f t="shared" si="26"/>
        <v>232</v>
      </c>
      <c r="J50" s="555">
        <f t="shared" si="26"/>
        <v>0</v>
      </c>
      <c r="K50" s="555">
        <f t="shared" si="26"/>
        <v>0</v>
      </c>
      <c r="L50" s="555">
        <f t="shared" si="26"/>
        <v>594.1</v>
      </c>
      <c r="M50" s="555">
        <f t="shared" si="26"/>
        <v>594.1</v>
      </c>
      <c r="N50" s="555">
        <f t="shared" si="26"/>
        <v>0</v>
      </c>
      <c r="O50" s="555">
        <f t="shared" si="26"/>
        <v>0</v>
      </c>
      <c r="P50" s="555">
        <v>646.85</v>
      </c>
      <c r="Q50" s="555">
        <v>49.84</v>
      </c>
      <c r="R50" s="555">
        <f>R51+R52+R53+R77</f>
        <v>0</v>
      </c>
      <c r="S50" s="555">
        <f>S51+S52+S53+S77</f>
        <v>597.01</v>
      </c>
      <c r="T50" s="555">
        <v>278.97000000000003</v>
      </c>
      <c r="U50" s="555">
        <v>278.97000000000003</v>
      </c>
      <c r="V50" s="555">
        <v>603.76</v>
      </c>
      <c r="W50" s="555">
        <v>595</v>
      </c>
      <c r="X50" s="555">
        <f>X51+X52+X53+X77</f>
        <v>0</v>
      </c>
      <c r="Y50" s="555">
        <v>8.7100000000000009</v>
      </c>
      <c r="Z50" s="555">
        <v>23522.69</v>
      </c>
      <c r="AA50" s="555">
        <v>1361.29</v>
      </c>
      <c r="AB50" s="555">
        <v>7.0000000000000007E-2</v>
      </c>
      <c r="AC50" s="555">
        <v>19066.52</v>
      </c>
      <c r="AD50" s="555">
        <v>3000.06</v>
      </c>
      <c r="AE50" s="555">
        <v>3741.76</v>
      </c>
      <c r="AF50" s="557"/>
    </row>
    <row r="51" spans="1:32" s="558" customFormat="1" x14ac:dyDescent="0.25">
      <c r="A51" s="559" t="s">
        <v>169</v>
      </c>
      <c r="B51" s="560">
        <f>H51+J51+L51+N51+P51+R51+T51+V51+X51+Z51+AB51+AD51</f>
        <v>0</v>
      </c>
      <c r="C51" s="560">
        <f>H51</f>
        <v>0</v>
      </c>
      <c r="D51" s="560">
        <f>E51</f>
        <v>0</v>
      </c>
      <c r="E51" s="560">
        <f>I51+K51+M51+O51+Q51+S51+U51+W51+Y51+AA51+AC51+AE51</f>
        <v>0</v>
      </c>
      <c r="F51" s="561">
        <f>IFERROR(E51/B51%,0)</f>
        <v>0</v>
      </c>
      <c r="G51" s="561">
        <f>IFERROR(E51/C51%,0)</f>
        <v>0</v>
      </c>
      <c r="H51" s="562">
        <v>0</v>
      </c>
      <c r="I51" s="562">
        <v>0</v>
      </c>
      <c r="J51" s="562">
        <v>0</v>
      </c>
      <c r="K51" s="562">
        <v>0</v>
      </c>
      <c r="L51" s="562">
        <v>0</v>
      </c>
      <c r="M51" s="562">
        <v>0</v>
      </c>
      <c r="N51" s="562">
        <v>0</v>
      </c>
      <c r="O51" s="562">
        <v>0</v>
      </c>
      <c r="P51" s="562">
        <v>0</v>
      </c>
      <c r="Q51" s="562">
        <v>0</v>
      </c>
      <c r="R51" s="562">
        <v>0</v>
      </c>
      <c r="S51" s="562">
        <v>0</v>
      </c>
      <c r="T51" s="562">
        <v>0</v>
      </c>
      <c r="U51" s="562">
        <v>0</v>
      </c>
      <c r="V51" s="562">
        <v>0</v>
      </c>
      <c r="W51" s="562">
        <v>0</v>
      </c>
      <c r="X51" s="562">
        <v>0</v>
      </c>
      <c r="Y51" s="562">
        <v>0</v>
      </c>
      <c r="Z51" s="562">
        <v>0</v>
      </c>
      <c r="AA51" s="562">
        <v>0</v>
      </c>
      <c r="AB51" s="562">
        <v>0</v>
      </c>
      <c r="AC51" s="562">
        <v>0</v>
      </c>
      <c r="AD51" s="562">
        <v>0</v>
      </c>
      <c r="AE51" s="562">
        <v>0</v>
      </c>
      <c r="AF51" s="557"/>
    </row>
    <row r="52" spans="1:32" s="558" customFormat="1" x14ac:dyDescent="0.25">
      <c r="A52" s="559" t="s">
        <v>32</v>
      </c>
      <c r="B52" s="560">
        <f>H52+J52+L52+N52+P52+R52+T52+V52+X52+Z52+AB52+AD52</f>
        <v>0</v>
      </c>
      <c r="C52" s="560">
        <f>H52</f>
        <v>0</v>
      </c>
      <c r="D52" s="560">
        <f>E52</f>
        <v>0</v>
      </c>
      <c r="E52" s="560">
        <f>I52+K52+M52+O52+Q52+S52+U52+W52+Y52+AA52+AC52+AE52</f>
        <v>0</v>
      </c>
      <c r="F52" s="561">
        <f>IFERROR(E52/B52%,0)</f>
        <v>0</v>
      </c>
      <c r="G52" s="561">
        <f>IFERROR(E52/C52%,0)</f>
        <v>0</v>
      </c>
      <c r="H52" s="562">
        <v>0</v>
      </c>
      <c r="I52" s="562">
        <v>0</v>
      </c>
      <c r="J52" s="562">
        <v>0</v>
      </c>
      <c r="K52" s="562">
        <v>0</v>
      </c>
      <c r="L52" s="562">
        <v>0</v>
      </c>
      <c r="M52" s="562">
        <v>0</v>
      </c>
      <c r="N52" s="562">
        <v>0</v>
      </c>
      <c r="O52" s="562">
        <v>0</v>
      </c>
      <c r="P52" s="562">
        <v>0</v>
      </c>
      <c r="Q52" s="562">
        <v>0</v>
      </c>
      <c r="R52" s="562">
        <v>0</v>
      </c>
      <c r="S52" s="562">
        <v>0</v>
      </c>
      <c r="T52" s="562">
        <v>0</v>
      </c>
      <c r="U52" s="562">
        <v>0</v>
      </c>
      <c r="V52" s="562">
        <v>0</v>
      </c>
      <c r="W52" s="562">
        <v>0</v>
      </c>
      <c r="X52" s="562">
        <v>0</v>
      </c>
      <c r="Y52" s="562">
        <v>0</v>
      </c>
      <c r="Z52" s="562">
        <v>0</v>
      </c>
      <c r="AA52" s="562">
        <v>0</v>
      </c>
      <c r="AB52" s="562">
        <v>0</v>
      </c>
      <c r="AC52" s="562">
        <v>0</v>
      </c>
      <c r="AD52" s="562">
        <v>0</v>
      </c>
      <c r="AE52" s="562">
        <v>0</v>
      </c>
      <c r="AF52" s="557"/>
    </row>
    <row r="53" spans="1:32" s="558" customFormat="1" x14ac:dyDescent="0.25">
      <c r="A53" s="559" t="s">
        <v>33</v>
      </c>
      <c r="B53" s="555">
        <v>28878.5</v>
      </c>
      <c r="C53" s="555">
        <v>28878.5</v>
      </c>
      <c r="D53" s="555">
        <v>28878.5</v>
      </c>
      <c r="E53" s="555">
        <v>26525.21</v>
      </c>
      <c r="F53" s="561">
        <f>IFERROR(E53/B53%,0)</f>
        <v>91.851065671693462</v>
      </c>
      <c r="G53" s="561">
        <f>IFERROR(E53/C53%,0)</f>
        <v>91.851065671693462</v>
      </c>
      <c r="H53" s="562">
        <v>232</v>
      </c>
      <c r="I53" s="562">
        <v>232</v>
      </c>
      <c r="J53" s="562">
        <v>0</v>
      </c>
      <c r="K53" s="562">
        <v>0</v>
      </c>
      <c r="L53" s="562">
        <v>594.1</v>
      </c>
      <c r="M53" s="562">
        <v>594.1</v>
      </c>
      <c r="N53" s="562">
        <v>0</v>
      </c>
      <c r="O53" s="562">
        <v>0</v>
      </c>
      <c r="P53" s="555">
        <v>646.85</v>
      </c>
      <c r="Q53" s="555">
        <v>49.84</v>
      </c>
      <c r="R53" s="562">
        <v>0</v>
      </c>
      <c r="S53" s="562">
        <v>597.01</v>
      </c>
      <c r="T53" s="555">
        <v>278.97000000000003</v>
      </c>
      <c r="U53" s="555">
        <v>278.97000000000003</v>
      </c>
      <c r="V53" s="555">
        <v>603.76</v>
      </c>
      <c r="W53" s="555">
        <v>595</v>
      </c>
      <c r="X53" s="562">
        <v>0</v>
      </c>
      <c r="Y53" s="555">
        <v>8.7100000000000009</v>
      </c>
      <c r="Z53" s="555">
        <v>23522.69</v>
      </c>
      <c r="AA53" s="555">
        <v>1361.29</v>
      </c>
      <c r="AB53" s="555">
        <v>7.0000000000000007E-2</v>
      </c>
      <c r="AC53" s="555">
        <v>19066.52</v>
      </c>
      <c r="AD53" s="555">
        <v>3000.06</v>
      </c>
      <c r="AE53" s="555">
        <v>3741.76</v>
      </c>
      <c r="AF53" s="557"/>
    </row>
    <row r="54" spans="1:32" s="558" customFormat="1" ht="31.5" x14ac:dyDescent="0.25">
      <c r="A54" s="563" t="s">
        <v>174</v>
      </c>
      <c r="B54" s="560">
        <f>H54+J54+L54+N54+P54+R54+T54+V54+X54+Z54+AB54+AD54</f>
        <v>0</v>
      </c>
      <c r="C54" s="560">
        <f>H54</f>
        <v>0</v>
      </c>
      <c r="D54" s="560">
        <f>E54</f>
        <v>0</v>
      </c>
      <c r="E54" s="560">
        <f>I54+K54+M54+O54+Q54+S54+U54+W54+Y54+AA54+AC54+AE54</f>
        <v>0</v>
      </c>
      <c r="F54" s="561">
        <f>IFERROR(E54/B54%,0)</f>
        <v>0</v>
      </c>
      <c r="G54" s="561">
        <f>IFERROR(E54/C54%,0)</f>
        <v>0</v>
      </c>
      <c r="H54" s="562">
        <v>0</v>
      </c>
      <c r="I54" s="562">
        <v>0</v>
      </c>
      <c r="J54" s="562">
        <v>0</v>
      </c>
      <c r="K54" s="562">
        <v>0</v>
      </c>
      <c r="L54" s="562">
        <v>0</v>
      </c>
      <c r="M54" s="562">
        <v>0</v>
      </c>
      <c r="N54" s="562">
        <v>0</v>
      </c>
      <c r="O54" s="562">
        <v>0</v>
      </c>
      <c r="P54" s="562">
        <v>0</v>
      </c>
      <c r="Q54" s="562">
        <v>0</v>
      </c>
      <c r="R54" s="562">
        <v>0</v>
      </c>
      <c r="S54" s="562">
        <v>0</v>
      </c>
      <c r="T54" s="562">
        <v>0</v>
      </c>
      <c r="U54" s="562">
        <v>0</v>
      </c>
      <c r="V54" s="562">
        <v>0</v>
      </c>
      <c r="W54" s="562">
        <v>0</v>
      </c>
      <c r="X54" s="562">
        <v>0</v>
      </c>
      <c r="Y54" s="562">
        <v>0</v>
      </c>
      <c r="Z54" s="562">
        <v>0</v>
      </c>
      <c r="AA54" s="562">
        <v>0</v>
      </c>
      <c r="AB54" s="562">
        <v>0</v>
      </c>
      <c r="AC54" s="562">
        <v>0</v>
      </c>
      <c r="AD54" s="562">
        <v>0</v>
      </c>
      <c r="AE54" s="562">
        <v>0</v>
      </c>
      <c r="AF54" s="557"/>
    </row>
    <row r="55" spans="1:32" s="558" customFormat="1" x14ac:dyDescent="0.25">
      <c r="A55" s="888" t="s">
        <v>593</v>
      </c>
      <c r="B55" s="560">
        <v>0</v>
      </c>
      <c r="C55" s="560">
        <f>I55+K55+M55+O55+Q55+S55+U55+W55+Y55+AA55+AC55+AE55</f>
        <v>0</v>
      </c>
      <c r="D55" s="560">
        <f t="shared" ref="D55:L55" si="27">I55</f>
        <v>0</v>
      </c>
      <c r="E55" s="560">
        <f t="shared" si="27"/>
        <v>0</v>
      </c>
      <c r="F55" s="560">
        <f t="shared" si="27"/>
        <v>0</v>
      </c>
      <c r="G55" s="560">
        <f t="shared" si="27"/>
        <v>0</v>
      </c>
      <c r="H55" s="560">
        <f t="shared" si="27"/>
        <v>0</v>
      </c>
      <c r="I55" s="560">
        <f t="shared" si="27"/>
        <v>0</v>
      </c>
      <c r="J55" s="560">
        <f t="shared" si="27"/>
        <v>0</v>
      </c>
      <c r="K55" s="560">
        <f t="shared" si="27"/>
        <v>0</v>
      </c>
      <c r="L55" s="560">
        <f t="shared" si="27"/>
        <v>0</v>
      </c>
      <c r="M55" s="560">
        <v>0</v>
      </c>
      <c r="N55" s="560">
        <f t="shared" ref="N55:V55" si="28">S55</f>
        <v>0</v>
      </c>
      <c r="O55" s="560">
        <f t="shared" si="28"/>
        <v>0</v>
      </c>
      <c r="P55" s="560">
        <f t="shared" si="28"/>
        <v>0</v>
      </c>
      <c r="Q55" s="560">
        <f t="shared" si="28"/>
        <v>0</v>
      </c>
      <c r="R55" s="560">
        <f t="shared" si="28"/>
        <v>0</v>
      </c>
      <c r="S55" s="560">
        <f t="shared" si="28"/>
        <v>0</v>
      </c>
      <c r="T55" s="560">
        <f t="shared" si="28"/>
        <v>0</v>
      </c>
      <c r="U55" s="560">
        <f t="shared" si="28"/>
        <v>0</v>
      </c>
      <c r="V55" s="560">
        <f t="shared" si="28"/>
        <v>0</v>
      </c>
      <c r="W55" s="560">
        <v>0</v>
      </c>
      <c r="X55" s="560">
        <f>AC55</f>
        <v>0</v>
      </c>
      <c r="Y55" s="560">
        <f>AD55</f>
        <v>0</v>
      </c>
      <c r="Z55" s="560">
        <f>AE55</f>
        <v>0</v>
      </c>
      <c r="AA55" s="560">
        <f>AF55</f>
        <v>0</v>
      </c>
      <c r="AB55" s="562">
        <v>0</v>
      </c>
      <c r="AC55" s="886"/>
      <c r="AD55" s="886"/>
      <c r="AE55" s="887"/>
      <c r="AF55" s="557"/>
    </row>
    <row r="56" spans="1:32" s="558" customFormat="1" ht="32.25" customHeight="1" x14ac:dyDescent="0.25">
      <c r="A56" s="929" t="s">
        <v>616</v>
      </c>
      <c r="B56" s="931"/>
      <c r="C56" s="931"/>
      <c r="D56" s="931"/>
      <c r="E56" s="931"/>
      <c r="F56" s="931"/>
      <c r="G56" s="931"/>
      <c r="H56" s="931"/>
      <c r="I56" s="931"/>
      <c r="J56" s="931"/>
      <c r="K56" s="931"/>
      <c r="L56" s="931"/>
      <c r="M56" s="931"/>
      <c r="N56" s="931"/>
      <c r="O56" s="931"/>
      <c r="P56" s="931"/>
      <c r="Q56" s="931"/>
      <c r="R56" s="931"/>
      <c r="S56" s="931"/>
      <c r="T56" s="931"/>
      <c r="U56" s="931"/>
      <c r="V56" s="931"/>
      <c r="W56" s="931"/>
      <c r="X56" s="931"/>
      <c r="Y56" s="931"/>
      <c r="Z56" s="931"/>
      <c r="AA56" s="931"/>
      <c r="AB56" s="931"/>
      <c r="AC56" s="931"/>
      <c r="AD56" s="931"/>
      <c r="AE56" s="932"/>
      <c r="AF56" s="557"/>
    </row>
    <row r="57" spans="1:32" s="558" customFormat="1" ht="78.75" customHeight="1" x14ac:dyDescent="0.25">
      <c r="A57" s="554" t="s">
        <v>31</v>
      </c>
      <c r="B57" s="555">
        <v>1599.6</v>
      </c>
      <c r="C57" s="555">
        <v>1599.6</v>
      </c>
      <c r="D57" s="555">
        <v>1599.6</v>
      </c>
      <c r="E57" s="555">
        <v>1599.6</v>
      </c>
      <c r="F57" s="556">
        <f>IFERROR(E57/B57%,0)</f>
        <v>100</v>
      </c>
      <c r="G57" s="556">
        <f>IFERROR(E57/C57%,0)</f>
        <v>100</v>
      </c>
      <c r="H57" s="555">
        <v>0</v>
      </c>
      <c r="I57" s="555">
        <v>0</v>
      </c>
      <c r="J57" s="555">
        <f t="shared" ref="J57:O57" si="29">J58+J59+J60+J84</f>
        <v>0</v>
      </c>
      <c r="K57" s="555">
        <f t="shared" si="29"/>
        <v>0</v>
      </c>
      <c r="L57" s="555">
        <v>0</v>
      </c>
      <c r="M57" s="555">
        <v>0</v>
      </c>
      <c r="N57" s="555">
        <f t="shared" si="29"/>
        <v>0</v>
      </c>
      <c r="O57" s="555">
        <f t="shared" si="29"/>
        <v>0</v>
      </c>
      <c r="P57" s="555">
        <v>0</v>
      </c>
      <c r="Q57" s="555">
        <v>0</v>
      </c>
      <c r="R57" s="555">
        <f>R58+R59+R60+R84</f>
        <v>0</v>
      </c>
      <c r="S57" s="555">
        <v>0</v>
      </c>
      <c r="T57" s="555">
        <v>0</v>
      </c>
      <c r="U57" s="555">
        <v>0</v>
      </c>
      <c r="V57" s="555">
        <v>0</v>
      </c>
      <c r="W57" s="555">
        <v>0</v>
      </c>
      <c r="X57" s="555">
        <f>X58+X59+X60+X84</f>
        <v>0</v>
      </c>
      <c r="Y57" s="555">
        <v>0</v>
      </c>
      <c r="Z57" s="555">
        <v>200</v>
      </c>
      <c r="AA57" s="555">
        <f>AA58+AA59+AA60+AA84</f>
        <v>0</v>
      </c>
      <c r="AB57" s="555">
        <v>0</v>
      </c>
      <c r="AC57" s="555">
        <f>AC58+AC59+AC60+AC84</f>
        <v>0</v>
      </c>
      <c r="AD57" s="555">
        <v>1399.6</v>
      </c>
      <c r="AE57" s="555">
        <v>1599.56</v>
      </c>
    </row>
    <row r="58" spans="1:32" s="558" customFormat="1" x14ac:dyDescent="0.25">
      <c r="A58" s="559" t="s">
        <v>169</v>
      </c>
      <c r="B58" s="560">
        <f>H58+J58+L58+N58+P58+R58+T58+V58+X58+Z58+AB58+AD58</f>
        <v>0</v>
      </c>
      <c r="C58" s="560">
        <f>H58</f>
        <v>0</v>
      </c>
      <c r="D58" s="560">
        <f>E58</f>
        <v>0</v>
      </c>
      <c r="E58" s="560">
        <f>I58+K58+M58+O58+Q58+S58+U58+W58+Y58+AA58+AC58+AE58</f>
        <v>0</v>
      </c>
      <c r="F58" s="561">
        <f>IFERROR(E58/B58%,0)</f>
        <v>0</v>
      </c>
      <c r="G58" s="561">
        <f>IFERROR(E58/C58%,0)</f>
        <v>0</v>
      </c>
      <c r="H58" s="562">
        <v>0</v>
      </c>
      <c r="I58" s="562">
        <v>0</v>
      </c>
      <c r="J58" s="562">
        <v>0</v>
      </c>
      <c r="K58" s="562">
        <v>0</v>
      </c>
      <c r="L58" s="562">
        <v>0</v>
      </c>
      <c r="M58" s="562">
        <v>0</v>
      </c>
      <c r="N58" s="562">
        <v>0</v>
      </c>
      <c r="O58" s="562">
        <v>0</v>
      </c>
      <c r="P58" s="562">
        <v>0</v>
      </c>
      <c r="Q58" s="562">
        <v>0</v>
      </c>
      <c r="R58" s="562">
        <v>0</v>
      </c>
      <c r="S58" s="562">
        <v>0</v>
      </c>
      <c r="T58" s="562">
        <v>0</v>
      </c>
      <c r="U58" s="562">
        <v>0</v>
      </c>
      <c r="V58" s="562">
        <v>0</v>
      </c>
      <c r="W58" s="562">
        <v>0</v>
      </c>
      <c r="X58" s="562">
        <v>0</v>
      </c>
      <c r="Y58" s="562">
        <v>0</v>
      </c>
      <c r="Z58" s="562">
        <v>0</v>
      </c>
      <c r="AA58" s="562">
        <v>0</v>
      </c>
      <c r="AB58" s="562">
        <v>0</v>
      </c>
      <c r="AC58" s="562">
        <v>0</v>
      </c>
      <c r="AD58" s="562">
        <v>0</v>
      </c>
      <c r="AE58" s="562">
        <v>0</v>
      </c>
      <c r="AF58" s="557"/>
    </row>
    <row r="59" spans="1:32" s="558" customFormat="1" x14ac:dyDescent="0.25">
      <c r="A59" s="559" t="s">
        <v>32</v>
      </c>
      <c r="B59" s="560">
        <f>H59+J59+L59+N59+P59+R59+T59+V59+X59+Z59+AB59+AD59</f>
        <v>0</v>
      </c>
      <c r="C59" s="560">
        <f>H59</f>
        <v>0</v>
      </c>
      <c r="D59" s="560">
        <f>E59</f>
        <v>0</v>
      </c>
      <c r="E59" s="560">
        <f>I59+K59+M59+O59+Q59+S59+U59+W59+Y59+AA59+AC59+AE59</f>
        <v>0</v>
      </c>
      <c r="F59" s="561">
        <f>IFERROR(E59/B59%,0)</f>
        <v>0</v>
      </c>
      <c r="G59" s="561">
        <f>IFERROR(E59/C59%,0)</f>
        <v>0</v>
      </c>
      <c r="H59" s="562">
        <v>0</v>
      </c>
      <c r="I59" s="562">
        <v>0</v>
      </c>
      <c r="J59" s="562">
        <v>0</v>
      </c>
      <c r="K59" s="562">
        <v>0</v>
      </c>
      <c r="L59" s="562">
        <v>0</v>
      </c>
      <c r="M59" s="562">
        <v>0</v>
      </c>
      <c r="N59" s="562">
        <v>0</v>
      </c>
      <c r="O59" s="562">
        <v>0</v>
      </c>
      <c r="P59" s="562">
        <v>0</v>
      </c>
      <c r="Q59" s="562">
        <v>0</v>
      </c>
      <c r="R59" s="562">
        <v>0</v>
      </c>
      <c r="S59" s="562">
        <v>0</v>
      </c>
      <c r="T59" s="562">
        <v>0</v>
      </c>
      <c r="U59" s="562">
        <v>0</v>
      </c>
      <c r="V59" s="562">
        <v>0</v>
      </c>
      <c r="W59" s="562">
        <v>0</v>
      </c>
      <c r="X59" s="562">
        <v>0</v>
      </c>
      <c r="Y59" s="562">
        <v>0</v>
      </c>
      <c r="Z59" s="562">
        <v>0</v>
      </c>
      <c r="AA59" s="562">
        <v>0</v>
      </c>
      <c r="AB59" s="562">
        <v>0</v>
      </c>
      <c r="AC59" s="562">
        <v>0</v>
      </c>
      <c r="AD59" s="562">
        <v>0</v>
      </c>
      <c r="AE59" s="562">
        <v>0</v>
      </c>
      <c r="AF59" s="557"/>
    </row>
    <row r="60" spans="1:32" s="558" customFormat="1" x14ac:dyDescent="0.25">
      <c r="A60" s="559" t="s">
        <v>33</v>
      </c>
      <c r="B60" s="555">
        <v>1599.6</v>
      </c>
      <c r="C60" s="555">
        <v>1599.6</v>
      </c>
      <c r="D60" s="555">
        <v>1599.6</v>
      </c>
      <c r="E60" s="555">
        <v>1599.6</v>
      </c>
      <c r="F60" s="561">
        <f>IFERROR(E60/B60%,0)</f>
        <v>100</v>
      </c>
      <c r="G60" s="561">
        <f>IFERROR(E60/C60%,0)</f>
        <v>100</v>
      </c>
      <c r="H60" s="562">
        <v>0</v>
      </c>
      <c r="I60" s="555">
        <v>0</v>
      </c>
      <c r="J60" s="562">
        <v>0</v>
      </c>
      <c r="K60" s="562">
        <v>0</v>
      </c>
      <c r="L60" s="555">
        <v>0</v>
      </c>
      <c r="M60" s="555">
        <v>0</v>
      </c>
      <c r="N60" s="562">
        <v>0</v>
      </c>
      <c r="O60" s="562">
        <v>0</v>
      </c>
      <c r="P60" s="555">
        <v>0</v>
      </c>
      <c r="Q60" s="555">
        <v>0</v>
      </c>
      <c r="R60" s="562">
        <v>0</v>
      </c>
      <c r="S60" s="555">
        <v>0</v>
      </c>
      <c r="T60" s="555">
        <v>0</v>
      </c>
      <c r="U60" s="555">
        <v>0</v>
      </c>
      <c r="V60" s="555">
        <v>0</v>
      </c>
      <c r="W60" s="555">
        <v>0</v>
      </c>
      <c r="X60" s="562">
        <v>0</v>
      </c>
      <c r="Y60" s="555">
        <v>0</v>
      </c>
      <c r="Z60" s="555">
        <v>200</v>
      </c>
      <c r="AA60" s="562">
        <v>0</v>
      </c>
      <c r="AB60" s="555">
        <v>0</v>
      </c>
      <c r="AC60" s="562">
        <v>0</v>
      </c>
      <c r="AD60" s="555">
        <v>1399.6</v>
      </c>
      <c r="AE60" s="555">
        <v>1599.56</v>
      </c>
      <c r="AF60" s="557"/>
    </row>
    <row r="61" spans="1:32" s="558" customFormat="1" ht="283.5" x14ac:dyDescent="0.25">
      <c r="A61" s="563" t="s">
        <v>174</v>
      </c>
      <c r="B61" s="560">
        <f>H61+J61+L61+N61+P61+R61+T61+V61+X61+Z61+AB61+AD61</f>
        <v>0</v>
      </c>
      <c r="C61" s="560">
        <f>H61</f>
        <v>0</v>
      </c>
      <c r="D61" s="560">
        <f>E61</f>
        <v>0</v>
      </c>
      <c r="E61" s="560">
        <f>I61+K61+M61+O61+Q61+S61+U61+W61+Y61+AA61+AC61+AE61</f>
        <v>0</v>
      </c>
      <c r="F61" s="561">
        <f>IFERROR(E61/B61%,0)</f>
        <v>0</v>
      </c>
      <c r="G61" s="561">
        <f>IFERROR(E61/C61%,0)</f>
        <v>0</v>
      </c>
      <c r="H61" s="562">
        <v>0</v>
      </c>
      <c r="I61" s="562">
        <v>0</v>
      </c>
      <c r="J61" s="562">
        <v>0</v>
      </c>
      <c r="K61" s="562">
        <v>0</v>
      </c>
      <c r="L61" s="562">
        <v>0</v>
      </c>
      <c r="M61" s="562">
        <v>0</v>
      </c>
      <c r="N61" s="562">
        <v>0</v>
      </c>
      <c r="O61" s="562">
        <v>0</v>
      </c>
      <c r="P61" s="562">
        <v>0</v>
      </c>
      <c r="Q61" s="562">
        <v>0</v>
      </c>
      <c r="R61" s="562">
        <v>0</v>
      </c>
      <c r="S61" s="562">
        <v>0</v>
      </c>
      <c r="T61" s="562">
        <v>0</v>
      </c>
      <c r="U61" s="562">
        <v>0</v>
      </c>
      <c r="V61" s="562">
        <v>0</v>
      </c>
      <c r="W61" s="562">
        <v>0</v>
      </c>
      <c r="X61" s="562">
        <v>0</v>
      </c>
      <c r="Y61" s="562">
        <v>0</v>
      </c>
      <c r="Z61" s="562">
        <v>0</v>
      </c>
      <c r="AA61" s="562">
        <v>0</v>
      </c>
      <c r="AB61" s="562">
        <v>0</v>
      </c>
      <c r="AC61" s="562">
        <v>0</v>
      </c>
      <c r="AD61" s="562">
        <v>0</v>
      </c>
      <c r="AE61" s="562">
        <v>0</v>
      </c>
      <c r="AF61" s="940" t="s">
        <v>670</v>
      </c>
    </row>
    <row r="62" spans="1:32" s="558" customFormat="1" x14ac:dyDescent="0.25">
      <c r="A62" s="888" t="s">
        <v>593</v>
      </c>
      <c r="B62" s="885">
        <v>0</v>
      </c>
      <c r="C62" s="560">
        <f>H62</f>
        <v>0</v>
      </c>
      <c r="D62" s="560">
        <f t="shared" ref="D62" si="30">I62</f>
        <v>0</v>
      </c>
      <c r="E62" s="560">
        <f t="shared" ref="E62" si="31">J62</f>
        <v>0</v>
      </c>
      <c r="F62" s="560">
        <f t="shared" ref="F62" si="32">K62</f>
        <v>0</v>
      </c>
      <c r="G62" s="560">
        <f t="shared" ref="G62" si="33">L62</f>
        <v>0</v>
      </c>
      <c r="H62" s="560">
        <f t="shared" ref="H62" si="34">M62</f>
        <v>0</v>
      </c>
      <c r="I62" s="560">
        <f t="shared" ref="I62" si="35">N62</f>
        <v>0</v>
      </c>
      <c r="J62" s="560">
        <f t="shared" ref="J62" si="36">O62</f>
        <v>0</v>
      </c>
      <c r="K62" s="560">
        <f t="shared" ref="K62" si="37">P62</f>
        <v>0</v>
      </c>
      <c r="L62" s="560">
        <f t="shared" ref="L62" si="38">Q62</f>
        <v>0</v>
      </c>
      <c r="M62" s="560">
        <v>0</v>
      </c>
      <c r="N62" s="560">
        <f t="shared" ref="N62" si="39">S62</f>
        <v>0</v>
      </c>
      <c r="O62" s="560">
        <f t="shared" ref="O62" si="40">T62</f>
        <v>0</v>
      </c>
      <c r="P62" s="560">
        <f t="shared" ref="P62" si="41">U62</f>
        <v>0</v>
      </c>
      <c r="Q62" s="560">
        <f t="shared" ref="Q62" si="42">V62</f>
        <v>0</v>
      </c>
      <c r="R62" s="560">
        <f t="shared" ref="R62" si="43">W62</f>
        <v>0</v>
      </c>
      <c r="S62" s="560">
        <f t="shared" ref="S62" si="44">X62</f>
        <v>0</v>
      </c>
      <c r="T62" s="560">
        <f t="shared" ref="T62" si="45">Y62</f>
        <v>0</v>
      </c>
      <c r="U62" s="560">
        <f t="shared" ref="U62" si="46">Z62</f>
        <v>0</v>
      </c>
      <c r="V62" s="560">
        <f t="shared" ref="V62" si="47">AA62</f>
        <v>0</v>
      </c>
      <c r="W62" s="560">
        <v>0</v>
      </c>
      <c r="X62" s="560">
        <f>AC62</f>
        <v>0</v>
      </c>
      <c r="Y62" s="560">
        <f>AD62</f>
        <v>0</v>
      </c>
      <c r="Z62" s="560">
        <f>AE62</f>
        <v>0</v>
      </c>
      <c r="AA62" s="560">
        <f>AF62</f>
        <v>0</v>
      </c>
      <c r="AB62" s="886">
        <v>0</v>
      </c>
      <c r="AC62" s="886"/>
      <c r="AD62" s="886"/>
      <c r="AE62" s="887"/>
      <c r="AF62" s="557"/>
    </row>
    <row r="63" spans="1:32" s="558" customFormat="1" ht="98.25" customHeight="1" x14ac:dyDescent="0.25">
      <c r="A63" s="929" t="s">
        <v>617</v>
      </c>
      <c r="B63" s="555">
        <v>798.7</v>
      </c>
      <c r="C63" s="555">
        <v>798.7</v>
      </c>
      <c r="D63" s="555">
        <v>798.7</v>
      </c>
      <c r="E63" s="555">
        <v>798.7</v>
      </c>
      <c r="F63" s="556">
        <f>IFERROR(E63/B63%,0)</f>
        <v>100</v>
      </c>
      <c r="G63" s="556">
        <f>IFERROR(E63/C63%,0)</f>
        <v>100</v>
      </c>
      <c r="H63" s="555">
        <v>0</v>
      </c>
      <c r="I63" s="555">
        <v>0</v>
      </c>
      <c r="J63" s="555">
        <f t="shared" ref="J63:K63" si="48">J64+J65+J66+J90</f>
        <v>0</v>
      </c>
      <c r="K63" s="555">
        <f t="shared" si="48"/>
        <v>0</v>
      </c>
      <c r="L63" s="555">
        <v>0</v>
      </c>
      <c r="M63" s="555">
        <v>0</v>
      </c>
      <c r="N63" s="555">
        <f t="shared" ref="N63:O63" si="49">N64+N65+N66+N90</f>
        <v>0</v>
      </c>
      <c r="O63" s="555">
        <f t="shared" si="49"/>
        <v>0</v>
      </c>
      <c r="P63" s="555">
        <v>0</v>
      </c>
      <c r="Q63" s="555">
        <v>0</v>
      </c>
      <c r="R63" s="555">
        <f>R64+R65+R66+R90</f>
        <v>0</v>
      </c>
      <c r="S63" s="555">
        <v>0</v>
      </c>
      <c r="T63" s="555">
        <v>0</v>
      </c>
      <c r="U63" s="555">
        <v>0</v>
      </c>
      <c r="V63" s="555">
        <v>0</v>
      </c>
      <c r="W63" s="555">
        <v>0</v>
      </c>
      <c r="X63" s="555">
        <f>X64+X65+X66+X90</f>
        <v>0</v>
      </c>
      <c r="Y63" s="555">
        <v>0</v>
      </c>
      <c r="Z63" s="555">
        <v>0</v>
      </c>
      <c r="AA63" s="555">
        <f>AA64+AA65+AA66+AA90</f>
        <v>0</v>
      </c>
      <c r="AB63" s="555">
        <v>0</v>
      </c>
      <c r="AC63" s="555">
        <f>AC64+AC65+AC66+AC90</f>
        <v>0</v>
      </c>
      <c r="AD63" s="562">
        <v>798.7</v>
      </c>
      <c r="AE63" s="555">
        <f>AE64+AE65+AE66+AE90</f>
        <v>798.7</v>
      </c>
    </row>
    <row r="64" spans="1:32" s="558" customFormat="1" x14ac:dyDescent="0.25">
      <c r="A64" s="554" t="s">
        <v>31</v>
      </c>
      <c r="B64" s="555">
        <v>798.7</v>
      </c>
      <c r="C64" s="555">
        <v>798.7</v>
      </c>
      <c r="D64" s="555">
        <v>798.7</v>
      </c>
      <c r="E64" s="555">
        <v>798.7</v>
      </c>
      <c r="F64" s="561">
        <f>IFERROR(E64/B64%,0)</f>
        <v>100</v>
      </c>
      <c r="G64" s="561">
        <f>IFERROR(E64/C64%,0)</f>
        <v>100</v>
      </c>
      <c r="H64" s="562">
        <v>0</v>
      </c>
      <c r="I64" s="562">
        <v>0</v>
      </c>
      <c r="J64" s="562">
        <v>0</v>
      </c>
      <c r="K64" s="562">
        <v>0</v>
      </c>
      <c r="L64" s="562">
        <v>0</v>
      </c>
      <c r="M64" s="562">
        <v>0</v>
      </c>
      <c r="N64" s="562">
        <v>0</v>
      </c>
      <c r="O64" s="562">
        <v>0</v>
      </c>
      <c r="P64" s="562">
        <v>0</v>
      </c>
      <c r="Q64" s="562">
        <v>0</v>
      </c>
      <c r="R64" s="562">
        <v>0</v>
      </c>
      <c r="S64" s="562">
        <v>0</v>
      </c>
      <c r="T64" s="562">
        <v>0</v>
      </c>
      <c r="U64" s="562">
        <v>0</v>
      </c>
      <c r="V64" s="562">
        <v>0</v>
      </c>
      <c r="W64" s="562">
        <v>0</v>
      </c>
      <c r="X64" s="562">
        <v>0</v>
      </c>
      <c r="Y64" s="562">
        <v>0</v>
      </c>
      <c r="Z64" s="562">
        <v>0</v>
      </c>
      <c r="AA64" s="562">
        <v>0</v>
      </c>
      <c r="AB64" s="562">
        <v>0</v>
      </c>
      <c r="AC64" s="562">
        <v>0</v>
      </c>
      <c r="AD64" s="562">
        <v>0</v>
      </c>
      <c r="AE64" s="562">
        <v>798.7</v>
      </c>
      <c r="AF64" s="557"/>
    </row>
    <row r="65" spans="1:32" s="558" customFormat="1" ht="189" x14ac:dyDescent="0.25">
      <c r="A65" s="559" t="s">
        <v>169</v>
      </c>
      <c r="B65" s="560">
        <f>H65+J65+L65+N65+P65+R65+T65+V65+X65+Z65+AB65+AD65</f>
        <v>0</v>
      </c>
      <c r="C65" s="560">
        <f>H65</f>
        <v>0</v>
      </c>
      <c r="D65" s="560">
        <f>E65</f>
        <v>0</v>
      </c>
      <c r="E65" s="560">
        <f>I65+K65+M65+O65+Q65+S65+U65+W65+Y65+AA65+AC65+AE65</f>
        <v>0</v>
      </c>
      <c r="F65" s="561">
        <f>IFERROR(E65/B65%,0)</f>
        <v>0</v>
      </c>
      <c r="G65" s="561">
        <f>IFERROR(E65/C65%,0)</f>
        <v>0</v>
      </c>
      <c r="H65" s="562">
        <v>0</v>
      </c>
      <c r="I65" s="562">
        <v>0</v>
      </c>
      <c r="J65" s="562">
        <v>0</v>
      </c>
      <c r="K65" s="562">
        <v>0</v>
      </c>
      <c r="L65" s="562">
        <v>0</v>
      </c>
      <c r="M65" s="562">
        <v>0</v>
      </c>
      <c r="N65" s="562">
        <v>0</v>
      </c>
      <c r="O65" s="562">
        <v>0</v>
      </c>
      <c r="P65" s="562">
        <v>0</v>
      </c>
      <c r="Q65" s="562">
        <v>0</v>
      </c>
      <c r="R65" s="562">
        <v>0</v>
      </c>
      <c r="S65" s="562">
        <v>0</v>
      </c>
      <c r="T65" s="562">
        <v>0</v>
      </c>
      <c r="U65" s="562">
        <v>0</v>
      </c>
      <c r="V65" s="562">
        <v>0</v>
      </c>
      <c r="W65" s="562">
        <v>0</v>
      </c>
      <c r="X65" s="562">
        <v>0</v>
      </c>
      <c r="Y65" s="562">
        <v>0</v>
      </c>
      <c r="Z65" s="562">
        <v>0</v>
      </c>
      <c r="AA65" s="562">
        <v>0</v>
      </c>
      <c r="AB65" s="562">
        <v>0</v>
      </c>
      <c r="AC65" s="562">
        <v>0</v>
      </c>
      <c r="AD65" s="562">
        <v>0</v>
      </c>
      <c r="AE65" s="562">
        <v>0</v>
      </c>
      <c r="AF65" s="940" t="s">
        <v>675</v>
      </c>
    </row>
    <row r="66" spans="1:32" s="558" customFormat="1" x14ac:dyDescent="0.25">
      <c r="A66" s="559" t="s">
        <v>32</v>
      </c>
      <c r="B66" s="555">
        <v>0</v>
      </c>
      <c r="C66" s="555">
        <v>0</v>
      </c>
      <c r="D66" s="555">
        <v>0</v>
      </c>
      <c r="E66" s="555">
        <v>0</v>
      </c>
      <c r="F66" s="561">
        <f>IFERROR(E66/B66%,0)</f>
        <v>0</v>
      </c>
      <c r="G66" s="561">
        <f>IFERROR(E66/C66%,0)</f>
        <v>0</v>
      </c>
      <c r="H66" s="562">
        <v>0</v>
      </c>
      <c r="I66" s="555">
        <v>0</v>
      </c>
      <c r="J66" s="562">
        <v>0</v>
      </c>
      <c r="K66" s="562">
        <v>0</v>
      </c>
      <c r="L66" s="555">
        <v>0</v>
      </c>
      <c r="M66" s="555">
        <v>0</v>
      </c>
      <c r="N66" s="562">
        <v>0</v>
      </c>
      <c r="O66" s="562">
        <v>0</v>
      </c>
      <c r="P66" s="555">
        <v>0</v>
      </c>
      <c r="Q66" s="555">
        <v>0</v>
      </c>
      <c r="R66" s="562">
        <v>0</v>
      </c>
      <c r="S66" s="555">
        <v>0</v>
      </c>
      <c r="T66" s="555">
        <v>0</v>
      </c>
      <c r="U66" s="555">
        <v>0</v>
      </c>
      <c r="V66" s="555">
        <v>0</v>
      </c>
      <c r="W66" s="555">
        <v>0</v>
      </c>
      <c r="X66" s="562">
        <v>0</v>
      </c>
      <c r="Y66" s="555">
        <v>0</v>
      </c>
      <c r="Z66" s="555">
        <v>0</v>
      </c>
      <c r="AA66" s="562">
        <v>0</v>
      </c>
      <c r="AB66" s="555">
        <v>0</v>
      </c>
      <c r="AC66" s="562">
        <v>0</v>
      </c>
      <c r="AD66" s="562">
        <v>0</v>
      </c>
      <c r="AE66" s="562">
        <v>0</v>
      </c>
      <c r="AF66" s="557"/>
    </row>
    <row r="67" spans="1:32" s="558" customFormat="1" x14ac:dyDescent="0.25">
      <c r="A67" s="559" t="s">
        <v>33</v>
      </c>
      <c r="B67" s="555">
        <v>798.7</v>
      </c>
      <c r="C67" s="555">
        <v>798.7</v>
      </c>
      <c r="D67" s="555">
        <v>798.7</v>
      </c>
      <c r="E67" s="555">
        <v>798.7</v>
      </c>
      <c r="F67" s="561">
        <f>IFERROR(E67/B67%,0)</f>
        <v>100</v>
      </c>
      <c r="G67" s="561">
        <f>IFERROR(E67/C67%,0)</f>
        <v>100</v>
      </c>
      <c r="H67" s="562">
        <v>0</v>
      </c>
      <c r="I67" s="562">
        <v>0</v>
      </c>
      <c r="J67" s="562">
        <v>0</v>
      </c>
      <c r="K67" s="562">
        <v>0</v>
      </c>
      <c r="L67" s="562">
        <v>0</v>
      </c>
      <c r="M67" s="562">
        <v>0</v>
      </c>
      <c r="N67" s="562">
        <v>0</v>
      </c>
      <c r="O67" s="562">
        <v>0</v>
      </c>
      <c r="P67" s="562">
        <v>0</v>
      </c>
      <c r="Q67" s="562">
        <v>0</v>
      </c>
      <c r="R67" s="562">
        <v>0</v>
      </c>
      <c r="S67" s="562">
        <v>0</v>
      </c>
      <c r="T67" s="562">
        <v>0</v>
      </c>
      <c r="U67" s="562">
        <v>0</v>
      </c>
      <c r="V67" s="562">
        <v>0</v>
      </c>
      <c r="W67" s="562">
        <v>0</v>
      </c>
      <c r="X67" s="562">
        <v>0</v>
      </c>
      <c r="Y67" s="562">
        <v>0</v>
      </c>
      <c r="Z67" s="562">
        <v>0</v>
      </c>
      <c r="AA67" s="562">
        <v>0</v>
      </c>
      <c r="AB67" s="562">
        <v>0</v>
      </c>
      <c r="AC67" s="562">
        <v>0</v>
      </c>
      <c r="AD67" s="562">
        <v>798.7</v>
      </c>
      <c r="AE67" s="562">
        <v>798.7</v>
      </c>
      <c r="AF67" s="557"/>
    </row>
    <row r="68" spans="1:32" s="558" customFormat="1" ht="31.5" x14ac:dyDescent="0.25">
      <c r="A68" s="563" t="s">
        <v>174</v>
      </c>
      <c r="B68" s="885">
        <v>0</v>
      </c>
      <c r="C68" s="560">
        <f>H68</f>
        <v>0</v>
      </c>
      <c r="D68" s="560">
        <f t="shared" ref="D68" si="50">I68</f>
        <v>0</v>
      </c>
      <c r="E68" s="560">
        <f t="shared" ref="E68" si="51">J68</f>
        <v>0</v>
      </c>
      <c r="F68" s="560">
        <f t="shared" ref="F68" si="52">K68</f>
        <v>0</v>
      </c>
      <c r="G68" s="560">
        <f t="shared" ref="G68" si="53">L68</f>
        <v>0</v>
      </c>
      <c r="H68" s="560">
        <f t="shared" ref="H68" si="54">M68</f>
        <v>0</v>
      </c>
      <c r="I68" s="560">
        <f t="shared" ref="I68" si="55">N68</f>
        <v>0</v>
      </c>
      <c r="J68" s="560">
        <f t="shared" ref="J68" si="56">O68</f>
        <v>0</v>
      </c>
      <c r="K68" s="560">
        <f t="shared" ref="K68" si="57">P68</f>
        <v>0</v>
      </c>
      <c r="L68" s="560">
        <f t="shared" ref="L68" si="58">Q68</f>
        <v>0</v>
      </c>
      <c r="M68" s="560">
        <v>0</v>
      </c>
      <c r="N68" s="560">
        <f t="shared" ref="N68" si="59">S68</f>
        <v>0</v>
      </c>
      <c r="O68" s="560">
        <f t="shared" ref="O68" si="60">T68</f>
        <v>0</v>
      </c>
      <c r="P68" s="560">
        <f t="shared" ref="P68" si="61">U68</f>
        <v>0</v>
      </c>
      <c r="Q68" s="560">
        <f t="shared" ref="Q68" si="62">V68</f>
        <v>0</v>
      </c>
      <c r="R68" s="560">
        <f t="shared" ref="R68" si="63">W68</f>
        <v>0</v>
      </c>
      <c r="S68" s="560">
        <f t="shared" ref="S68" si="64">X68</f>
        <v>0</v>
      </c>
      <c r="T68" s="560">
        <f t="shared" ref="T68" si="65">Y68</f>
        <v>0</v>
      </c>
      <c r="U68" s="560">
        <f t="shared" ref="U68" si="66">Z68</f>
        <v>0</v>
      </c>
      <c r="V68" s="560">
        <f t="shared" ref="V68" si="67">AA68</f>
        <v>0</v>
      </c>
      <c r="W68" s="560">
        <v>0</v>
      </c>
      <c r="X68" s="560">
        <f>AC68</f>
        <v>0</v>
      </c>
      <c r="Y68" s="560">
        <f>AD68</f>
        <v>0</v>
      </c>
      <c r="Z68" s="560">
        <f>AE68</f>
        <v>0</v>
      </c>
      <c r="AA68" s="560">
        <f>AF68</f>
        <v>0</v>
      </c>
      <c r="AB68" s="886">
        <v>0</v>
      </c>
      <c r="AC68" s="562">
        <v>0</v>
      </c>
      <c r="AD68" s="562">
        <v>0</v>
      </c>
      <c r="AE68" s="562">
        <v>0</v>
      </c>
      <c r="AF68" s="557"/>
    </row>
    <row r="69" spans="1:32" s="558" customFormat="1" x14ac:dyDescent="0.25">
      <c r="A69" s="888" t="s">
        <v>593</v>
      </c>
      <c r="B69" s="885"/>
      <c r="C69" s="885"/>
      <c r="D69" s="885"/>
      <c r="E69" s="885"/>
      <c r="F69" s="885"/>
      <c r="G69" s="885"/>
      <c r="H69" s="885"/>
      <c r="I69" s="885"/>
      <c r="J69" s="885"/>
      <c r="K69" s="885"/>
      <c r="L69" s="885"/>
      <c r="M69" s="885"/>
      <c r="N69" s="885"/>
      <c r="O69" s="885"/>
      <c r="P69" s="885"/>
      <c r="Q69" s="885"/>
      <c r="R69" s="885"/>
      <c r="S69" s="885"/>
      <c r="T69" s="885"/>
      <c r="U69" s="885"/>
      <c r="V69" s="885"/>
      <c r="W69" s="885"/>
      <c r="X69" s="885"/>
      <c r="Y69" s="885"/>
      <c r="Z69" s="885"/>
      <c r="AA69" s="885"/>
      <c r="AB69" s="886"/>
      <c r="AC69" s="886"/>
      <c r="AD69" s="886"/>
      <c r="AE69" s="887"/>
      <c r="AF69" s="557"/>
    </row>
    <row r="70" spans="1:32" s="558" customFormat="1" ht="78" customHeight="1" x14ac:dyDescent="0.25">
      <c r="A70" s="929" t="s">
        <v>618</v>
      </c>
      <c r="B70" s="555">
        <v>795</v>
      </c>
      <c r="C70" s="555">
        <v>795</v>
      </c>
      <c r="D70" s="555">
        <v>794.98</v>
      </c>
      <c r="E70" s="555">
        <v>794.98</v>
      </c>
      <c r="F70" s="556">
        <f>IFERROR(E70/B70%,0)</f>
        <v>99.997484276729566</v>
      </c>
      <c r="G70" s="556">
        <f>IFERROR(E70/C70%,0)</f>
        <v>99.997484276729566</v>
      </c>
      <c r="H70" s="555">
        <v>0</v>
      </c>
      <c r="I70" s="555">
        <v>0</v>
      </c>
      <c r="J70" s="555">
        <f t="shared" ref="J70:K70" si="68">J71+J72+J73+J97</f>
        <v>0</v>
      </c>
      <c r="K70" s="555">
        <f t="shared" si="68"/>
        <v>0</v>
      </c>
      <c r="L70" s="555">
        <v>0</v>
      </c>
      <c r="M70" s="555">
        <v>0</v>
      </c>
      <c r="N70" s="555">
        <f t="shared" ref="N70:O70" si="69">N71+N72+N73+N97</f>
        <v>0</v>
      </c>
      <c r="O70" s="555">
        <f t="shared" si="69"/>
        <v>0</v>
      </c>
      <c r="P70" s="555">
        <v>0</v>
      </c>
      <c r="Q70" s="555">
        <v>0</v>
      </c>
      <c r="R70" s="555">
        <f>R71+R72+R73+R97</f>
        <v>0</v>
      </c>
      <c r="S70" s="555">
        <v>0</v>
      </c>
      <c r="T70" s="555">
        <v>0</v>
      </c>
      <c r="U70" s="555">
        <v>0</v>
      </c>
      <c r="V70" s="555">
        <v>0</v>
      </c>
      <c r="W70" s="555">
        <v>0</v>
      </c>
      <c r="X70" s="555">
        <f>X71+X72+X73+X97</f>
        <v>0</v>
      </c>
      <c r="Y70" s="555">
        <v>0</v>
      </c>
      <c r="Z70" s="555">
        <v>0</v>
      </c>
      <c r="AA70" s="555">
        <f>AA71+AA72+AA73+AA97</f>
        <v>0</v>
      </c>
      <c r="AB70" s="555">
        <v>0</v>
      </c>
      <c r="AC70" s="555">
        <f>AC71+AC72+AC73+AC97</f>
        <v>0</v>
      </c>
      <c r="AD70" s="886">
        <v>0</v>
      </c>
      <c r="AE70" s="886">
        <v>0</v>
      </c>
      <c r="AF70" s="940" t="s">
        <v>676</v>
      </c>
    </row>
    <row r="71" spans="1:32" s="558" customFormat="1" x14ac:dyDescent="0.25">
      <c r="A71" s="554" t="s">
        <v>31</v>
      </c>
      <c r="B71" s="555">
        <v>795</v>
      </c>
      <c r="C71" s="555">
        <v>795</v>
      </c>
      <c r="D71" s="555">
        <v>794.98</v>
      </c>
      <c r="E71" s="555">
        <v>794.98</v>
      </c>
      <c r="F71" s="561">
        <f>IFERROR(E71/B71%,0)</f>
        <v>99.997484276729566</v>
      </c>
      <c r="G71" s="561">
        <f>IFERROR(E71/C71%,0)</f>
        <v>99.997484276729566</v>
      </c>
      <c r="H71" s="562">
        <v>0</v>
      </c>
      <c r="I71" s="562">
        <v>0</v>
      </c>
      <c r="J71" s="562">
        <v>0</v>
      </c>
      <c r="K71" s="562">
        <v>0</v>
      </c>
      <c r="L71" s="562">
        <v>0</v>
      </c>
      <c r="M71" s="562">
        <v>0</v>
      </c>
      <c r="N71" s="562">
        <v>0</v>
      </c>
      <c r="O71" s="562">
        <v>0</v>
      </c>
      <c r="P71" s="562">
        <v>0</v>
      </c>
      <c r="Q71" s="562">
        <v>0</v>
      </c>
      <c r="R71" s="562">
        <v>0</v>
      </c>
      <c r="S71" s="562">
        <v>0</v>
      </c>
      <c r="T71" s="562">
        <v>0</v>
      </c>
      <c r="U71" s="562">
        <v>0</v>
      </c>
      <c r="V71" s="562">
        <v>0</v>
      </c>
      <c r="W71" s="562">
        <v>0</v>
      </c>
      <c r="X71" s="562">
        <v>0</v>
      </c>
      <c r="Y71" s="562">
        <v>0</v>
      </c>
      <c r="Z71" s="562">
        <v>0</v>
      </c>
      <c r="AA71" s="562">
        <v>0</v>
      </c>
      <c r="AB71" s="562">
        <v>0</v>
      </c>
      <c r="AC71" s="562">
        <v>0</v>
      </c>
      <c r="AD71" s="555">
        <v>795</v>
      </c>
      <c r="AE71" s="555">
        <v>794.98</v>
      </c>
      <c r="AF71" s="557"/>
    </row>
    <row r="72" spans="1:32" s="558" customFormat="1" x14ac:dyDescent="0.25">
      <c r="A72" s="559" t="s">
        <v>169</v>
      </c>
      <c r="B72" s="560">
        <f>H72+J72+L72+N72+P72+R72+T72+V72+X72+Z72+AB72+AD72</f>
        <v>0</v>
      </c>
      <c r="C72" s="560">
        <f>H72</f>
        <v>0</v>
      </c>
      <c r="D72" s="560">
        <f>E72</f>
        <v>0</v>
      </c>
      <c r="E72" s="560">
        <f>I72+K72+M72+O72+Q72+S72+U72+W72+Y72+AA72+AC72+AE72</f>
        <v>0</v>
      </c>
      <c r="F72" s="561">
        <f>IFERROR(E72/B72%,0)</f>
        <v>0</v>
      </c>
      <c r="G72" s="561">
        <f>IFERROR(E72/C72%,0)</f>
        <v>0</v>
      </c>
      <c r="H72" s="562">
        <v>0</v>
      </c>
      <c r="I72" s="562">
        <v>0</v>
      </c>
      <c r="J72" s="562">
        <v>0</v>
      </c>
      <c r="K72" s="562">
        <v>0</v>
      </c>
      <c r="L72" s="562">
        <v>0</v>
      </c>
      <c r="M72" s="562">
        <v>0</v>
      </c>
      <c r="N72" s="562">
        <v>0</v>
      </c>
      <c r="O72" s="562">
        <v>0</v>
      </c>
      <c r="P72" s="562">
        <v>0</v>
      </c>
      <c r="Q72" s="562">
        <v>0</v>
      </c>
      <c r="R72" s="562">
        <v>0</v>
      </c>
      <c r="S72" s="562">
        <v>0</v>
      </c>
      <c r="T72" s="562">
        <v>0</v>
      </c>
      <c r="U72" s="562">
        <v>0</v>
      </c>
      <c r="V72" s="562">
        <v>0</v>
      </c>
      <c r="W72" s="562">
        <v>0</v>
      </c>
      <c r="X72" s="562">
        <v>0</v>
      </c>
      <c r="Y72" s="562">
        <v>0</v>
      </c>
      <c r="Z72" s="562">
        <v>0</v>
      </c>
      <c r="AA72" s="562">
        <v>0</v>
      </c>
      <c r="AB72" s="562">
        <v>0</v>
      </c>
      <c r="AC72" s="562">
        <v>0</v>
      </c>
      <c r="AD72" s="562">
        <v>0</v>
      </c>
      <c r="AE72" s="562">
        <v>0</v>
      </c>
      <c r="AF72" s="557"/>
    </row>
    <row r="73" spans="1:32" s="558" customFormat="1" x14ac:dyDescent="0.25">
      <c r="A73" s="559" t="s">
        <v>32</v>
      </c>
      <c r="B73" s="560">
        <f>G73</f>
        <v>0</v>
      </c>
      <c r="C73" s="560">
        <f>H73</f>
        <v>0</v>
      </c>
      <c r="D73" s="560">
        <f>E73</f>
        <v>0</v>
      </c>
      <c r="E73" s="555">
        <v>0</v>
      </c>
      <c r="F73" s="561">
        <f>IFERROR(E73/B73%,0)</f>
        <v>0</v>
      </c>
      <c r="G73" s="561">
        <f>IFERROR(E73/C73%,0)</f>
        <v>0</v>
      </c>
      <c r="H73" s="562">
        <v>0</v>
      </c>
      <c r="I73" s="555">
        <v>0</v>
      </c>
      <c r="J73" s="562">
        <v>0</v>
      </c>
      <c r="K73" s="562">
        <v>0</v>
      </c>
      <c r="L73" s="555">
        <v>0</v>
      </c>
      <c r="M73" s="555">
        <v>0</v>
      </c>
      <c r="N73" s="562">
        <v>0</v>
      </c>
      <c r="O73" s="562">
        <v>0</v>
      </c>
      <c r="P73" s="555">
        <v>0</v>
      </c>
      <c r="Q73" s="555">
        <v>0</v>
      </c>
      <c r="R73" s="562">
        <v>0</v>
      </c>
      <c r="S73" s="555">
        <v>0</v>
      </c>
      <c r="T73" s="555">
        <v>0</v>
      </c>
      <c r="U73" s="555">
        <v>0</v>
      </c>
      <c r="V73" s="555">
        <v>0</v>
      </c>
      <c r="W73" s="555">
        <v>0</v>
      </c>
      <c r="X73" s="562">
        <v>0</v>
      </c>
      <c r="Y73" s="555">
        <v>0</v>
      </c>
      <c r="Z73" s="555">
        <v>0</v>
      </c>
      <c r="AA73" s="562">
        <v>0</v>
      </c>
      <c r="AB73" s="555">
        <v>0</v>
      </c>
      <c r="AC73" s="562">
        <v>0</v>
      </c>
      <c r="AD73" s="562">
        <v>0</v>
      </c>
      <c r="AE73" s="562">
        <v>0</v>
      </c>
      <c r="AF73" s="557"/>
    </row>
    <row r="74" spans="1:32" s="558" customFormat="1" x14ac:dyDescent="0.25">
      <c r="A74" s="559" t="s">
        <v>33</v>
      </c>
      <c r="B74" s="555">
        <v>795</v>
      </c>
      <c r="C74" s="555">
        <v>795</v>
      </c>
      <c r="D74" s="555">
        <v>794.98</v>
      </c>
      <c r="E74" s="555">
        <v>794.98</v>
      </c>
      <c r="F74" s="561">
        <f>IFERROR(E74/B74%,0)</f>
        <v>99.997484276729566</v>
      </c>
      <c r="G74" s="561">
        <f>IFERROR(E74/C74%,0)</f>
        <v>99.997484276729566</v>
      </c>
      <c r="H74" s="562">
        <v>0</v>
      </c>
      <c r="I74" s="562">
        <v>0</v>
      </c>
      <c r="J74" s="562">
        <v>0</v>
      </c>
      <c r="K74" s="562">
        <v>0</v>
      </c>
      <c r="L74" s="562">
        <v>0</v>
      </c>
      <c r="M74" s="562">
        <v>0</v>
      </c>
      <c r="N74" s="562">
        <v>0</v>
      </c>
      <c r="O74" s="562">
        <v>0</v>
      </c>
      <c r="P74" s="562">
        <v>0</v>
      </c>
      <c r="Q74" s="562">
        <v>0</v>
      </c>
      <c r="R74" s="562">
        <v>0</v>
      </c>
      <c r="S74" s="562">
        <v>0</v>
      </c>
      <c r="T74" s="562">
        <v>0</v>
      </c>
      <c r="U74" s="562">
        <v>0</v>
      </c>
      <c r="V74" s="562">
        <v>0</v>
      </c>
      <c r="W74" s="562">
        <v>0</v>
      </c>
      <c r="X74" s="562">
        <v>0</v>
      </c>
      <c r="Y74" s="562">
        <v>0</v>
      </c>
      <c r="Z74" s="562">
        <v>0</v>
      </c>
      <c r="AA74" s="562">
        <v>0</v>
      </c>
      <c r="AB74" s="562">
        <v>0</v>
      </c>
      <c r="AC74" s="562">
        <v>0</v>
      </c>
      <c r="AD74" s="555">
        <v>795</v>
      </c>
      <c r="AE74" s="555">
        <v>794.98</v>
      </c>
      <c r="AF74" s="557"/>
    </row>
    <row r="75" spans="1:32" s="558" customFormat="1" ht="31.5" x14ac:dyDescent="0.25">
      <c r="A75" s="563" t="s">
        <v>174</v>
      </c>
      <c r="B75" s="885">
        <v>0</v>
      </c>
      <c r="C75" s="560">
        <f>H75</f>
        <v>0</v>
      </c>
      <c r="D75" s="560">
        <f t="shared" ref="D75" si="70">I75</f>
        <v>0</v>
      </c>
      <c r="E75" s="560">
        <f t="shared" ref="E75" si="71">J75</f>
        <v>0</v>
      </c>
      <c r="F75" s="560">
        <f t="shared" ref="F75" si="72">K75</f>
        <v>0</v>
      </c>
      <c r="G75" s="560">
        <f t="shared" ref="G75" si="73">L75</f>
        <v>0</v>
      </c>
      <c r="H75" s="560">
        <f t="shared" ref="H75" si="74">M75</f>
        <v>0</v>
      </c>
      <c r="I75" s="560">
        <f t="shared" ref="I75" si="75">N75</f>
        <v>0</v>
      </c>
      <c r="J75" s="560">
        <f t="shared" ref="J75" si="76">O75</f>
        <v>0</v>
      </c>
      <c r="K75" s="560">
        <f t="shared" ref="K75" si="77">P75</f>
        <v>0</v>
      </c>
      <c r="L75" s="560">
        <f t="shared" ref="L75" si="78">Q75</f>
        <v>0</v>
      </c>
      <c r="M75" s="560">
        <v>0</v>
      </c>
      <c r="N75" s="560">
        <f t="shared" ref="N75" si="79">S75</f>
        <v>0</v>
      </c>
      <c r="O75" s="560">
        <f t="shared" ref="O75" si="80">T75</f>
        <v>0</v>
      </c>
      <c r="P75" s="560">
        <f t="shared" ref="P75" si="81">U75</f>
        <v>0</v>
      </c>
      <c r="Q75" s="560">
        <f t="shared" ref="Q75" si="82">V75</f>
        <v>0</v>
      </c>
      <c r="R75" s="560">
        <f t="shared" ref="R75" si="83">W75</f>
        <v>0</v>
      </c>
      <c r="S75" s="560">
        <f t="shared" ref="S75" si="84">X75</f>
        <v>0</v>
      </c>
      <c r="T75" s="560">
        <f t="shared" ref="T75" si="85">Y75</f>
        <v>0</v>
      </c>
      <c r="U75" s="560">
        <f t="shared" ref="U75" si="86">Z75</f>
        <v>0</v>
      </c>
      <c r="V75" s="560">
        <f t="shared" ref="V75" si="87">AA75</f>
        <v>0</v>
      </c>
      <c r="W75" s="560">
        <v>0</v>
      </c>
      <c r="X75" s="560">
        <f>AC75</f>
        <v>0</v>
      </c>
      <c r="Y75" s="560">
        <f>AD75</f>
        <v>0</v>
      </c>
      <c r="Z75" s="560">
        <f>AE75</f>
        <v>0</v>
      </c>
      <c r="AA75" s="560">
        <f>AF75</f>
        <v>0</v>
      </c>
      <c r="AB75" s="886">
        <v>0</v>
      </c>
      <c r="AC75" s="886">
        <v>0</v>
      </c>
      <c r="AD75" s="886">
        <v>0</v>
      </c>
      <c r="AE75" s="886">
        <v>0</v>
      </c>
      <c r="AF75" s="557"/>
    </row>
    <row r="76" spans="1:32" s="558" customFormat="1" x14ac:dyDescent="0.25">
      <c r="A76" s="888" t="s">
        <v>593</v>
      </c>
      <c r="B76" s="885"/>
      <c r="C76" s="885"/>
      <c r="D76" s="885"/>
      <c r="E76" s="885"/>
      <c r="F76" s="885"/>
      <c r="G76" s="885"/>
      <c r="H76" s="885"/>
      <c r="I76" s="885"/>
      <c r="J76" s="885"/>
      <c r="K76" s="885"/>
      <c r="L76" s="885"/>
      <c r="M76" s="885"/>
      <c r="N76" s="885"/>
      <c r="O76" s="885"/>
      <c r="P76" s="885"/>
      <c r="Q76" s="885"/>
      <c r="R76" s="885"/>
      <c r="S76" s="885"/>
      <c r="T76" s="885"/>
      <c r="U76" s="885"/>
      <c r="V76" s="885"/>
      <c r="W76" s="885"/>
      <c r="X76" s="885"/>
      <c r="Y76" s="885"/>
      <c r="Z76" s="885"/>
      <c r="AA76" s="885"/>
      <c r="AB76" s="886"/>
      <c r="AC76" s="886"/>
      <c r="AD76" s="886"/>
      <c r="AE76" s="887"/>
      <c r="AF76" s="557"/>
    </row>
    <row r="77" spans="1:32" s="558" customFormat="1" ht="65.25" customHeight="1" x14ac:dyDescent="0.25">
      <c r="A77" s="834" t="s">
        <v>542</v>
      </c>
      <c r="B77" s="786"/>
      <c r="C77" s="786"/>
      <c r="D77" s="786"/>
      <c r="E77" s="786"/>
      <c r="F77" s="786"/>
      <c r="G77" s="786"/>
      <c r="H77" s="786"/>
      <c r="I77" s="786"/>
      <c r="J77" s="786"/>
      <c r="K77" s="786"/>
      <c r="L77" s="786"/>
      <c r="M77" s="786"/>
      <c r="N77" s="786"/>
      <c r="O77" s="786"/>
      <c r="P77" s="786"/>
      <c r="Q77" s="786"/>
      <c r="R77" s="786"/>
      <c r="S77" s="786"/>
      <c r="T77" s="786"/>
      <c r="U77" s="786"/>
      <c r="V77" s="786"/>
      <c r="W77" s="786"/>
      <c r="X77" s="786"/>
      <c r="Y77" s="786"/>
      <c r="Z77" s="786"/>
      <c r="AA77" s="786"/>
      <c r="AB77" s="786"/>
      <c r="AC77" s="786"/>
      <c r="AD77" s="786"/>
      <c r="AE77" s="787"/>
      <c r="AF77" s="1294" t="s">
        <v>677</v>
      </c>
    </row>
    <row r="78" spans="1:32" s="558" customFormat="1" ht="24" customHeight="1" x14ac:dyDescent="0.25">
      <c r="A78" s="554" t="s">
        <v>31</v>
      </c>
      <c r="B78" s="555">
        <v>15100.89</v>
      </c>
      <c r="C78" s="555">
        <v>15100.89</v>
      </c>
      <c r="D78" s="555">
        <v>15100.89</v>
      </c>
      <c r="E78" s="555">
        <v>15100.82</v>
      </c>
      <c r="F78" s="556">
        <f>IFERROR(D78/B78%,0)</f>
        <v>100.00000000000001</v>
      </c>
      <c r="G78" s="556">
        <f>IFERROR(E78/C78%,0)</f>
        <v>99.999536451162825</v>
      </c>
      <c r="H78" s="555">
        <f>H79+H80+H81+H84</f>
        <v>232</v>
      </c>
      <c r="I78" s="555">
        <f>I79+I80+I81+I84</f>
        <v>232</v>
      </c>
      <c r="J78" s="555">
        <f>J79+J80+J81+J84</f>
        <v>0</v>
      </c>
      <c r="K78" s="555">
        <f>K79+K80+K81+K84</f>
        <v>0</v>
      </c>
      <c r="L78" s="555">
        <v>0</v>
      </c>
      <c r="M78" s="555">
        <v>0</v>
      </c>
      <c r="N78" s="555">
        <f>N79+N80+N81+N84</f>
        <v>0</v>
      </c>
      <c r="O78" s="555">
        <f>O79+O80+O81+O84</f>
        <v>0</v>
      </c>
      <c r="P78" s="555">
        <v>34.840000000000003</v>
      </c>
      <c r="Q78" s="555">
        <v>34.840000000000003</v>
      </c>
      <c r="R78" s="555">
        <f>R79+R80+R81+R84</f>
        <v>0</v>
      </c>
      <c r="S78" s="555">
        <f>S79+S80+S81+S84</f>
        <v>0</v>
      </c>
      <c r="T78" s="555">
        <f>T79+T80+T81+T84</f>
        <v>0</v>
      </c>
      <c r="U78" s="555">
        <f>U79+U80+U81+U84</f>
        <v>0</v>
      </c>
      <c r="V78" s="555">
        <v>8.76</v>
      </c>
      <c r="W78" s="555">
        <f>W79+W80+W81+W84</f>
        <v>0</v>
      </c>
      <c r="X78" s="555">
        <f>X79+X80+X81+X84</f>
        <v>0</v>
      </c>
      <c r="Y78" s="555">
        <v>8.7100000000000009</v>
      </c>
      <c r="Z78" s="555">
        <v>14818.59</v>
      </c>
      <c r="AA78" s="555">
        <v>14804.19</v>
      </c>
      <c r="AB78" s="562">
        <v>0</v>
      </c>
      <c r="AC78" s="555">
        <f>AC79+AC80+AC81+AC84</f>
        <v>0</v>
      </c>
      <c r="AD78" s="555">
        <v>6.7</v>
      </c>
      <c r="AE78" s="555">
        <v>21.08</v>
      </c>
      <c r="AF78" s="1295"/>
    </row>
    <row r="79" spans="1:32" s="558" customFormat="1" x14ac:dyDescent="0.25">
      <c r="A79" s="559" t="s">
        <v>169</v>
      </c>
      <c r="B79" s="560">
        <f>H79+J79+L79+N79+P79+R79+T79+V79+X79+Z79+AB79+AD79</f>
        <v>0</v>
      </c>
      <c r="C79" s="560">
        <f>H79</f>
        <v>0</v>
      </c>
      <c r="D79" s="560">
        <f>E79</f>
        <v>0</v>
      </c>
      <c r="E79" s="560">
        <f>I79+K79+M79+O79+Q79+S79+U79+W79+Y79+AA79+AC79+AE79</f>
        <v>0</v>
      </c>
      <c r="F79" s="561">
        <f>IFERROR(E79/B79%,0)</f>
        <v>0</v>
      </c>
      <c r="G79" s="561">
        <f>IFERROR(E79/C79%,0)</f>
        <v>0</v>
      </c>
      <c r="H79" s="562">
        <v>0</v>
      </c>
      <c r="I79" s="562">
        <v>0</v>
      </c>
      <c r="J79" s="562">
        <v>0</v>
      </c>
      <c r="K79" s="562">
        <v>0</v>
      </c>
      <c r="L79" s="562">
        <v>0</v>
      </c>
      <c r="M79" s="562">
        <v>0</v>
      </c>
      <c r="N79" s="562">
        <v>0</v>
      </c>
      <c r="O79" s="562">
        <v>0</v>
      </c>
      <c r="P79" s="562">
        <v>0</v>
      </c>
      <c r="Q79" s="562">
        <v>0</v>
      </c>
      <c r="R79" s="562">
        <v>0</v>
      </c>
      <c r="S79" s="562">
        <v>0</v>
      </c>
      <c r="T79" s="562">
        <v>0</v>
      </c>
      <c r="U79" s="562">
        <v>0</v>
      </c>
      <c r="V79" s="562">
        <v>0</v>
      </c>
      <c r="W79" s="562">
        <v>0</v>
      </c>
      <c r="X79" s="562">
        <v>0</v>
      </c>
      <c r="Y79" s="562">
        <v>0</v>
      </c>
      <c r="Z79" s="562">
        <v>0</v>
      </c>
      <c r="AA79" s="562">
        <v>0</v>
      </c>
      <c r="AB79" s="562">
        <v>0</v>
      </c>
      <c r="AC79" s="562">
        <v>0</v>
      </c>
      <c r="AD79" s="562">
        <v>0</v>
      </c>
      <c r="AE79" s="562">
        <v>0</v>
      </c>
      <c r="AF79" s="1295"/>
    </row>
    <row r="80" spans="1:32" s="558" customFormat="1" x14ac:dyDescent="0.25">
      <c r="A80" s="559" t="s">
        <v>32</v>
      </c>
      <c r="B80" s="560">
        <f>H80+J80+L80+N80+P80+R80+T80+V80+X80+Z80+AB80+AD80</f>
        <v>0</v>
      </c>
      <c r="C80" s="560">
        <f>H80</f>
        <v>0</v>
      </c>
      <c r="D80" s="560">
        <f>E80</f>
        <v>0</v>
      </c>
      <c r="E80" s="560">
        <f>I80+K80+M80+O80+Q80+S80+U80+W80+Y80+AA80+AC80+AE80</f>
        <v>0</v>
      </c>
      <c r="F80" s="561">
        <f>IFERROR(E80/B80%,0)</f>
        <v>0</v>
      </c>
      <c r="G80" s="561">
        <f>IFERROR(E80/C80%,0)</f>
        <v>0</v>
      </c>
      <c r="H80" s="562">
        <v>0</v>
      </c>
      <c r="I80" s="562">
        <v>0</v>
      </c>
      <c r="J80" s="562">
        <v>0</v>
      </c>
      <c r="K80" s="562">
        <v>0</v>
      </c>
      <c r="L80" s="562">
        <v>0</v>
      </c>
      <c r="M80" s="562">
        <v>0</v>
      </c>
      <c r="N80" s="562">
        <v>0</v>
      </c>
      <c r="O80" s="562">
        <v>0</v>
      </c>
      <c r="P80" s="562">
        <v>0</v>
      </c>
      <c r="Q80" s="562">
        <v>0</v>
      </c>
      <c r="R80" s="562">
        <v>0</v>
      </c>
      <c r="S80" s="562">
        <v>0</v>
      </c>
      <c r="T80" s="562">
        <v>0</v>
      </c>
      <c r="U80" s="562">
        <v>0</v>
      </c>
      <c r="V80" s="562">
        <v>0</v>
      </c>
      <c r="W80" s="562">
        <v>0</v>
      </c>
      <c r="X80" s="562">
        <v>0</v>
      </c>
      <c r="Y80" s="562">
        <v>0</v>
      </c>
      <c r="Z80" s="562">
        <v>0</v>
      </c>
      <c r="AA80" s="562">
        <v>0</v>
      </c>
      <c r="AB80" s="562">
        <v>0</v>
      </c>
      <c r="AC80" s="562">
        <v>0</v>
      </c>
      <c r="AD80" s="562">
        <v>0</v>
      </c>
      <c r="AE80" s="562">
        <v>0</v>
      </c>
      <c r="AF80" s="1295"/>
    </row>
    <row r="81" spans="1:32" s="558" customFormat="1" x14ac:dyDescent="0.25">
      <c r="A81" s="559" t="s">
        <v>33</v>
      </c>
      <c r="B81" s="560">
        <v>296.7</v>
      </c>
      <c r="C81" s="560">
        <v>296.7</v>
      </c>
      <c r="D81" s="560">
        <v>296.7</v>
      </c>
      <c r="E81" s="555">
        <v>296.63</v>
      </c>
      <c r="F81" s="561">
        <f>IFERROR(E81/B81%,0)</f>
        <v>99.976407145264574</v>
      </c>
      <c r="G81" s="561">
        <f>IFERROR(E81/C81%,0)</f>
        <v>99.976407145264574</v>
      </c>
      <c r="H81" s="562">
        <v>232</v>
      </c>
      <c r="I81" s="562">
        <v>232</v>
      </c>
      <c r="J81" s="562">
        <v>0</v>
      </c>
      <c r="K81" s="562">
        <v>0</v>
      </c>
      <c r="L81" s="562">
        <v>0</v>
      </c>
      <c r="M81" s="562">
        <v>0</v>
      </c>
      <c r="N81" s="562">
        <v>0</v>
      </c>
      <c r="O81" s="562">
        <v>0</v>
      </c>
      <c r="P81" s="562">
        <v>34.840000000000003</v>
      </c>
      <c r="Q81" s="555">
        <v>34.840000000000003</v>
      </c>
      <c r="R81" s="562">
        <v>0</v>
      </c>
      <c r="S81" s="562">
        <v>0</v>
      </c>
      <c r="T81" s="562">
        <v>0</v>
      </c>
      <c r="U81" s="562">
        <v>0</v>
      </c>
      <c r="V81" s="562">
        <v>8.76</v>
      </c>
      <c r="W81" s="562">
        <v>0</v>
      </c>
      <c r="X81" s="562">
        <v>0</v>
      </c>
      <c r="Y81" s="562">
        <v>8.7100000000000009</v>
      </c>
      <c r="Z81" s="562">
        <v>14.4</v>
      </c>
      <c r="AA81" s="562">
        <v>0</v>
      </c>
      <c r="AB81" s="562">
        <v>0</v>
      </c>
      <c r="AC81" s="562">
        <v>0</v>
      </c>
      <c r="AD81" s="555">
        <v>6.7</v>
      </c>
      <c r="AE81" s="555">
        <v>21.08</v>
      </c>
      <c r="AF81" s="1295"/>
    </row>
    <row r="82" spans="1:32" s="558" customFormat="1" ht="31.5" x14ac:dyDescent="0.25">
      <c r="A82" s="563" t="s">
        <v>174</v>
      </c>
      <c r="B82" s="560">
        <f>H82+J82+L82+N82+P82+R82+T82+V82+X82+Z82+AB82+AD82</f>
        <v>0</v>
      </c>
      <c r="C82" s="560">
        <f>H82</f>
        <v>0</v>
      </c>
      <c r="D82" s="560">
        <f>E82</f>
        <v>0</v>
      </c>
      <c r="E82" s="560">
        <f>I82+K82+M82+O82+Q82+S82+U82+W82+Y82+AA82+AC82+AE82</f>
        <v>0</v>
      </c>
      <c r="F82" s="561">
        <f>IFERROR(E82/B82%,0)</f>
        <v>0</v>
      </c>
      <c r="G82" s="561">
        <f>IFERROR(E82/C82%,0)</f>
        <v>0</v>
      </c>
      <c r="H82" s="562">
        <v>0</v>
      </c>
      <c r="I82" s="562">
        <v>0</v>
      </c>
      <c r="J82" s="562">
        <v>0</v>
      </c>
      <c r="K82" s="562">
        <v>0</v>
      </c>
      <c r="L82" s="562">
        <v>0</v>
      </c>
      <c r="M82" s="562">
        <v>0</v>
      </c>
      <c r="N82" s="562">
        <v>0</v>
      </c>
      <c r="O82" s="562">
        <v>0</v>
      </c>
      <c r="P82" s="562">
        <v>0</v>
      </c>
      <c r="Q82" s="562">
        <v>0</v>
      </c>
      <c r="R82" s="562">
        <v>0</v>
      </c>
      <c r="S82" s="562">
        <v>0</v>
      </c>
      <c r="T82" s="562">
        <v>0</v>
      </c>
      <c r="U82" s="562">
        <v>0</v>
      </c>
      <c r="V82" s="562">
        <v>0</v>
      </c>
      <c r="W82" s="562">
        <v>0</v>
      </c>
      <c r="X82" s="562">
        <v>0</v>
      </c>
      <c r="Y82" s="562">
        <v>0</v>
      </c>
      <c r="Z82" s="562">
        <v>0</v>
      </c>
      <c r="AA82" s="562">
        <v>0</v>
      </c>
      <c r="AB82" s="562">
        <v>0</v>
      </c>
      <c r="AC82" s="562">
        <v>0</v>
      </c>
      <c r="AD82" s="562">
        <v>0</v>
      </c>
      <c r="AE82" s="562">
        <v>0</v>
      </c>
      <c r="AF82" s="1295"/>
    </row>
    <row r="83" spans="1:32" s="558" customFormat="1" x14ac:dyDescent="0.25">
      <c r="A83" s="888" t="s">
        <v>170</v>
      </c>
      <c r="B83" s="885">
        <v>14804.19</v>
      </c>
      <c r="C83" s="885">
        <v>14804.19</v>
      </c>
      <c r="D83" s="560">
        <v>14804.19</v>
      </c>
      <c r="E83" s="560">
        <v>14804.19</v>
      </c>
      <c r="F83" s="561">
        <f>IFERROR(E83/B83%,0)</f>
        <v>100</v>
      </c>
      <c r="G83" s="561">
        <v>100</v>
      </c>
      <c r="H83" s="560">
        <f t="shared" ref="H83:T83" si="88">M83</f>
        <v>0</v>
      </c>
      <c r="I83" s="560">
        <f t="shared" si="88"/>
        <v>0</v>
      </c>
      <c r="J83" s="560">
        <f t="shared" si="88"/>
        <v>0</v>
      </c>
      <c r="K83" s="560">
        <v>0</v>
      </c>
      <c r="L83" s="560">
        <v>0</v>
      </c>
      <c r="M83" s="560">
        <f t="shared" si="88"/>
        <v>0</v>
      </c>
      <c r="N83" s="560">
        <f t="shared" si="88"/>
        <v>0</v>
      </c>
      <c r="O83" s="560">
        <f t="shared" si="88"/>
        <v>0</v>
      </c>
      <c r="P83" s="562">
        <v>0</v>
      </c>
      <c r="Q83" s="562">
        <v>0</v>
      </c>
      <c r="R83" s="560">
        <f t="shared" si="88"/>
        <v>0</v>
      </c>
      <c r="S83" s="560">
        <f t="shared" si="88"/>
        <v>0</v>
      </c>
      <c r="T83" s="560">
        <f t="shared" si="88"/>
        <v>0</v>
      </c>
      <c r="U83" s="562">
        <v>0</v>
      </c>
      <c r="V83" s="562">
        <v>0</v>
      </c>
      <c r="W83" s="560">
        <v>0</v>
      </c>
      <c r="X83" s="560">
        <f>AC83</f>
        <v>0</v>
      </c>
      <c r="Y83" s="560">
        <f>AD83</f>
        <v>0</v>
      </c>
      <c r="Z83" s="555">
        <v>14804.19</v>
      </c>
      <c r="AA83" s="555">
        <v>14804.19</v>
      </c>
      <c r="AB83" s="562">
        <v>0</v>
      </c>
      <c r="AC83" s="560">
        <f>AH83</f>
        <v>0</v>
      </c>
      <c r="AD83" s="560">
        <f>AI83</f>
        <v>0</v>
      </c>
      <c r="AE83" s="560">
        <f>AJ83</f>
        <v>0</v>
      </c>
      <c r="AF83" s="1295"/>
    </row>
    <row r="84" spans="1:32" s="558" customFormat="1" ht="225.75" customHeight="1" x14ac:dyDescent="0.25">
      <c r="A84" s="785" t="s">
        <v>543</v>
      </c>
      <c r="B84" s="786"/>
      <c r="C84" s="786"/>
      <c r="D84" s="786"/>
      <c r="E84" s="786"/>
      <c r="F84" s="786"/>
      <c r="G84" s="786"/>
      <c r="H84" s="786"/>
      <c r="I84" s="786"/>
      <c r="J84" s="786"/>
      <c r="K84" s="786"/>
      <c r="L84" s="786"/>
      <c r="M84" s="786"/>
      <c r="N84" s="786"/>
      <c r="O84" s="786"/>
      <c r="P84" s="786"/>
      <c r="Q84" s="560"/>
      <c r="R84" s="786"/>
      <c r="S84" s="786"/>
      <c r="T84" s="786"/>
      <c r="U84" s="786"/>
      <c r="V84" s="786"/>
      <c r="W84" s="786"/>
      <c r="X84" s="786"/>
      <c r="Y84" s="786"/>
      <c r="Z84" s="786"/>
      <c r="AA84" s="786"/>
      <c r="AB84" s="786"/>
      <c r="AC84" s="786"/>
      <c r="AD84" s="786"/>
      <c r="AE84" s="787"/>
      <c r="AF84" s="1295"/>
    </row>
    <row r="85" spans="1:32" x14ac:dyDescent="0.25">
      <c r="A85" s="554" t="s">
        <v>31</v>
      </c>
      <c r="B85" s="555">
        <v>23715.4</v>
      </c>
      <c r="C85" s="555">
        <v>23715.4</v>
      </c>
      <c r="D85" s="555">
        <v>23715.4</v>
      </c>
      <c r="E85" s="555">
        <v>21362.29</v>
      </c>
      <c r="F85" s="556">
        <f>IFERROR(E85/B85%,0)</f>
        <v>90.077713215885026</v>
      </c>
      <c r="G85" s="556">
        <f>IFERROR(E85/C85%,0)</f>
        <v>90.077713215885026</v>
      </c>
      <c r="H85" s="555">
        <v>0</v>
      </c>
      <c r="I85" s="555">
        <v>0</v>
      </c>
      <c r="J85" s="555">
        <f t="shared" ref="J85:O85" si="89">J86+J87+J88+J90</f>
        <v>0</v>
      </c>
      <c r="K85" s="555">
        <f t="shared" si="89"/>
        <v>0</v>
      </c>
      <c r="L85" s="555">
        <f t="shared" si="89"/>
        <v>594.1</v>
      </c>
      <c r="M85" s="555">
        <f t="shared" si="89"/>
        <v>594.1</v>
      </c>
      <c r="N85" s="555">
        <f t="shared" si="89"/>
        <v>0</v>
      </c>
      <c r="O85" s="555">
        <f t="shared" si="89"/>
        <v>0</v>
      </c>
      <c r="P85" s="555">
        <v>612.01</v>
      </c>
      <c r="Q85" s="555" t="s">
        <v>544</v>
      </c>
      <c r="R85" s="555">
        <f>R86+R87+R88+R90</f>
        <v>0</v>
      </c>
      <c r="S85" s="555">
        <v>597.01</v>
      </c>
      <c r="T85" s="555">
        <f>T86+T87+T88+T90</f>
        <v>0</v>
      </c>
      <c r="U85" s="555">
        <f>U86+U87+U88+U90</f>
        <v>0</v>
      </c>
      <c r="V85" s="555">
        <v>0</v>
      </c>
      <c r="W85" s="555">
        <f>W86+W87+W88+W90</f>
        <v>0</v>
      </c>
      <c r="X85" s="555">
        <f>X86+X87+X88+X90</f>
        <v>0</v>
      </c>
      <c r="Y85" s="555">
        <f>Y86+Y87+Y88+Y90</f>
        <v>0</v>
      </c>
      <c r="Z85" s="555">
        <v>22509.22</v>
      </c>
      <c r="AA85" s="555">
        <v>562.22</v>
      </c>
      <c r="AB85" s="555">
        <v>7.0000000000000007E-2</v>
      </c>
      <c r="AC85" s="555">
        <v>19066.52</v>
      </c>
      <c r="AD85" s="555">
        <v>0</v>
      </c>
      <c r="AE85" s="555">
        <v>527.44000000000005</v>
      </c>
      <c r="AF85" s="352"/>
    </row>
    <row r="86" spans="1:32" x14ac:dyDescent="0.25">
      <c r="A86" s="559" t="s">
        <v>169</v>
      </c>
      <c r="B86" s="560">
        <f>H86+J86+L86+N86+P86+R86+T86+V86+X86+Z86+AB86+AD86</f>
        <v>0</v>
      </c>
      <c r="C86" s="560">
        <f>H86</f>
        <v>0</v>
      </c>
      <c r="D86" s="560">
        <f>E86</f>
        <v>0</v>
      </c>
      <c r="E86" s="560">
        <f>I86+K86+M86+O86+Q86+S86+U86+W86+Y86+AA86+AC86+AE86</f>
        <v>0</v>
      </c>
      <c r="F86" s="561">
        <f>IFERROR(E86/B86%,0)</f>
        <v>0</v>
      </c>
      <c r="G86" s="561">
        <f>IFERROR(E86/C86%,0)</f>
        <v>0</v>
      </c>
      <c r="H86" s="562">
        <v>0</v>
      </c>
      <c r="I86" s="562">
        <v>0</v>
      </c>
      <c r="J86" s="562">
        <v>0</v>
      </c>
      <c r="K86" s="562">
        <v>0</v>
      </c>
      <c r="L86" s="562">
        <v>0</v>
      </c>
      <c r="M86" s="562">
        <v>0</v>
      </c>
      <c r="N86" s="562">
        <v>0</v>
      </c>
      <c r="O86" s="562">
        <v>0</v>
      </c>
      <c r="P86" s="562">
        <v>0</v>
      </c>
      <c r="Q86" s="562">
        <v>0</v>
      </c>
      <c r="R86" s="562">
        <v>0</v>
      </c>
      <c r="S86" s="562">
        <v>0</v>
      </c>
      <c r="T86" s="562">
        <v>0</v>
      </c>
      <c r="U86" s="562">
        <v>0</v>
      </c>
      <c r="V86" s="562">
        <v>0</v>
      </c>
      <c r="W86" s="562">
        <v>0</v>
      </c>
      <c r="X86" s="562">
        <v>0</v>
      </c>
      <c r="Y86" s="562">
        <v>0</v>
      </c>
      <c r="Z86" s="562">
        <v>0</v>
      </c>
      <c r="AA86" s="562">
        <v>0</v>
      </c>
      <c r="AB86" s="562">
        <v>0</v>
      </c>
      <c r="AC86" s="562">
        <v>0</v>
      </c>
      <c r="AD86" s="562">
        <v>0</v>
      </c>
      <c r="AE86" s="562">
        <v>0</v>
      </c>
      <c r="AF86" s="1296" t="s">
        <v>679</v>
      </c>
    </row>
    <row r="87" spans="1:32" x14ac:dyDescent="0.25">
      <c r="A87" s="559" t="s">
        <v>32</v>
      </c>
      <c r="B87" s="560">
        <f>H87+J87+L87+N87+P87+R87+T87+V87+X87+Z87+AB87+AD87</f>
        <v>0</v>
      </c>
      <c r="C87" s="560">
        <f>H87</f>
        <v>0</v>
      </c>
      <c r="D87" s="560">
        <f>E87</f>
        <v>0</v>
      </c>
      <c r="E87" s="560">
        <f>I87+K87+M87+O87+Q87+S87+U87+W87+Y87+AA87+AC87+AE87</f>
        <v>0</v>
      </c>
      <c r="F87" s="561">
        <f>IFERROR(E87/B87%,0)</f>
        <v>0</v>
      </c>
      <c r="G87" s="561">
        <f>IFERROR(E87/C87%,0)</f>
        <v>0</v>
      </c>
      <c r="H87" s="562">
        <v>0</v>
      </c>
      <c r="I87" s="562">
        <v>0</v>
      </c>
      <c r="J87" s="562">
        <v>0</v>
      </c>
      <c r="K87" s="562">
        <v>0</v>
      </c>
      <c r="L87" s="562">
        <v>0</v>
      </c>
      <c r="M87" s="562">
        <v>0</v>
      </c>
      <c r="N87" s="562">
        <v>0</v>
      </c>
      <c r="O87" s="562">
        <v>0</v>
      </c>
      <c r="P87" s="562">
        <v>0</v>
      </c>
      <c r="Q87" s="562">
        <v>0</v>
      </c>
      <c r="R87" s="562">
        <v>0</v>
      </c>
      <c r="S87" s="562">
        <v>0</v>
      </c>
      <c r="T87" s="562">
        <v>0</v>
      </c>
      <c r="U87" s="562">
        <v>0</v>
      </c>
      <c r="V87" s="562">
        <v>0</v>
      </c>
      <c r="W87" s="562">
        <v>0</v>
      </c>
      <c r="X87" s="562">
        <v>0</v>
      </c>
      <c r="Y87" s="562">
        <v>0</v>
      </c>
      <c r="Z87" s="562">
        <v>0</v>
      </c>
      <c r="AA87" s="562">
        <v>0</v>
      </c>
      <c r="AB87" s="562">
        <v>0</v>
      </c>
      <c r="AC87" s="562">
        <v>0</v>
      </c>
      <c r="AD87" s="562">
        <v>0</v>
      </c>
      <c r="AE87" s="562">
        <v>0</v>
      </c>
      <c r="AF87" s="1297"/>
    </row>
    <row r="88" spans="1:32" x14ac:dyDescent="0.25">
      <c r="A88" s="559" t="s">
        <v>33</v>
      </c>
      <c r="B88" s="555">
        <v>23715.4</v>
      </c>
      <c r="C88" s="555">
        <v>23715.4</v>
      </c>
      <c r="D88" s="555">
        <v>23715.4</v>
      </c>
      <c r="E88" s="555">
        <v>21362.29</v>
      </c>
      <c r="F88" s="556">
        <f>IFERROR(E88/B88%,0)</f>
        <v>90.077713215885026</v>
      </c>
      <c r="G88" s="556">
        <f>IFERROR(E88/C88%,0)</f>
        <v>90.077713215885026</v>
      </c>
      <c r="H88" s="562">
        <v>0</v>
      </c>
      <c r="I88" s="562">
        <v>0</v>
      </c>
      <c r="J88" s="562">
        <v>0</v>
      </c>
      <c r="K88" s="562">
        <v>0</v>
      </c>
      <c r="L88" s="562">
        <v>594.1</v>
      </c>
      <c r="M88" s="562">
        <v>594.1</v>
      </c>
      <c r="N88" s="562">
        <v>0</v>
      </c>
      <c r="O88" s="562">
        <v>0</v>
      </c>
      <c r="P88" s="555">
        <v>612.01</v>
      </c>
      <c r="Q88" s="555">
        <v>15</v>
      </c>
      <c r="R88" s="562">
        <v>0</v>
      </c>
      <c r="S88" s="562">
        <v>597.01</v>
      </c>
      <c r="T88" s="562">
        <v>0</v>
      </c>
      <c r="U88" s="562">
        <v>0</v>
      </c>
      <c r="V88" s="562">
        <v>0</v>
      </c>
      <c r="W88" s="562">
        <v>0</v>
      </c>
      <c r="X88" s="562">
        <v>0</v>
      </c>
      <c r="Y88" s="562">
        <v>0</v>
      </c>
      <c r="Z88" s="555">
        <v>22509.22</v>
      </c>
      <c r="AA88" s="555">
        <v>562.22</v>
      </c>
      <c r="AB88" s="555">
        <v>7.0000000000000007E-2</v>
      </c>
      <c r="AC88" s="555">
        <v>19066.52</v>
      </c>
      <c r="AD88" s="562">
        <v>0</v>
      </c>
      <c r="AE88" s="555">
        <v>527.44000000000005</v>
      </c>
      <c r="AF88" s="1297"/>
    </row>
    <row r="89" spans="1:32" ht="409.5" customHeight="1" x14ac:dyDescent="0.25">
      <c r="A89" s="563" t="s">
        <v>174</v>
      </c>
      <c r="B89" s="560">
        <f>H89+J89+L89+N89+P89+R89+T89+V89+X89+Z89+AB89+AD89</f>
        <v>0</v>
      </c>
      <c r="C89" s="560">
        <f>H89</f>
        <v>0</v>
      </c>
      <c r="D89" s="560">
        <f>E89</f>
        <v>0</v>
      </c>
      <c r="E89" s="560">
        <f>I89+K89+M89+O89+Q89+S89+U89+W89+Y89+AA89+AC89+AE89</f>
        <v>0</v>
      </c>
      <c r="F89" s="561">
        <f>IFERROR(E89/B89%,0)</f>
        <v>0</v>
      </c>
      <c r="G89" s="561">
        <f>IFERROR(E89/C89%,0)</f>
        <v>0</v>
      </c>
      <c r="H89" s="562">
        <v>0</v>
      </c>
      <c r="I89" s="562">
        <v>0</v>
      </c>
      <c r="J89" s="562">
        <v>0</v>
      </c>
      <c r="K89" s="562">
        <v>0</v>
      </c>
      <c r="L89" s="562">
        <v>0</v>
      </c>
      <c r="M89" s="562">
        <v>0</v>
      </c>
      <c r="N89" s="562">
        <v>0</v>
      </c>
      <c r="O89" s="562">
        <v>0</v>
      </c>
      <c r="P89" s="562">
        <v>0</v>
      </c>
      <c r="Q89" s="562">
        <v>0</v>
      </c>
      <c r="R89" s="562">
        <v>0</v>
      </c>
      <c r="S89" s="562">
        <v>0</v>
      </c>
      <c r="T89" s="562">
        <v>0</v>
      </c>
      <c r="U89" s="562">
        <v>0</v>
      </c>
      <c r="V89" s="562">
        <v>0</v>
      </c>
      <c r="W89" s="562">
        <v>0</v>
      </c>
      <c r="X89" s="562">
        <v>0</v>
      </c>
      <c r="Y89" s="562">
        <v>0</v>
      </c>
      <c r="Z89" s="562">
        <v>0</v>
      </c>
      <c r="AA89" s="562">
        <v>0</v>
      </c>
      <c r="AB89" s="562">
        <v>0</v>
      </c>
      <c r="AC89" s="562">
        <v>0</v>
      </c>
      <c r="AD89" s="562">
        <v>0</v>
      </c>
      <c r="AE89" s="562">
        <v>0</v>
      </c>
      <c r="AF89" s="1297"/>
    </row>
    <row r="90" spans="1:32" x14ac:dyDescent="0.25">
      <c r="A90" s="785" t="s">
        <v>545</v>
      </c>
      <c r="B90" s="786"/>
      <c r="C90" s="786"/>
      <c r="D90" s="786"/>
      <c r="E90" s="786"/>
      <c r="F90" s="786"/>
      <c r="G90" s="786"/>
      <c r="H90" s="786"/>
      <c r="I90" s="786"/>
      <c r="J90" s="786"/>
      <c r="K90" s="786"/>
      <c r="L90" s="786"/>
      <c r="M90" s="786"/>
      <c r="N90" s="786"/>
      <c r="O90" s="786"/>
      <c r="P90" s="786"/>
      <c r="Q90" s="786"/>
      <c r="R90" s="786"/>
      <c r="S90" s="786"/>
      <c r="T90" s="786"/>
      <c r="U90" s="786"/>
      <c r="V90" s="786"/>
      <c r="W90" s="786"/>
      <c r="X90" s="786"/>
      <c r="Y90" s="786"/>
      <c r="Z90" s="786"/>
      <c r="AA90" s="786"/>
      <c r="AB90" s="786"/>
      <c r="AC90" s="786"/>
      <c r="AD90" s="786"/>
      <c r="AE90" s="787"/>
      <c r="AF90" s="1297"/>
    </row>
    <row r="91" spans="1:32" x14ac:dyDescent="0.25">
      <c r="A91" s="554" t="s">
        <v>31</v>
      </c>
      <c r="B91" s="555">
        <v>799.1</v>
      </c>
      <c r="C91" s="555">
        <v>799.07</v>
      </c>
      <c r="D91" s="555">
        <v>799.07</v>
      </c>
      <c r="E91" s="555">
        <v>799.07</v>
      </c>
      <c r="F91" s="556">
        <f t="shared" ref="F91:F96" si="90">IFERROR(E91/B91%,0)</f>
        <v>99.996245776498554</v>
      </c>
      <c r="G91" s="556">
        <f t="shared" ref="G91:G96" si="91">IFERROR(E91/C91%,0)</f>
        <v>100</v>
      </c>
      <c r="H91" s="555">
        <v>0</v>
      </c>
      <c r="I91" s="555">
        <v>0</v>
      </c>
      <c r="J91" s="555">
        <f t="shared" ref="J91:O91" si="92">J92+J93+J94+J96</f>
        <v>0</v>
      </c>
      <c r="K91" s="555">
        <f t="shared" si="92"/>
        <v>0</v>
      </c>
      <c r="L91" s="555">
        <v>0</v>
      </c>
      <c r="M91" s="555">
        <v>0</v>
      </c>
      <c r="N91" s="555">
        <f t="shared" si="92"/>
        <v>0</v>
      </c>
      <c r="O91" s="555">
        <f t="shared" si="92"/>
        <v>0</v>
      </c>
      <c r="P91" s="555">
        <v>0</v>
      </c>
      <c r="Q91" s="555">
        <v>0</v>
      </c>
      <c r="R91" s="555">
        <v>0</v>
      </c>
      <c r="S91" s="555">
        <v>0</v>
      </c>
      <c r="T91" s="555">
        <f>T92+T93+T94+T96</f>
        <v>0</v>
      </c>
      <c r="U91" s="555">
        <f>U92+U93+U94+U96</f>
        <v>0</v>
      </c>
      <c r="V91" s="555">
        <v>0</v>
      </c>
      <c r="W91" s="555">
        <f>W92+W93+W94+W96</f>
        <v>0</v>
      </c>
      <c r="X91" s="555">
        <f>X92+X93+X94+X96</f>
        <v>0</v>
      </c>
      <c r="Y91" s="555">
        <f>Y92+Y93+Y94+Y96</f>
        <v>0</v>
      </c>
      <c r="Z91" s="555">
        <v>799.07</v>
      </c>
      <c r="AA91" s="555">
        <v>799.07</v>
      </c>
      <c r="AB91" s="555">
        <f>AB92+AB93+AB94+AB96</f>
        <v>0</v>
      </c>
      <c r="AC91" s="555">
        <f>AC92+AC93+AC94+AC96</f>
        <v>0</v>
      </c>
      <c r="AD91" s="555">
        <v>0.03</v>
      </c>
      <c r="AE91" s="555">
        <f>AE92+AE93+AE94+AE96</f>
        <v>0</v>
      </c>
      <c r="AF91" s="352"/>
    </row>
    <row r="92" spans="1:32" x14ac:dyDescent="0.25">
      <c r="A92" s="559" t="s">
        <v>169</v>
      </c>
      <c r="B92" s="560">
        <f>H92+J92+L92+N92+P92+R92+T92+V92+X92+Z92+AB92+AD92</f>
        <v>0</v>
      </c>
      <c r="C92" s="560">
        <f>H92</f>
        <v>0</v>
      </c>
      <c r="D92" s="560">
        <f>E92</f>
        <v>0</v>
      </c>
      <c r="E92" s="560">
        <f>I92+K92+M92+O92+Q92+S92+U92+W92+Y92+AA92+AC92+AE92</f>
        <v>0</v>
      </c>
      <c r="F92" s="561">
        <f t="shared" si="90"/>
        <v>0</v>
      </c>
      <c r="G92" s="561">
        <f t="shared" si="91"/>
        <v>0</v>
      </c>
      <c r="H92" s="562">
        <v>0</v>
      </c>
      <c r="I92" s="562">
        <v>0</v>
      </c>
      <c r="J92" s="562">
        <v>0</v>
      </c>
      <c r="K92" s="562">
        <v>0</v>
      </c>
      <c r="L92" s="562">
        <v>0</v>
      </c>
      <c r="M92" s="562">
        <v>0</v>
      </c>
      <c r="N92" s="562">
        <v>0</v>
      </c>
      <c r="O92" s="562">
        <v>0</v>
      </c>
      <c r="P92" s="555">
        <v>0</v>
      </c>
      <c r="Q92" s="555">
        <v>0</v>
      </c>
      <c r="R92" s="555">
        <v>0</v>
      </c>
      <c r="S92" s="555">
        <v>0</v>
      </c>
      <c r="T92" s="562">
        <v>0</v>
      </c>
      <c r="U92" s="562">
        <v>0</v>
      </c>
      <c r="V92" s="562">
        <v>0</v>
      </c>
      <c r="W92" s="562">
        <v>0</v>
      </c>
      <c r="X92" s="562">
        <v>0</v>
      </c>
      <c r="Y92" s="562">
        <v>0</v>
      </c>
      <c r="Z92" s="562">
        <v>0</v>
      </c>
      <c r="AA92" s="562">
        <v>0</v>
      </c>
      <c r="AB92" s="562">
        <v>0</v>
      </c>
      <c r="AC92" s="562">
        <v>0</v>
      </c>
      <c r="AD92" s="562">
        <v>0</v>
      </c>
      <c r="AE92" s="562">
        <v>0</v>
      </c>
      <c r="AF92" s="1296" t="s">
        <v>649</v>
      </c>
    </row>
    <row r="93" spans="1:32" x14ac:dyDescent="0.25">
      <c r="A93" s="559" t="s">
        <v>32</v>
      </c>
      <c r="B93" s="560">
        <f>H93+J93+L93+N93+P93+R93+T93+V93+X93+Z93+AB93+AD93</f>
        <v>0</v>
      </c>
      <c r="C93" s="560">
        <f>H93</f>
        <v>0</v>
      </c>
      <c r="D93" s="560">
        <f>E93</f>
        <v>0</v>
      </c>
      <c r="E93" s="560">
        <f>I93+K93+M93+O93+Q93+S93+U93+W93+Y93+AA93+AC93+AE93</f>
        <v>0</v>
      </c>
      <c r="F93" s="561">
        <f t="shared" si="90"/>
        <v>0</v>
      </c>
      <c r="G93" s="561">
        <f t="shared" si="91"/>
        <v>0</v>
      </c>
      <c r="H93" s="562">
        <v>0</v>
      </c>
      <c r="I93" s="562">
        <v>0</v>
      </c>
      <c r="J93" s="562">
        <v>0</v>
      </c>
      <c r="K93" s="562">
        <v>0</v>
      </c>
      <c r="L93" s="562">
        <v>0</v>
      </c>
      <c r="M93" s="562">
        <v>0</v>
      </c>
      <c r="N93" s="562">
        <v>0</v>
      </c>
      <c r="O93" s="562">
        <v>0</v>
      </c>
      <c r="P93" s="555">
        <v>0</v>
      </c>
      <c r="Q93" s="555">
        <v>0</v>
      </c>
      <c r="R93" s="555">
        <v>0</v>
      </c>
      <c r="S93" s="555">
        <v>0</v>
      </c>
      <c r="T93" s="562">
        <v>0</v>
      </c>
      <c r="U93" s="562">
        <v>0</v>
      </c>
      <c r="V93" s="562">
        <v>0</v>
      </c>
      <c r="W93" s="562">
        <v>0</v>
      </c>
      <c r="X93" s="562">
        <v>0</v>
      </c>
      <c r="Y93" s="562">
        <v>0</v>
      </c>
      <c r="Z93" s="562">
        <v>0</v>
      </c>
      <c r="AA93" s="562">
        <v>0</v>
      </c>
      <c r="AB93" s="562">
        <v>0</v>
      </c>
      <c r="AC93" s="562">
        <v>0</v>
      </c>
      <c r="AD93" s="562">
        <v>0</v>
      </c>
      <c r="AE93" s="562">
        <v>0</v>
      </c>
      <c r="AF93" s="1297"/>
    </row>
    <row r="94" spans="1:32" x14ac:dyDescent="0.25">
      <c r="A94" s="559" t="s">
        <v>33</v>
      </c>
      <c r="B94" s="560">
        <v>799.1</v>
      </c>
      <c r="C94" s="555">
        <v>799.07</v>
      </c>
      <c r="D94" s="555">
        <v>799.07</v>
      </c>
      <c r="E94" s="555">
        <v>799.07</v>
      </c>
      <c r="F94" s="561">
        <f t="shared" si="90"/>
        <v>99.996245776498554</v>
      </c>
      <c r="G94" s="561">
        <f t="shared" si="91"/>
        <v>100</v>
      </c>
      <c r="H94" s="562">
        <v>0</v>
      </c>
      <c r="I94" s="562">
        <v>0</v>
      </c>
      <c r="J94" s="562">
        <v>0</v>
      </c>
      <c r="K94" s="562">
        <v>0</v>
      </c>
      <c r="L94" s="562">
        <v>0</v>
      </c>
      <c r="M94" s="562">
        <v>0</v>
      </c>
      <c r="N94" s="562">
        <v>0</v>
      </c>
      <c r="O94" s="562">
        <v>0</v>
      </c>
      <c r="P94" s="555">
        <v>0</v>
      </c>
      <c r="Q94" s="555">
        <v>0</v>
      </c>
      <c r="R94" s="555">
        <v>0</v>
      </c>
      <c r="S94" s="555">
        <v>0</v>
      </c>
      <c r="T94" s="562">
        <v>0</v>
      </c>
      <c r="U94" s="562">
        <v>0</v>
      </c>
      <c r="V94" s="562">
        <v>0</v>
      </c>
      <c r="W94" s="562">
        <v>0</v>
      </c>
      <c r="X94" s="562">
        <v>0</v>
      </c>
      <c r="Y94" s="562">
        <v>0</v>
      </c>
      <c r="Z94" s="555">
        <v>799.07</v>
      </c>
      <c r="AA94" s="555">
        <v>799.07</v>
      </c>
      <c r="AB94" s="562">
        <v>0</v>
      </c>
      <c r="AC94" s="562">
        <v>0</v>
      </c>
      <c r="AD94" s="555">
        <v>0.03</v>
      </c>
      <c r="AE94" s="562">
        <v>0</v>
      </c>
      <c r="AF94" s="1297"/>
    </row>
    <row r="95" spans="1:32" ht="31.5" x14ac:dyDescent="0.25">
      <c r="A95" s="563" t="s">
        <v>174</v>
      </c>
      <c r="B95" s="560">
        <f>H95+J95+L95+N95+P95+R95+T95+V95+X95+Z95+AB95+AD95</f>
        <v>0</v>
      </c>
      <c r="C95" s="560">
        <f>H95</f>
        <v>0</v>
      </c>
      <c r="D95" s="560">
        <f>E95</f>
        <v>0</v>
      </c>
      <c r="E95" s="560">
        <f>I95+K95+M95+O95+Q95+S95+U95+W95+Y95+AA95+AC95+AE95</f>
        <v>0</v>
      </c>
      <c r="F95" s="561">
        <f t="shared" si="90"/>
        <v>0</v>
      </c>
      <c r="G95" s="561">
        <f t="shared" si="91"/>
        <v>0</v>
      </c>
      <c r="H95" s="562">
        <v>0</v>
      </c>
      <c r="I95" s="562">
        <v>0</v>
      </c>
      <c r="J95" s="562">
        <v>0</v>
      </c>
      <c r="K95" s="562">
        <v>0</v>
      </c>
      <c r="L95" s="562">
        <v>0</v>
      </c>
      <c r="M95" s="562">
        <v>0</v>
      </c>
      <c r="N95" s="562">
        <v>0</v>
      </c>
      <c r="O95" s="562">
        <v>0</v>
      </c>
      <c r="P95" s="555">
        <v>0</v>
      </c>
      <c r="Q95" s="555">
        <v>0</v>
      </c>
      <c r="R95" s="555">
        <v>0</v>
      </c>
      <c r="S95" s="555">
        <v>0</v>
      </c>
      <c r="T95" s="562">
        <v>0</v>
      </c>
      <c r="U95" s="562">
        <v>0</v>
      </c>
      <c r="V95" s="562">
        <v>0</v>
      </c>
      <c r="W95" s="562">
        <v>0</v>
      </c>
      <c r="X95" s="562">
        <v>0</v>
      </c>
      <c r="Y95" s="562">
        <v>0</v>
      </c>
      <c r="Z95" s="562">
        <v>0</v>
      </c>
      <c r="AA95" s="562">
        <v>0</v>
      </c>
      <c r="AB95" s="562">
        <v>0</v>
      </c>
      <c r="AC95" s="562">
        <v>0</v>
      </c>
      <c r="AD95" s="562">
        <v>0</v>
      </c>
      <c r="AE95" s="562">
        <v>0</v>
      </c>
      <c r="AF95" s="1297"/>
    </row>
    <row r="96" spans="1:32" x14ac:dyDescent="0.25">
      <c r="A96" s="559" t="s">
        <v>374</v>
      </c>
      <c r="B96" s="560">
        <f>H96+J96+L96+N96+P96+R96+T96+V96+X96+Z96+AB96+AD96</f>
        <v>0</v>
      </c>
      <c r="C96" s="560">
        <f>H96</f>
        <v>0</v>
      </c>
      <c r="D96" s="560">
        <f>E96</f>
        <v>0</v>
      </c>
      <c r="E96" s="560">
        <f>I96+K96+M96+O96+Q96+S96+U96+W96+Y96+AA96+AC96+AE96</f>
        <v>0</v>
      </c>
      <c r="F96" s="561">
        <f t="shared" si="90"/>
        <v>0</v>
      </c>
      <c r="G96" s="561">
        <f t="shared" si="91"/>
        <v>0</v>
      </c>
      <c r="H96" s="562">
        <v>0</v>
      </c>
      <c r="I96" s="562">
        <v>0</v>
      </c>
      <c r="J96" s="562">
        <v>0</v>
      </c>
      <c r="K96" s="562">
        <v>0</v>
      </c>
      <c r="L96" s="562">
        <v>0</v>
      </c>
      <c r="M96" s="562">
        <v>0</v>
      </c>
      <c r="N96" s="562">
        <v>0</v>
      </c>
      <c r="O96" s="562">
        <v>0</v>
      </c>
      <c r="P96" s="562">
        <v>0</v>
      </c>
      <c r="Q96" s="562">
        <v>0</v>
      </c>
      <c r="R96" s="562">
        <v>0</v>
      </c>
      <c r="S96" s="562">
        <v>0</v>
      </c>
      <c r="T96" s="562">
        <v>0</v>
      </c>
      <c r="U96" s="562">
        <v>0</v>
      </c>
      <c r="V96" s="562">
        <v>0</v>
      </c>
      <c r="W96" s="562">
        <v>0</v>
      </c>
      <c r="X96" s="562">
        <v>0</v>
      </c>
      <c r="Y96" s="562">
        <v>0</v>
      </c>
      <c r="Z96" s="562">
        <v>0</v>
      </c>
      <c r="AA96" s="562">
        <v>0</v>
      </c>
      <c r="AB96" s="562">
        <v>0</v>
      </c>
      <c r="AC96" s="562">
        <v>0</v>
      </c>
      <c r="AD96" s="562">
        <v>0</v>
      </c>
      <c r="AE96" s="562">
        <v>0</v>
      </c>
      <c r="AF96" s="1297"/>
    </row>
    <row r="97" spans="1:32" ht="42" customHeight="1" x14ac:dyDescent="0.25">
      <c r="A97" s="785" t="s">
        <v>546</v>
      </c>
      <c r="B97" s="786"/>
      <c r="C97" s="786"/>
      <c r="D97" s="786"/>
      <c r="E97" s="786"/>
      <c r="F97" s="786"/>
      <c r="G97" s="786"/>
      <c r="H97" s="786"/>
      <c r="I97" s="786"/>
      <c r="J97" s="786"/>
      <c r="K97" s="786"/>
      <c r="L97" s="786"/>
      <c r="M97" s="786"/>
      <c r="N97" s="786"/>
      <c r="O97" s="786"/>
      <c r="P97" s="786"/>
      <c r="Q97" s="786"/>
      <c r="R97" s="786"/>
      <c r="S97" s="786"/>
      <c r="T97" s="786"/>
      <c r="U97" s="786"/>
      <c r="V97" s="786"/>
      <c r="W97" s="786"/>
      <c r="X97" s="786"/>
      <c r="Y97" s="786"/>
      <c r="Z97" s="786"/>
      <c r="AA97" s="786"/>
      <c r="AB97" s="786"/>
      <c r="AC97" s="786"/>
      <c r="AD97" s="786"/>
      <c r="AE97" s="787"/>
      <c r="AF97" s="791"/>
    </row>
    <row r="98" spans="1:32" ht="126.75" customHeight="1" x14ac:dyDescent="0.25">
      <c r="A98" s="554" t="s">
        <v>31</v>
      </c>
      <c r="B98" s="555">
        <v>874</v>
      </c>
      <c r="C98" s="555">
        <v>873.97</v>
      </c>
      <c r="D98" s="555">
        <v>873.97</v>
      </c>
      <c r="E98" s="555">
        <v>873.97</v>
      </c>
      <c r="F98" s="556">
        <f t="shared" ref="F98:F103" si="93">IFERROR(E98/B98%,0)</f>
        <v>99.996567505720819</v>
      </c>
      <c r="G98" s="556">
        <f t="shared" ref="G98:G103" si="94">IFERROR(E98/C98%,0)</f>
        <v>99.999999999999986</v>
      </c>
      <c r="H98" s="555">
        <v>0</v>
      </c>
      <c r="I98" s="555">
        <v>0</v>
      </c>
      <c r="J98" s="555">
        <f>J99+J100+J101+J103</f>
        <v>0</v>
      </c>
      <c r="K98" s="555">
        <f>K99+K100+K101+K103</f>
        <v>0</v>
      </c>
      <c r="L98" s="555">
        <v>0</v>
      </c>
      <c r="M98" s="555">
        <v>0</v>
      </c>
      <c r="N98" s="555">
        <f>N99+N100+N101+N103</f>
        <v>0</v>
      </c>
      <c r="O98" s="555">
        <f>O99+O100+O101+O103</f>
        <v>0</v>
      </c>
      <c r="P98" s="555">
        <v>0</v>
      </c>
      <c r="Q98" s="555" t="s">
        <v>463</v>
      </c>
      <c r="R98" s="555">
        <f>R99+R100+R101+R103</f>
        <v>0</v>
      </c>
      <c r="S98" s="555">
        <f>S99+S100+S101+S103</f>
        <v>0</v>
      </c>
      <c r="T98" s="555">
        <v>278.97000000000003</v>
      </c>
      <c r="U98" s="555">
        <v>278.97000000000003</v>
      </c>
      <c r="V98" s="555">
        <v>595</v>
      </c>
      <c r="W98" s="555">
        <v>595</v>
      </c>
      <c r="X98" s="555">
        <f>X99+X100+X101+X103</f>
        <v>0</v>
      </c>
      <c r="Y98" s="555">
        <f>Y99+Y100+Y101+Y103</f>
        <v>0</v>
      </c>
      <c r="Z98" s="555">
        <v>0</v>
      </c>
      <c r="AA98" s="555">
        <f>AA99+AA100+AA101+AA103</f>
        <v>0</v>
      </c>
      <c r="AB98" s="555">
        <v>0</v>
      </c>
      <c r="AC98" s="555">
        <f>AC99+AC100+AC101+AC103</f>
        <v>0</v>
      </c>
      <c r="AD98" s="555">
        <v>0.03</v>
      </c>
      <c r="AE98" s="555">
        <v>0.03</v>
      </c>
      <c r="AF98" s="792" t="s">
        <v>625</v>
      </c>
    </row>
    <row r="99" spans="1:32" x14ac:dyDescent="0.25">
      <c r="A99" s="559" t="s">
        <v>169</v>
      </c>
      <c r="B99" s="560">
        <f>H99+J99+L99+N99+P99+R99+T99+V99+X99+Z99+AB99+AD99</f>
        <v>0</v>
      </c>
      <c r="C99" s="560">
        <f>H99</f>
        <v>0</v>
      </c>
      <c r="D99" s="560">
        <f>E99</f>
        <v>0</v>
      </c>
      <c r="E99" s="560">
        <f>I99+K99+M99+O99+Q99+S99+U99+W99+Y99+AA99+AC99+AE99</f>
        <v>0</v>
      </c>
      <c r="F99" s="561">
        <f t="shared" si="93"/>
        <v>0</v>
      </c>
      <c r="G99" s="561">
        <f t="shared" si="94"/>
        <v>0</v>
      </c>
      <c r="H99" s="562">
        <v>0</v>
      </c>
      <c r="I99" s="562">
        <v>0</v>
      </c>
      <c r="J99" s="562">
        <v>0</v>
      </c>
      <c r="K99" s="562">
        <v>0</v>
      </c>
      <c r="L99" s="562">
        <v>0</v>
      </c>
      <c r="M99" s="562">
        <v>0</v>
      </c>
      <c r="N99" s="562">
        <v>0</v>
      </c>
      <c r="O99" s="562">
        <v>0</v>
      </c>
      <c r="P99" s="562">
        <v>0</v>
      </c>
      <c r="Q99" s="562">
        <v>0</v>
      </c>
      <c r="R99" s="562">
        <v>0</v>
      </c>
      <c r="S99" s="562">
        <v>0</v>
      </c>
      <c r="T99" s="562">
        <v>0</v>
      </c>
      <c r="U99" s="562">
        <v>0</v>
      </c>
      <c r="V99" s="562">
        <v>0</v>
      </c>
      <c r="W99" s="562">
        <v>0</v>
      </c>
      <c r="X99" s="562">
        <v>0</v>
      </c>
      <c r="Y99" s="562">
        <v>0</v>
      </c>
      <c r="Z99" s="562">
        <v>0</v>
      </c>
      <c r="AA99" s="562">
        <v>0</v>
      </c>
      <c r="AB99" s="562">
        <v>0</v>
      </c>
      <c r="AC99" s="562">
        <v>0</v>
      </c>
      <c r="AD99" s="562">
        <v>0</v>
      </c>
      <c r="AE99" s="562">
        <v>0</v>
      </c>
      <c r="AF99" s="791"/>
    </row>
    <row r="100" spans="1:32" x14ac:dyDescent="0.25">
      <c r="A100" s="559" t="s">
        <v>32</v>
      </c>
      <c r="B100" s="560">
        <f>H100+J100+L100+N100+P100+R100+T100+V100+X100+Z100+AB100+AD100</f>
        <v>0</v>
      </c>
      <c r="C100" s="560">
        <f>H100</f>
        <v>0</v>
      </c>
      <c r="D100" s="560">
        <f>E100</f>
        <v>0</v>
      </c>
      <c r="E100" s="560">
        <f>I100+K100+M100+O100+Q100+S100+U100+W100+Y100+AA100+AC100+AE100</f>
        <v>0</v>
      </c>
      <c r="F100" s="561">
        <f t="shared" si="93"/>
        <v>0</v>
      </c>
      <c r="G100" s="561">
        <f t="shared" si="94"/>
        <v>0</v>
      </c>
      <c r="H100" s="562">
        <v>0</v>
      </c>
      <c r="I100" s="562">
        <v>0</v>
      </c>
      <c r="J100" s="562">
        <v>0</v>
      </c>
      <c r="K100" s="562">
        <v>0</v>
      </c>
      <c r="L100" s="562">
        <v>0</v>
      </c>
      <c r="M100" s="562">
        <v>0</v>
      </c>
      <c r="N100" s="562">
        <v>0</v>
      </c>
      <c r="O100" s="562">
        <v>0</v>
      </c>
      <c r="P100" s="562">
        <v>0</v>
      </c>
      <c r="Q100" s="562">
        <v>0</v>
      </c>
      <c r="R100" s="562">
        <v>0</v>
      </c>
      <c r="S100" s="562">
        <v>0</v>
      </c>
      <c r="T100" s="562">
        <v>0</v>
      </c>
      <c r="U100" s="562">
        <v>0</v>
      </c>
      <c r="V100" s="562">
        <v>0</v>
      </c>
      <c r="W100" s="562">
        <v>0</v>
      </c>
      <c r="X100" s="562">
        <v>0</v>
      </c>
      <c r="Y100" s="562">
        <v>0</v>
      </c>
      <c r="Z100" s="562">
        <v>0</v>
      </c>
      <c r="AA100" s="562">
        <v>0</v>
      </c>
      <c r="AB100" s="562">
        <v>0</v>
      </c>
      <c r="AC100" s="562">
        <v>0</v>
      </c>
      <c r="AD100" s="562">
        <v>0</v>
      </c>
      <c r="AE100" s="562">
        <v>0</v>
      </c>
      <c r="AF100" s="791"/>
    </row>
    <row r="101" spans="1:32" x14ac:dyDescent="0.25">
      <c r="A101" s="559" t="s">
        <v>33</v>
      </c>
      <c r="B101" s="555">
        <v>874</v>
      </c>
      <c r="C101" s="555">
        <v>873.97</v>
      </c>
      <c r="D101" s="555">
        <v>873.97</v>
      </c>
      <c r="E101" s="555">
        <v>873.97</v>
      </c>
      <c r="F101" s="561">
        <f t="shared" si="93"/>
        <v>99.996567505720819</v>
      </c>
      <c r="G101" s="561">
        <f t="shared" si="94"/>
        <v>99.999999999999986</v>
      </c>
      <c r="H101" s="562">
        <v>0</v>
      </c>
      <c r="I101" s="562">
        <v>0</v>
      </c>
      <c r="J101" s="562">
        <v>0</v>
      </c>
      <c r="K101" s="562">
        <v>0</v>
      </c>
      <c r="L101" s="562">
        <v>0</v>
      </c>
      <c r="M101" s="562">
        <v>0</v>
      </c>
      <c r="N101" s="562">
        <v>0</v>
      </c>
      <c r="O101" s="562">
        <v>0</v>
      </c>
      <c r="P101" s="562">
        <v>0</v>
      </c>
      <c r="Q101" s="555">
        <v>0</v>
      </c>
      <c r="R101" s="562">
        <v>0</v>
      </c>
      <c r="S101" s="562">
        <v>0</v>
      </c>
      <c r="T101" s="555">
        <v>278.97000000000003</v>
      </c>
      <c r="U101" s="555">
        <v>278.97000000000003</v>
      </c>
      <c r="V101" s="555">
        <v>595</v>
      </c>
      <c r="W101" s="555">
        <v>595</v>
      </c>
      <c r="X101" s="562">
        <v>0</v>
      </c>
      <c r="Y101" s="562">
        <v>0</v>
      </c>
      <c r="Z101" s="562">
        <v>0</v>
      </c>
      <c r="AA101" s="562">
        <v>0</v>
      </c>
      <c r="AB101" s="562">
        <v>0</v>
      </c>
      <c r="AC101" s="562">
        <v>0</v>
      </c>
      <c r="AD101" s="562">
        <v>0.03</v>
      </c>
      <c r="AE101" s="555">
        <v>0.03</v>
      </c>
      <c r="AF101" s="791"/>
    </row>
    <row r="102" spans="1:32" ht="31.5" x14ac:dyDescent="0.25">
      <c r="A102" s="563" t="s">
        <v>174</v>
      </c>
      <c r="B102" s="560">
        <f>H102+J102+L102+N102+P102+R102+T102+V102+X102+Z102+AB102+AD102</f>
        <v>0</v>
      </c>
      <c r="C102" s="560">
        <f>H102</f>
        <v>0</v>
      </c>
      <c r="D102" s="560">
        <f>E102</f>
        <v>0</v>
      </c>
      <c r="E102" s="560">
        <f>I102+K102+M102+O102+Q102+S102+U102+W102+Y102+AA102+AC102+AE102</f>
        <v>0</v>
      </c>
      <c r="F102" s="561">
        <f t="shared" si="93"/>
        <v>0</v>
      </c>
      <c r="G102" s="561">
        <f t="shared" si="94"/>
        <v>0</v>
      </c>
      <c r="H102" s="562">
        <v>0</v>
      </c>
      <c r="I102" s="562">
        <v>0</v>
      </c>
      <c r="J102" s="562">
        <v>0</v>
      </c>
      <c r="K102" s="562">
        <v>0</v>
      </c>
      <c r="L102" s="562">
        <v>0</v>
      </c>
      <c r="M102" s="562">
        <v>0</v>
      </c>
      <c r="N102" s="562">
        <v>0</v>
      </c>
      <c r="O102" s="562">
        <v>0</v>
      </c>
      <c r="P102" s="562">
        <v>0</v>
      </c>
      <c r="Q102" s="562">
        <v>0</v>
      </c>
      <c r="R102" s="562">
        <v>0</v>
      </c>
      <c r="S102" s="562">
        <v>0</v>
      </c>
      <c r="T102" s="562">
        <v>0</v>
      </c>
      <c r="U102" s="562">
        <v>0</v>
      </c>
      <c r="V102" s="562">
        <v>0</v>
      </c>
      <c r="W102" s="562">
        <v>0</v>
      </c>
      <c r="X102" s="562">
        <v>0</v>
      </c>
      <c r="Y102" s="562">
        <v>0</v>
      </c>
      <c r="Z102" s="562">
        <v>0</v>
      </c>
      <c r="AA102" s="562">
        <v>0</v>
      </c>
      <c r="AB102" s="562">
        <v>0</v>
      </c>
      <c r="AC102" s="562">
        <v>0</v>
      </c>
      <c r="AD102" s="562">
        <v>0</v>
      </c>
      <c r="AE102" s="562">
        <v>0</v>
      </c>
      <c r="AF102" s="791"/>
    </row>
    <row r="103" spans="1:32" x14ac:dyDescent="0.25">
      <c r="A103" s="559" t="s">
        <v>374</v>
      </c>
      <c r="B103" s="560">
        <f>H103+J103+L103+N103+P103+R103+T103+V103+X103+Z103+AB103+AD103</f>
        <v>0</v>
      </c>
      <c r="C103" s="560">
        <f>H103</f>
        <v>0</v>
      </c>
      <c r="D103" s="560">
        <f>E103</f>
        <v>0</v>
      </c>
      <c r="E103" s="560">
        <f>I103+K103+M103+O103+Q103+S103+U103+W103+Y103+AA103+AC103+AE103</f>
        <v>0</v>
      </c>
      <c r="F103" s="561">
        <f t="shared" si="93"/>
        <v>0</v>
      </c>
      <c r="G103" s="561">
        <f t="shared" si="94"/>
        <v>0</v>
      </c>
      <c r="H103" s="562">
        <v>0</v>
      </c>
      <c r="I103" s="562">
        <v>0</v>
      </c>
      <c r="J103" s="562">
        <v>0</v>
      </c>
      <c r="K103" s="562">
        <v>0</v>
      </c>
      <c r="L103" s="562">
        <v>0</v>
      </c>
      <c r="M103" s="562">
        <v>0</v>
      </c>
      <c r="N103" s="562">
        <v>0</v>
      </c>
      <c r="O103" s="562">
        <v>0</v>
      </c>
      <c r="P103" s="562">
        <v>0</v>
      </c>
      <c r="Q103" s="562">
        <v>0</v>
      </c>
      <c r="R103" s="562">
        <v>0</v>
      </c>
      <c r="S103" s="562">
        <v>0</v>
      </c>
      <c r="T103" s="562">
        <v>0</v>
      </c>
      <c r="U103" s="562">
        <v>0</v>
      </c>
      <c r="V103" s="562">
        <v>0</v>
      </c>
      <c r="W103" s="562">
        <v>0</v>
      </c>
      <c r="X103" s="562">
        <v>0</v>
      </c>
      <c r="Y103" s="562">
        <v>0</v>
      </c>
      <c r="Z103" s="562">
        <v>0</v>
      </c>
      <c r="AA103" s="562">
        <v>0</v>
      </c>
      <c r="AB103" s="562">
        <v>0</v>
      </c>
      <c r="AC103" s="562">
        <v>0</v>
      </c>
      <c r="AD103" s="562">
        <v>0</v>
      </c>
      <c r="AE103" s="562">
        <v>0</v>
      </c>
      <c r="AF103" s="791"/>
    </row>
    <row r="104" spans="1:32" x14ac:dyDescent="0.25">
      <c r="A104" s="785" t="s">
        <v>619</v>
      </c>
      <c r="B104" s="786"/>
      <c r="C104" s="786"/>
      <c r="D104" s="786"/>
      <c r="E104" s="786"/>
      <c r="F104" s="786"/>
      <c r="G104" s="786"/>
      <c r="H104" s="786"/>
      <c r="I104" s="786"/>
      <c r="J104" s="786"/>
      <c r="K104" s="786"/>
      <c r="L104" s="786"/>
      <c r="M104" s="786"/>
      <c r="N104" s="786"/>
      <c r="O104" s="786"/>
      <c r="P104" s="786"/>
      <c r="Q104" s="786"/>
      <c r="R104" s="786"/>
      <c r="S104" s="786"/>
      <c r="T104" s="786"/>
      <c r="U104" s="786"/>
      <c r="V104" s="786"/>
      <c r="W104" s="786"/>
      <c r="X104" s="786"/>
      <c r="Y104" s="786"/>
      <c r="Z104" s="786"/>
      <c r="AA104" s="786"/>
      <c r="AB104" s="786"/>
      <c r="AC104" s="786"/>
      <c r="AD104" s="786"/>
      <c r="AE104" s="787"/>
      <c r="AF104" s="791"/>
    </row>
    <row r="105" spans="1:32" ht="40.5" customHeight="1" x14ac:dyDescent="0.25">
      <c r="A105" s="554" t="s">
        <v>31</v>
      </c>
      <c r="B105" s="556">
        <v>180</v>
      </c>
      <c r="C105" s="556">
        <v>180</v>
      </c>
      <c r="D105" s="556">
        <v>180</v>
      </c>
      <c r="E105" s="556">
        <v>180</v>
      </c>
      <c r="F105" s="556">
        <f>IFERROR(E105/B105%,0)</f>
        <v>100</v>
      </c>
      <c r="G105" s="561">
        <v>100</v>
      </c>
      <c r="H105" s="555">
        <v>0</v>
      </c>
      <c r="I105" s="555">
        <v>0</v>
      </c>
      <c r="J105" s="555">
        <f>J106+J107+J108+J110</f>
        <v>0</v>
      </c>
      <c r="K105" s="555">
        <f>K106+K107+K108+K110</f>
        <v>0</v>
      </c>
      <c r="L105" s="555">
        <v>0</v>
      </c>
      <c r="M105" s="555">
        <v>0</v>
      </c>
      <c r="N105" s="555">
        <f>N106+N107+N108+N110</f>
        <v>0</v>
      </c>
      <c r="O105" s="555">
        <f>O106+O107+O108+O110</f>
        <v>0</v>
      </c>
      <c r="P105" s="555">
        <v>0</v>
      </c>
      <c r="Q105" s="555">
        <v>0</v>
      </c>
      <c r="R105" s="555">
        <v>0</v>
      </c>
      <c r="S105" s="555">
        <v>0</v>
      </c>
      <c r="T105" s="555">
        <v>0</v>
      </c>
      <c r="U105" s="555">
        <v>0</v>
      </c>
      <c r="V105" s="555">
        <v>0</v>
      </c>
      <c r="W105" s="555">
        <v>0</v>
      </c>
      <c r="X105" s="555">
        <f>X106+X107+X108+X110</f>
        <v>0</v>
      </c>
      <c r="Y105" s="555">
        <f>Y106+Y107+Y108+Y110</f>
        <v>0</v>
      </c>
      <c r="Z105" s="555">
        <v>180</v>
      </c>
      <c r="AA105" s="555">
        <v>180</v>
      </c>
      <c r="AB105" s="555">
        <f>AB106+AB107+AB108+AB110</f>
        <v>0</v>
      </c>
      <c r="AC105" s="555">
        <f>AC106+AC107+AC108+AC110</f>
        <v>0</v>
      </c>
      <c r="AD105" s="555">
        <v>0</v>
      </c>
      <c r="AE105" s="555">
        <f>AE106+AE107+AE108+AE110</f>
        <v>0</v>
      </c>
      <c r="AF105" s="941" t="s">
        <v>650</v>
      </c>
    </row>
    <row r="106" spans="1:32" x14ac:dyDescent="0.25">
      <c r="A106" s="559" t="s">
        <v>169</v>
      </c>
      <c r="B106" s="555">
        <v>0</v>
      </c>
      <c r="C106" s="555">
        <v>0</v>
      </c>
      <c r="D106" s="555">
        <v>0</v>
      </c>
      <c r="E106" s="555">
        <v>0</v>
      </c>
      <c r="F106" s="556">
        <f t="shared" ref="F106:F111" si="95">IFERROR(E106/B106%,0)</f>
        <v>0</v>
      </c>
      <c r="G106" s="556">
        <f t="shared" ref="G106:G111" si="96">IFERROR(E106/C106%,0)</f>
        <v>0</v>
      </c>
      <c r="H106" s="555">
        <v>0</v>
      </c>
      <c r="I106" s="555">
        <v>0</v>
      </c>
      <c r="J106" s="555">
        <f>J107+J108+J109+J111</f>
        <v>0</v>
      </c>
      <c r="K106" s="555">
        <f>K107+K108+K109+K111</f>
        <v>0</v>
      </c>
      <c r="L106" s="555">
        <v>0</v>
      </c>
      <c r="M106" s="555">
        <v>0</v>
      </c>
      <c r="N106" s="555">
        <f>N107+N108+N109+N111</f>
        <v>0</v>
      </c>
      <c r="O106" s="555">
        <f>O107+O108+O109+O111</f>
        <v>0</v>
      </c>
      <c r="P106" s="555">
        <v>0</v>
      </c>
      <c r="Q106" s="555" t="s">
        <v>463</v>
      </c>
      <c r="R106" s="555">
        <f>R107+R108+R109+R111</f>
        <v>0</v>
      </c>
      <c r="S106" s="555">
        <f>S107+S108+S109+S111</f>
        <v>0</v>
      </c>
      <c r="T106" s="555">
        <v>0</v>
      </c>
      <c r="U106" s="555">
        <v>0</v>
      </c>
      <c r="V106" s="555">
        <v>0</v>
      </c>
      <c r="W106" s="555">
        <v>0</v>
      </c>
      <c r="X106" s="555">
        <f>X107+X108+X109+X111</f>
        <v>0</v>
      </c>
      <c r="Y106" s="555">
        <f>Y107+Y108+Y109+Y111</f>
        <v>0</v>
      </c>
      <c r="Z106" s="555">
        <v>0</v>
      </c>
      <c r="AA106" s="562">
        <v>0</v>
      </c>
      <c r="AB106" s="555">
        <v>0</v>
      </c>
      <c r="AC106" s="555">
        <f>AC107+AC108+AC109+AC111</f>
        <v>0</v>
      </c>
      <c r="AD106" s="555">
        <v>0</v>
      </c>
      <c r="AE106" s="555">
        <f>AE107+AE108+AE109+AE111</f>
        <v>0</v>
      </c>
      <c r="AF106" s="791"/>
    </row>
    <row r="107" spans="1:32" x14ac:dyDescent="0.25">
      <c r="A107" s="559" t="s">
        <v>32</v>
      </c>
      <c r="B107" s="560">
        <f>H107+J107+L107+N107+P107+R107+T107+V107+X107+Z107+AB107+AD107</f>
        <v>0</v>
      </c>
      <c r="C107" s="560">
        <f>H107</f>
        <v>0</v>
      </c>
      <c r="D107" s="560">
        <f>E107</f>
        <v>0</v>
      </c>
      <c r="E107" s="560">
        <f>I107+K107+M107+O107+Q107+S107+U107+W107+Y107+AA107+AC107+AE107</f>
        <v>0</v>
      </c>
      <c r="F107" s="561">
        <f t="shared" si="95"/>
        <v>0</v>
      </c>
      <c r="G107" s="561">
        <f t="shared" si="96"/>
        <v>0</v>
      </c>
      <c r="H107" s="562">
        <v>0</v>
      </c>
      <c r="I107" s="562">
        <v>0</v>
      </c>
      <c r="J107" s="562">
        <v>0</v>
      </c>
      <c r="K107" s="562">
        <v>0</v>
      </c>
      <c r="L107" s="562">
        <v>0</v>
      </c>
      <c r="M107" s="562">
        <v>0</v>
      </c>
      <c r="N107" s="562">
        <v>0</v>
      </c>
      <c r="O107" s="562">
        <v>0</v>
      </c>
      <c r="P107" s="562">
        <v>0</v>
      </c>
      <c r="Q107" s="562">
        <v>0</v>
      </c>
      <c r="R107" s="562">
        <v>0</v>
      </c>
      <c r="S107" s="562">
        <v>0</v>
      </c>
      <c r="T107" s="562">
        <v>0</v>
      </c>
      <c r="U107" s="562">
        <v>0</v>
      </c>
      <c r="V107" s="562">
        <v>0</v>
      </c>
      <c r="W107" s="562">
        <v>0</v>
      </c>
      <c r="X107" s="562">
        <v>0</v>
      </c>
      <c r="Y107" s="562">
        <v>0</v>
      </c>
      <c r="Z107" s="562">
        <v>0</v>
      </c>
      <c r="AA107" s="562">
        <v>0</v>
      </c>
      <c r="AB107" s="562">
        <v>0</v>
      </c>
      <c r="AC107" s="562">
        <v>0</v>
      </c>
      <c r="AD107" s="562">
        <v>0</v>
      </c>
      <c r="AE107" s="562">
        <v>0</v>
      </c>
      <c r="AF107" s="791"/>
    </row>
    <row r="108" spans="1:32" x14ac:dyDescent="0.25">
      <c r="A108" s="559" t="s">
        <v>33</v>
      </c>
      <c r="B108" s="560">
        <v>180</v>
      </c>
      <c r="C108" s="556">
        <v>180</v>
      </c>
      <c r="D108" s="556">
        <v>180</v>
      </c>
      <c r="E108" s="556">
        <v>180</v>
      </c>
      <c r="F108" s="561">
        <f t="shared" si="95"/>
        <v>100</v>
      </c>
      <c r="G108" s="561">
        <f t="shared" si="96"/>
        <v>100</v>
      </c>
      <c r="H108" s="562">
        <v>0</v>
      </c>
      <c r="I108" s="562">
        <v>0</v>
      </c>
      <c r="J108" s="562">
        <v>0</v>
      </c>
      <c r="K108" s="562">
        <v>0</v>
      </c>
      <c r="L108" s="562">
        <v>0</v>
      </c>
      <c r="M108" s="562">
        <v>0</v>
      </c>
      <c r="N108" s="562">
        <v>0</v>
      </c>
      <c r="O108" s="562">
        <v>0</v>
      </c>
      <c r="P108" s="562">
        <v>0</v>
      </c>
      <c r="Q108" s="562">
        <v>0</v>
      </c>
      <c r="R108" s="562">
        <v>0</v>
      </c>
      <c r="S108" s="562">
        <v>0</v>
      </c>
      <c r="T108" s="562">
        <v>0</v>
      </c>
      <c r="U108" s="562">
        <v>0</v>
      </c>
      <c r="V108" s="562">
        <v>0</v>
      </c>
      <c r="W108" s="562">
        <v>0</v>
      </c>
      <c r="X108" s="562">
        <v>0</v>
      </c>
      <c r="Y108" s="562">
        <v>0</v>
      </c>
      <c r="Z108" s="555">
        <v>180</v>
      </c>
      <c r="AA108" s="555">
        <v>180</v>
      </c>
      <c r="AB108" s="555">
        <f>AB109+AB110+AB111+AB113</f>
        <v>0</v>
      </c>
      <c r="AC108" s="562">
        <v>0</v>
      </c>
      <c r="AD108" s="562">
        <v>0</v>
      </c>
      <c r="AE108" s="562">
        <v>0</v>
      </c>
      <c r="AF108" s="791"/>
    </row>
    <row r="109" spans="1:32" ht="31.5" x14ac:dyDescent="0.25">
      <c r="A109" s="563" t="s">
        <v>174</v>
      </c>
      <c r="B109" s="555">
        <v>0</v>
      </c>
      <c r="C109" s="555">
        <v>0</v>
      </c>
      <c r="D109" s="555">
        <v>0</v>
      </c>
      <c r="E109" s="555">
        <v>0</v>
      </c>
      <c r="F109" s="561">
        <f t="shared" si="95"/>
        <v>0</v>
      </c>
      <c r="G109" s="561">
        <f t="shared" si="96"/>
        <v>0</v>
      </c>
      <c r="H109" s="562">
        <v>0</v>
      </c>
      <c r="I109" s="562">
        <v>0</v>
      </c>
      <c r="J109" s="562">
        <v>0</v>
      </c>
      <c r="K109" s="562">
        <v>0</v>
      </c>
      <c r="L109" s="562">
        <v>0</v>
      </c>
      <c r="M109" s="562">
        <v>0</v>
      </c>
      <c r="N109" s="562">
        <v>0</v>
      </c>
      <c r="O109" s="562">
        <v>0</v>
      </c>
      <c r="P109" s="562">
        <v>0</v>
      </c>
      <c r="Q109" s="555">
        <v>0</v>
      </c>
      <c r="R109" s="562">
        <v>0</v>
      </c>
      <c r="S109" s="562">
        <v>0</v>
      </c>
      <c r="T109" s="555">
        <v>0</v>
      </c>
      <c r="U109" s="555">
        <v>0</v>
      </c>
      <c r="V109" s="555">
        <v>0</v>
      </c>
      <c r="W109" s="555">
        <v>0</v>
      </c>
      <c r="X109" s="562">
        <v>0</v>
      </c>
      <c r="Y109" s="562">
        <v>0</v>
      </c>
      <c r="Z109" s="562">
        <v>0</v>
      </c>
      <c r="AA109" s="562">
        <v>0</v>
      </c>
      <c r="AB109" s="562">
        <v>0</v>
      </c>
      <c r="AC109" s="562">
        <v>0</v>
      </c>
      <c r="AD109" s="562">
        <v>0</v>
      </c>
      <c r="AE109" s="562">
        <v>0</v>
      </c>
      <c r="AF109" s="791"/>
    </row>
    <row r="110" spans="1:32" x14ac:dyDescent="0.25">
      <c r="A110" s="559" t="s">
        <v>374</v>
      </c>
      <c r="B110" s="560">
        <f>H110+J110+L110+N110+P110+R110+T110+V110+X110+Z110+AB110+AD110</f>
        <v>0</v>
      </c>
      <c r="C110" s="560">
        <f>H110</f>
        <v>0</v>
      </c>
      <c r="D110" s="560">
        <f>E110</f>
        <v>0</v>
      </c>
      <c r="E110" s="560">
        <f>I110+K110+M110+O110+Q110+S110+U110+W110+Y110+AA110+AC110+AE110</f>
        <v>0</v>
      </c>
      <c r="F110" s="561">
        <f t="shared" si="95"/>
        <v>0</v>
      </c>
      <c r="G110" s="561">
        <f t="shared" si="96"/>
        <v>0</v>
      </c>
      <c r="H110" s="562">
        <v>0</v>
      </c>
      <c r="I110" s="562">
        <v>0</v>
      </c>
      <c r="J110" s="562">
        <v>0</v>
      </c>
      <c r="K110" s="562">
        <v>0</v>
      </c>
      <c r="L110" s="562">
        <v>0</v>
      </c>
      <c r="M110" s="562">
        <v>0</v>
      </c>
      <c r="N110" s="562">
        <v>0</v>
      </c>
      <c r="O110" s="562">
        <v>0</v>
      </c>
      <c r="P110" s="562">
        <v>0</v>
      </c>
      <c r="Q110" s="562">
        <v>0</v>
      </c>
      <c r="R110" s="562">
        <v>0</v>
      </c>
      <c r="S110" s="562">
        <v>0</v>
      </c>
      <c r="T110" s="562">
        <v>0</v>
      </c>
      <c r="U110" s="562">
        <v>0</v>
      </c>
      <c r="V110" s="562">
        <v>0</v>
      </c>
      <c r="W110" s="562">
        <v>0</v>
      </c>
      <c r="X110" s="562">
        <v>0</v>
      </c>
      <c r="Y110" s="562">
        <v>0</v>
      </c>
      <c r="Z110" s="562">
        <v>0</v>
      </c>
      <c r="AA110" s="562">
        <v>0</v>
      </c>
      <c r="AB110" s="562">
        <v>0</v>
      </c>
      <c r="AC110" s="562">
        <v>0</v>
      </c>
      <c r="AD110" s="562">
        <v>0</v>
      </c>
      <c r="AE110" s="562">
        <v>0</v>
      </c>
      <c r="AF110" s="791"/>
    </row>
    <row r="111" spans="1:32" x14ac:dyDescent="0.25">
      <c r="A111" s="930" t="s">
        <v>63</v>
      </c>
      <c r="B111" s="560">
        <f>H111+J111+L111+N111+P111+R111+T111+V111+X111+Z111+AB111+AD111</f>
        <v>0</v>
      </c>
      <c r="C111" s="560">
        <f>H111</f>
        <v>0</v>
      </c>
      <c r="D111" s="560">
        <f>E111</f>
        <v>0</v>
      </c>
      <c r="E111" s="560">
        <f>I111+K111+M111+O111+Q111+S111+U111+W111+Y111+AA111+AC111+AE111</f>
        <v>0</v>
      </c>
      <c r="F111" s="561">
        <f t="shared" si="95"/>
        <v>0</v>
      </c>
      <c r="G111" s="561">
        <f t="shared" si="96"/>
        <v>0</v>
      </c>
      <c r="H111" s="562">
        <v>0</v>
      </c>
      <c r="I111" s="562">
        <v>0</v>
      </c>
      <c r="J111" s="562">
        <v>0</v>
      </c>
      <c r="K111" s="562">
        <v>0</v>
      </c>
      <c r="L111" s="562">
        <v>0</v>
      </c>
      <c r="M111" s="562">
        <v>0</v>
      </c>
      <c r="N111" s="562">
        <v>0</v>
      </c>
      <c r="O111" s="562">
        <v>0</v>
      </c>
      <c r="P111" s="562">
        <v>0</v>
      </c>
      <c r="Q111" s="562">
        <v>0</v>
      </c>
      <c r="R111" s="562">
        <v>0</v>
      </c>
      <c r="S111" s="562">
        <v>0</v>
      </c>
      <c r="T111" s="562">
        <v>0</v>
      </c>
      <c r="U111" s="562">
        <v>0</v>
      </c>
      <c r="V111" s="562">
        <v>0</v>
      </c>
      <c r="W111" s="562">
        <v>0</v>
      </c>
      <c r="X111" s="562">
        <v>0</v>
      </c>
      <c r="Y111" s="562">
        <v>0</v>
      </c>
      <c r="Z111" s="562">
        <v>0</v>
      </c>
      <c r="AA111" s="562">
        <v>0</v>
      </c>
      <c r="AB111" s="562">
        <v>0</v>
      </c>
      <c r="AC111" s="562">
        <v>0</v>
      </c>
      <c r="AD111" s="562">
        <v>0</v>
      </c>
      <c r="AE111" s="562">
        <v>0</v>
      </c>
    </row>
    <row r="112" spans="1:32" x14ac:dyDescent="0.25">
      <c r="A112" s="554" t="s">
        <v>31</v>
      </c>
      <c r="B112" s="556">
        <v>469145.26</v>
      </c>
      <c r="C112" s="556">
        <v>469145.26</v>
      </c>
      <c r="D112" s="555">
        <v>209880</v>
      </c>
      <c r="E112" s="555">
        <v>209880</v>
      </c>
      <c r="F112" s="556">
        <f>IFERROR(E112/B112%,0)</f>
        <v>44.736677079504112</v>
      </c>
      <c r="G112" s="556">
        <v>44.74</v>
      </c>
      <c r="H112" s="555">
        <v>232</v>
      </c>
      <c r="I112" s="555">
        <v>232</v>
      </c>
      <c r="J112" s="555">
        <f>J113+J114+J115+J117</f>
        <v>0</v>
      </c>
      <c r="K112" s="555">
        <f>K113+K114+K115+K117</f>
        <v>0</v>
      </c>
      <c r="L112" s="555">
        <v>594.1</v>
      </c>
      <c r="M112" s="555">
        <v>594.1</v>
      </c>
      <c r="N112" s="555">
        <f>N113+N114+N115+N117</f>
        <v>0</v>
      </c>
      <c r="O112" s="555">
        <f>O113+O114+O115+O117</f>
        <v>0</v>
      </c>
      <c r="P112" s="555">
        <v>10525.51</v>
      </c>
      <c r="Q112" s="555">
        <v>9928.41</v>
      </c>
      <c r="R112" s="555">
        <v>13904.35</v>
      </c>
      <c r="S112" s="555">
        <v>13889.91</v>
      </c>
      <c r="T112" s="555">
        <v>278.97000000000003</v>
      </c>
      <c r="U112" s="555">
        <v>278.97000000000003</v>
      </c>
      <c r="V112" s="555">
        <v>27912.69</v>
      </c>
      <c r="W112" s="555">
        <v>22728.09</v>
      </c>
      <c r="X112" s="555">
        <v>840.67</v>
      </c>
      <c r="Y112" s="555">
        <v>6636.61</v>
      </c>
      <c r="Z112" s="555">
        <v>150406.71</v>
      </c>
      <c r="AA112" s="555">
        <v>16345.48</v>
      </c>
      <c r="AB112" s="555">
        <v>7.0000000000000007E-2</v>
      </c>
      <c r="AC112" s="555">
        <v>19066.52</v>
      </c>
      <c r="AD112" s="555">
        <v>264450.28000000003</v>
      </c>
      <c r="AE112" s="555">
        <v>120179.9</v>
      </c>
    </row>
    <row r="113" spans="1:31" x14ac:dyDescent="0.25">
      <c r="A113" s="559" t="s">
        <v>169</v>
      </c>
      <c r="B113" s="561">
        <v>4870.8</v>
      </c>
      <c r="C113" s="561">
        <v>4870.8</v>
      </c>
      <c r="D113" s="561">
        <v>4870.8</v>
      </c>
      <c r="E113" s="561">
        <v>4870.8</v>
      </c>
      <c r="F113" s="561">
        <f>IFERROR(E113/B113%,0)</f>
        <v>100</v>
      </c>
      <c r="G113" s="561">
        <v>100</v>
      </c>
      <c r="H113" s="562">
        <v>0</v>
      </c>
      <c r="I113" s="562">
        <v>0</v>
      </c>
      <c r="J113" s="562">
        <v>0</v>
      </c>
      <c r="K113" s="562">
        <v>0</v>
      </c>
      <c r="L113" s="562">
        <v>0</v>
      </c>
      <c r="M113" s="562">
        <v>0</v>
      </c>
      <c r="N113" s="562">
        <v>0</v>
      </c>
      <c r="O113" s="562">
        <v>0</v>
      </c>
      <c r="P113" s="562">
        <v>3076.35</v>
      </c>
      <c r="Q113" s="562">
        <v>3076.35</v>
      </c>
      <c r="R113" s="562">
        <v>1299.33</v>
      </c>
      <c r="S113" s="562">
        <v>1299.33</v>
      </c>
      <c r="T113" s="562">
        <v>0</v>
      </c>
      <c r="U113" s="562">
        <v>0</v>
      </c>
      <c r="V113" s="562">
        <v>495.12</v>
      </c>
      <c r="W113" s="562">
        <v>495.12</v>
      </c>
      <c r="X113" s="562">
        <v>0</v>
      </c>
      <c r="Y113" s="562">
        <v>0</v>
      </c>
      <c r="Z113" s="562">
        <v>0</v>
      </c>
      <c r="AA113" s="562">
        <v>0</v>
      </c>
      <c r="AB113" s="562">
        <v>0</v>
      </c>
      <c r="AC113" s="562">
        <v>0</v>
      </c>
      <c r="AD113" s="562">
        <v>0</v>
      </c>
      <c r="AE113" s="562">
        <v>0</v>
      </c>
    </row>
    <row r="114" spans="1:31" x14ac:dyDescent="0.25">
      <c r="A114" s="559" t="s">
        <v>32</v>
      </c>
      <c r="B114" s="561">
        <v>17240.55</v>
      </c>
      <c r="C114" s="561">
        <v>17240.55</v>
      </c>
      <c r="D114" s="561">
        <v>17240.55</v>
      </c>
      <c r="E114" s="561">
        <v>17240.55</v>
      </c>
      <c r="F114" s="561">
        <v>100</v>
      </c>
      <c r="G114" s="561">
        <v>100</v>
      </c>
      <c r="H114" s="562">
        <v>0</v>
      </c>
      <c r="I114" s="562">
        <v>0</v>
      </c>
      <c r="J114" s="562">
        <v>0</v>
      </c>
      <c r="K114" s="562">
        <v>0</v>
      </c>
      <c r="L114" s="562">
        <v>0</v>
      </c>
      <c r="M114" s="562">
        <v>0</v>
      </c>
      <c r="N114" s="562">
        <v>0</v>
      </c>
      <c r="O114" s="562">
        <v>0</v>
      </c>
      <c r="P114" s="562">
        <v>4826.5</v>
      </c>
      <c r="Q114" s="562">
        <v>4826.5</v>
      </c>
      <c r="R114" s="562">
        <v>6838.51</v>
      </c>
      <c r="S114" s="562">
        <v>6227.06</v>
      </c>
      <c r="T114" s="562">
        <v>0</v>
      </c>
      <c r="U114" s="562">
        <v>0</v>
      </c>
      <c r="V114" s="562">
        <v>5314.38</v>
      </c>
      <c r="W114" s="562">
        <v>5694.84</v>
      </c>
      <c r="X114" s="562">
        <v>261.16000000000003</v>
      </c>
      <c r="Y114" s="562">
        <v>492.15</v>
      </c>
      <c r="Z114" s="562">
        <v>0</v>
      </c>
      <c r="AA114" s="562">
        <v>0</v>
      </c>
      <c r="AB114" s="562">
        <v>0</v>
      </c>
      <c r="AC114" s="562">
        <v>0</v>
      </c>
      <c r="AD114" s="562">
        <v>0</v>
      </c>
      <c r="AE114" s="562">
        <v>0</v>
      </c>
    </row>
    <row r="115" spans="1:31" x14ac:dyDescent="0.25">
      <c r="A115" s="559" t="s">
        <v>33</v>
      </c>
      <c r="B115" s="561">
        <v>59229.71</v>
      </c>
      <c r="C115" s="561">
        <v>59229.71</v>
      </c>
      <c r="D115" s="560">
        <v>56876.32</v>
      </c>
      <c r="E115" s="560">
        <v>56876.32</v>
      </c>
      <c r="F115" s="561">
        <f>IFERROR(E115/B115%,0)</f>
        <v>96.026673100374794</v>
      </c>
      <c r="G115" s="561">
        <v>96.03</v>
      </c>
      <c r="H115" s="562">
        <v>232</v>
      </c>
      <c r="I115" s="562">
        <v>232</v>
      </c>
      <c r="J115" s="562">
        <v>0</v>
      </c>
      <c r="K115" s="562">
        <v>0</v>
      </c>
      <c r="L115" s="562">
        <v>594.1</v>
      </c>
      <c r="M115" s="562">
        <v>594.1</v>
      </c>
      <c r="N115" s="562">
        <v>0</v>
      </c>
      <c r="O115" s="562">
        <v>0</v>
      </c>
      <c r="P115" s="562">
        <v>2622.57</v>
      </c>
      <c r="Q115" s="555">
        <v>2025.55</v>
      </c>
      <c r="R115" s="562">
        <v>5766.51</v>
      </c>
      <c r="S115" s="562">
        <v>6363.52</v>
      </c>
      <c r="T115" s="562">
        <v>278.97000000000003</v>
      </c>
      <c r="U115" s="555">
        <v>278.97000000000003</v>
      </c>
      <c r="V115" s="562">
        <v>22103.19</v>
      </c>
      <c r="W115" s="562">
        <v>16538.13</v>
      </c>
      <c r="X115" s="562">
        <v>579.51</v>
      </c>
      <c r="Y115" s="562">
        <v>6144.47</v>
      </c>
      <c r="Z115" s="562">
        <v>23702.74</v>
      </c>
      <c r="AA115" s="562">
        <v>1541.29</v>
      </c>
      <c r="AB115" s="562">
        <v>7.0000000000000007E-2</v>
      </c>
      <c r="AC115" s="555">
        <v>19066.52</v>
      </c>
      <c r="AD115" s="562">
        <v>3350.06</v>
      </c>
      <c r="AE115" s="562">
        <v>4091.76</v>
      </c>
    </row>
    <row r="116" spans="1:31" ht="31.5" x14ac:dyDescent="0.25">
      <c r="A116" s="563" t="s">
        <v>174</v>
      </c>
      <c r="B116" s="561">
        <v>4628.1499999999996</v>
      </c>
      <c r="C116" s="561">
        <v>4628.1499999999996</v>
      </c>
      <c r="D116" s="560">
        <v>3128.15</v>
      </c>
      <c r="E116" s="560">
        <v>3128.15</v>
      </c>
      <c r="F116" s="561">
        <v>100</v>
      </c>
      <c r="G116" s="561">
        <v>100</v>
      </c>
      <c r="H116" s="562">
        <v>0</v>
      </c>
      <c r="I116" s="562">
        <v>0</v>
      </c>
      <c r="J116" s="562">
        <v>0</v>
      </c>
      <c r="K116" s="562">
        <v>0</v>
      </c>
      <c r="L116" s="562">
        <v>0</v>
      </c>
      <c r="M116" s="562">
        <v>0</v>
      </c>
      <c r="N116" s="562">
        <v>0</v>
      </c>
      <c r="O116" s="562">
        <v>0</v>
      </c>
      <c r="P116" s="562">
        <v>1975.71</v>
      </c>
      <c r="Q116" s="562">
        <v>1975.71</v>
      </c>
      <c r="R116" s="562">
        <v>834.46</v>
      </c>
      <c r="S116" s="562">
        <v>834.46</v>
      </c>
      <c r="T116" s="562">
        <v>834.46</v>
      </c>
      <c r="U116" s="562">
        <v>0</v>
      </c>
      <c r="V116" s="562">
        <v>317.98</v>
      </c>
      <c r="W116" s="562">
        <v>317.98</v>
      </c>
      <c r="X116" s="562">
        <v>0</v>
      </c>
      <c r="Y116" s="562">
        <v>0</v>
      </c>
      <c r="Z116" s="562">
        <v>0</v>
      </c>
      <c r="AA116" s="562">
        <v>0</v>
      </c>
      <c r="AB116" s="562">
        <v>0</v>
      </c>
      <c r="AC116" s="562">
        <v>0</v>
      </c>
      <c r="AD116" s="562">
        <v>0</v>
      </c>
      <c r="AE116" s="562">
        <v>0</v>
      </c>
    </row>
    <row r="117" spans="1:31" x14ac:dyDescent="0.25">
      <c r="A117" s="559" t="s">
        <v>374</v>
      </c>
      <c r="B117" s="561">
        <v>387804.19</v>
      </c>
      <c r="C117" s="561">
        <v>387804.19</v>
      </c>
      <c r="D117" s="560">
        <v>130892.33</v>
      </c>
      <c r="E117" s="560">
        <v>130892.33</v>
      </c>
      <c r="F117" s="562">
        <v>100</v>
      </c>
      <c r="G117" s="562">
        <v>33.75</v>
      </c>
      <c r="H117" s="562">
        <v>0</v>
      </c>
      <c r="I117" s="562">
        <v>0</v>
      </c>
      <c r="J117" s="562">
        <v>0</v>
      </c>
      <c r="K117" s="562">
        <v>0</v>
      </c>
      <c r="L117" s="562">
        <v>0</v>
      </c>
      <c r="M117" s="562">
        <v>0</v>
      </c>
      <c r="N117" s="562">
        <v>0</v>
      </c>
      <c r="O117" s="562">
        <v>0</v>
      </c>
      <c r="P117" s="562">
        <v>0</v>
      </c>
      <c r="Q117" s="562">
        <v>0</v>
      </c>
      <c r="R117" s="562">
        <v>0</v>
      </c>
      <c r="S117" s="562">
        <v>0</v>
      </c>
      <c r="T117" s="562">
        <v>0</v>
      </c>
      <c r="U117" s="562">
        <v>0</v>
      </c>
      <c r="V117" s="562">
        <v>0</v>
      </c>
      <c r="W117" s="562">
        <v>0</v>
      </c>
      <c r="X117" s="562">
        <v>0</v>
      </c>
      <c r="Y117" s="562">
        <v>0</v>
      </c>
      <c r="Z117" s="562">
        <v>126703.97</v>
      </c>
      <c r="AA117" s="562">
        <v>14804.19</v>
      </c>
      <c r="AB117" s="562">
        <v>0</v>
      </c>
      <c r="AC117" s="562">
        <v>0</v>
      </c>
      <c r="AD117" s="562">
        <v>261100.22</v>
      </c>
      <c r="AE117" s="562">
        <v>116088.14</v>
      </c>
    </row>
  </sheetData>
  <customSheetViews>
    <customSheetView guid="{7C130984-112A-4861-AA43-E2940708E3DC}" scale="70" state="hidden">
      <pane xSplit="1" ySplit="4" topLeftCell="X68" activePane="bottomRight" state="frozen"/>
      <selection pane="bottomRight" activeCell="AD89" sqref="AD89"/>
      <pageMargins left="0.7" right="0.7" top="0.75" bottom="0.75" header="0.3" footer="0.3"/>
      <pageSetup paperSize="9" orientation="portrait" r:id="rId1"/>
    </customSheetView>
    <customSheetView guid="{533DC55B-6AD4-4674-9488-685EF2039F3E}" scale="70" state="hidden">
      <pane xSplit="1" ySplit="4" topLeftCell="X68" activePane="bottomRight" state="frozen"/>
      <selection pane="bottomRight" activeCell="AD89" sqref="AD89"/>
      <pageMargins left="0.7" right="0.7" top="0.75" bottom="0.75" header="0.3" footer="0.3"/>
      <pageSetup paperSize="9" orientation="portrait" r:id="rId2"/>
    </customSheetView>
    <customSheetView guid="{09C3E205-981E-4A4E-BE89-8B7044192060}" scale="70">
      <pane xSplit="1" ySplit="4" topLeftCell="X68" activePane="bottomRight" state="frozen"/>
      <selection pane="bottomRight" activeCell="AD89" sqref="AD89"/>
      <pageMargins left="0.7" right="0.7" top="0.75" bottom="0.75" header="0.3" footer="0.3"/>
      <pageSetup paperSize="9" orientation="portrait" r:id="rId3"/>
    </customSheetView>
    <customSheetView guid="{B1BF08D1-D416-4B47-ADD0-4F59132DC9E8}" scale="70">
      <pane xSplit="1" ySplit="4" topLeftCell="L77" activePane="bottomRight" state="frozen"/>
      <selection pane="bottomRight" activeCell="AD89" sqref="AD89"/>
      <pageMargins left="0.7" right="0.7" top="0.75" bottom="0.75" header="0.3" footer="0.3"/>
      <pageSetup paperSize="9" orientation="portrait" r:id="rId4"/>
    </customSheetView>
    <customSheetView guid="{4F41B9CC-959D-442C-80B0-1F0DB2C76D27}" scale="70">
      <pane xSplit="1" ySplit="4" topLeftCell="L77" activePane="bottomRight" state="frozen"/>
      <selection pane="bottomRight" activeCell="AF77" sqref="AF77:AF84"/>
      <pageMargins left="0.7" right="0.7" top="0.75" bottom="0.75" header="0.3" footer="0.3"/>
      <pageSetup paperSize="9" orientation="portrait" r:id="rId5"/>
    </customSheetView>
    <customSheetView guid="{84867370-1F3E-4368-AF79-FBCE46FFFE92}" scale="70">
      <pane xSplit="1" ySplit="4" topLeftCell="L77" activePane="bottomRight" state="frozen"/>
      <selection pane="bottomRight" activeCell="AF86" sqref="AF86:AF90"/>
      <pageMargins left="0.7" right="0.7" top="0.75" bottom="0.75" header="0.3" footer="0.3"/>
      <pageSetup paperSize="9" orientation="portrait" r:id="rId6"/>
    </customSheetView>
    <customSheetView guid="{E508E171-4ED9-4B07-84DF-DA28C60E1969}" scale="70">
      <pane xSplit="1" ySplit="4" topLeftCell="P98" activePane="bottomRight" state="frozen"/>
      <selection pane="bottomRight" activeCell="AF61" sqref="AF61"/>
      <pageMargins left="0.7" right="0.7" top="0.75" bottom="0.75" header="0.3" footer="0.3"/>
      <pageSetup paperSize="9" orientation="portrait" r:id="rId7"/>
    </customSheetView>
    <customSheetView guid="{602C8EDB-B9EF-4C85-B0D5-0558C3A0ABAB}" scale="95">
      <pane xSplit="1" ySplit="4" topLeftCell="T50" activePane="bottomRight" state="frozen"/>
      <selection pane="bottomRight" activeCell="AF86" sqref="AF86:AF90"/>
      <pageMargins left="0.7" right="0.7" top="0.75" bottom="0.75" header="0.3" footer="0.3"/>
      <pageSetup paperSize="9" orientation="portrait" r:id="rId8"/>
    </customSheetView>
    <customSheetView guid="{84B3377A-1CDD-4881-99FA-112F8B470D6F}" scale="95">
      <pane xSplit="1" ySplit="4" topLeftCell="T5" activePane="bottomRight" state="frozen"/>
      <selection pane="bottomRight" activeCell="AF86" sqref="AF86:AF90"/>
      <pageMargins left="0.7" right="0.7" top="0.75" bottom="0.75" header="0.3" footer="0.3"/>
      <pageSetup paperSize="9" orientation="portrait" r:id="rId9"/>
    </customSheetView>
    <customSheetView guid="{87218168-6C8E-4D5B-A5E5-DCCC26803AA3}" scale="95">
      <pane xSplit="1" ySplit="4" topLeftCell="T80" activePane="bottomRight" state="frozen"/>
      <selection pane="bottomRight" activeCell="AF86" sqref="AF86:AF90"/>
      <pageMargins left="0.7" right="0.7" top="0.75" bottom="0.75" header="0.3" footer="0.3"/>
      <pageSetup paperSize="9" orientation="portrait" r:id="rId10"/>
    </customSheetView>
    <customSheetView guid="{6A602CB8-B24C-4ED4-B378-B27354BE0A1A}" scale="95">
      <pane xSplit="1" ySplit="4" topLeftCell="B104" activePane="bottomRight" state="frozen"/>
      <selection pane="bottomRight" activeCell="E2" sqref="E2:E4"/>
      <pageMargins left="0.7" right="0.7" top="0.75" bottom="0.75" header="0.3" footer="0.3"/>
      <pageSetup paperSize="9" orientation="portrait" r:id="rId11"/>
    </customSheetView>
    <customSheetView guid="{D01FA037-9AEC-4167-ADB8-2F327C01ECE6}" scale="95">
      <pane xSplit="1" ySplit="4" topLeftCell="B104" activePane="bottomRight" state="frozen"/>
      <selection pane="bottomRight" activeCell="E2" sqref="E2:E4"/>
      <pageMargins left="0.7" right="0.7" top="0.75" bottom="0.75" header="0.3" footer="0.3"/>
      <pageSetup paperSize="9" orientation="portrait" r:id="rId12"/>
    </customSheetView>
    <customSheetView guid="{74870EE6-26B9-40F7-9DC9-260EF16D8959}" scale="95">
      <pane xSplit="1" ySplit="4" topLeftCell="B104" activePane="bottomRight" state="frozen"/>
      <selection pane="bottomRight" activeCell="E2" sqref="E2:E4"/>
      <pageMargins left="0.7" right="0.7" top="0.75" bottom="0.75" header="0.3" footer="0.3"/>
      <pageSetup paperSize="9" orientation="portrait" r:id="rId13"/>
    </customSheetView>
    <customSheetView guid="{7226EA2B-7866-416F-9240-410CC1BF0336}" scale="124">
      <pane xSplit="1" ySplit="4" topLeftCell="AF50" activePane="bottomRight" state="frozen"/>
      <selection pane="bottomRight" activeCell="AF57" sqref="AF57"/>
      <pageMargins left="0.7" right="0.7" top="0.75" bottom="0.75" header="0.3" footer="0.3"/>
      <pageSetup paperSize="9" orientation="portrait" r:id="rId14"/>
    </customSheetView>
    <customSheetView guid="{F8CAB90F-9980-4EC7-B30B-1637EB515304}" scale="77">
      <pane xSplit="1" ySplit="4" topLeftCell="M14" activePane="bottomRight" state="frozen"/>
      <selection pane="bottomRight" activeCell="AF29" sqref="AF29"/>
      <pageMargins left="0.7" right="0.7" top="0.75" bottom="0.75" header="0.3" footer="0.3"/>
      <pageSetup paperSize="9" orientation="portrait" r:id="rId15"/>
    </customSheetView>
    <customSheetView guid="{415078CD-EB99-432D-90BA-2F3D5A746E20}" scale="77">
      <pane xSplit="1" ySplit="4" topLeftCell="M14" activePane="bottomRight" state="frozen"/>
      <selection pane="bottomRight" activeCell="AF29" sqref="AF29"/>
      <pageMargins left="0.7" right="0.7" top="0.75" bottom="0.75" header="0.3" footer="0.3"/>
      <pageSetup paperSize="9" orientation="portrait" r:id="rId16"/>
    </customSheetView>
    <customSheetView guid="{CB4792DB-A624-4844-AEB6-A6ADA80946BB}" scale="77">
      <pane xSplit="1" ySplit="4" topLeftCell="AC5" activePane="bottomRight" state="frozen"/>
      <selection pane="bottomRight" activeCell="AF27" sqref="AF27"/>
      <pageMargins left="0.7" right="0.7" top="0.75" bottom="0.75" header="0.3" footer="0.3"/>
      <pageSetup paperSize="9" orientation="portrait" r:id="rId17"/>
    </customSheetView>
    <customSheetView guid="{0C2B9C2A-7B94-41EF-A2E6-F8AC9A67DE25}" scale="77">
      <pane xSplit="1" ySplit="4" topLeftCell="AC5" activePane="bottomRight" state="frozen"/>
      <selection pane="bottomRight" activeCell="AF27" sqref="AF27"/>
      <pageMargins left="0.7" right="0.7" top="0.75" bottom="0.75" header="0.3" footer="0.3"/>
      <pageSetup paperSize="9" orientation="portrait" r:id="rId18"/>
    </customSheetView>
    <customSheetView guid="{391AB76E-B386-49C1-800F-016A48AA1A46}" scale="77">
      <pane xSplit="1" ySplit="4" topLeftCell="O5" activePane="bottomRight" state="frozen"/>
      <selection pane="bottomRight" activeCell="AC27" sqref="AC27"/>
      <pageMargins left="0.7" right="0.7" top="0.75" bottom="0.75" header="0.3" footer="0.3"/>
      <pageSetup paperSize="9" orientation="portrait" r:id="rId19"/>
    </customSheetView>
    <customSheetView guid="{959E901C-5DDE-42EE-AE94-AB8976B5E00B}" scale="80">
      <pane xSplit="1" ySplit="4" topLeftCell="B35" activePane="bottomRight" state="frozen"/>
      <selection pane="bottomRight" activeCell="F40" sqref="F40"/>
      <pageMargins left="0.7" right="0.7" top="0.75" bottom="0.75" header="0.3" footer="0.3"/>
      <pageSetup paperSize="9" orientation="portrait" r:id="rId20"/>
    </customSheetView>
    <customSheetView guid="{F679EF4A-C5FD-4B86-B87B-D85968E0F2CA}" scale="80">
      <pane xSplit="1" ySplit="4" topLeftCell="B35" activePane="bottomRight" state="frozen"/>
      <selection pane="bottomRight" activeCell="F40" sqref="F40"/>
      <pageMargins left="0.7" right="0.7" top="0.75" bottom="0.75" header="0.3" footer="0.3"/>
      <pageSetup paperSize="9" orientation="portrait" r:id="rId21"/>
    </customSheetView>
    <customSheetView guid="{009B3074-D8EC-4952-BF50-43CD64449612}" scale="80">
      <pane xSplit="1" ySplit="4" topLeftCell="B35" activePane="bottomRight" state="frozen"/>
      <selection pane="bottomRight" activeCell="F40" sqref="F40"/>
      <pageMargins left="0.7" right="0.7" top="0.75" bottom="0.75" header="0.3" footer="0.3"/>
      <pageSetup paperSize="9" orientation="portrait" r:id="rId22"/>
    </customSheetView>
    <customSheetView guid="{770624BF-07F3-44B6-94C3-4CC447CDD45C}" scale="80">
      <pane xSplit="1" ySplit="4" topLeftCell="B35" activePane="bottomRight" state="frozen"/>
      <selection pane="bottomRight" activeCell="F40" sqref="F40"/>
      <pageMargins left="0.7" right="0.7" top="0.75" bottom="0.75" header="0.3" footer="0.3"/>
      <pageSetup paperSize="9" orientation="portrait" r:id="rId23"/>
    </customSheetView>
    <customSheetView guid="{B82BA08A-1A30-4F4D-A478-74A6BD09EA97}" topLeftCell="A34">
      <selection activeCell="A38" sqref="A38"/>
      <pageMargins left="0.7" right="0.7" top="0.75" bottom="0.75" header="0.3" footer="0.3"/>
    </customSheetView>
    <customSheetView guid="{874882D1-E741-4CCA-BF0D-E72FA60B771D}" topLeftCell="A10">
      <selection activeCell="A38" sqref="A38"/>
      <pageMargins left="0.7" right="0.7" top="0.75" bottom="0.75" header="0.3" footer="0.3"/>
    </customSheetView>
    <customSheetView guid="{C236B307-BD63-48C4-A75F-B3F3717BF55C}" topLeftCell="A34">
      <selection activeCell="A38" sqref="A38"/>
      <pageMargins left="0.7" right="0.7" top="0.75" bottom="0.75" header="0.3" footer="0.3"/>
    </customSheetView>
    <customSheetView guid="{BCD82A82-B724-4763-8580-D765356E09BA}" scale="70">
      <selection sqref="A1:Y1"/>
      <pageMargins left="0.7" right="0.7" top="0.75" bottom="0.75" header="0.3" footer="0.3"/>
    </customSheetView>
    <customSheetView guid="{85F4575B-DBC5-482A-9916-255D8F0BC94E}" scale="80">
      <pane xSplit="1" ySplit="4" topLeftCell="B38" activePane="bottomRight" state="frozen"/>
      <selection pane="bottomRight" activeCell="D40" sqref="D40"/>
      <pageMargins left="0.7" right="0.7" top="0.75" bottom="0.75" header="0.3" footer="0.3"/>
      <pageSetup paperSize="9" orientation="portrait" r:id="rId24"/>
    </customSheetView>
    <customSheetView guid="{4D0DFB57-2CBA-42F2-9A97-C453A6851FBA}" scale="80">
      <pane xSplit="1" ySplit="4" topLeftCell="G29" activePane="bottomRight" state="frozen"/>
      <selection pane="bottomRight" activeCell="Z46" sqref="Z46"/>
      <pageMargins left="0.7" right="0.7" top="0.75" bottom="0.75" header="0.3" footer="0.3"/>
      <pageSetup paperSize="9" orientation="portrait" r:id="rId25"/>
    </customSheetView>
    <customSheetView guid="{CE1CCA00-200D-4EAA-9FBE-F8EE7C5F82FE}" scale="70">
      <pane xSplit="1" ySplit="4" topLeftCell="B5" activePane="bottomRight" state="frozen"/>
      <selection pane="bottomRight" activeCell="F31" sqref="F31"/>
      <pageMargins left="0.7" right="0.7" top="0.75" bottom="0.75" header="0.3" footer="0.3"/>
      <pageSetup paperSize="9" orientation="portrait" r:id="rId26"/>
    </customSheetView>
    <customSheetView guid="{AC2D5927-4079-4C74-AF69-1BFAC505648F}" scale="77">
      <pane xSplit="1" ySplit="4" topLeftCell="I26" activePane="bottomRight" state="frozen"/>
      <selection pane="bottomRight" activeCell="AF28" sqref="AF28"/>
      <pageMargins left="0.7" right="0.7" top="0.75" bottom="0.75" header="0.3" footer="0.3"/>
      <pageSetup paperSize="9" orientation="portrait" r:id="rId27"/>
    </customSheetView>
    <customSheetView guid="{3C3F523F-5F34-4CF7-831E-F1ABC4278CEB}" scale="77">
      <pane xSplit="1" ySplit="4" topLeftCell="M74" activePane="bottomRight" state="frozen"/>
      <selection pane="bottomRight" activeCell="B22" sqref="B22"/>
      <pageMargins left="0.7" right="0.7" top="0.75" bottom="0.75" header="0.3" footer="0.3"/>
      <pageSetup paperSize="9" orientation="portrait" r:id="rId28"/>
    </customSheetView>
    <customSheetView guid="{69DABE6F-6182-4403-A4A2-969F10F1C13A}" scale="95">
      <pane xSplit="1" ySplit="4" topLeftCell="B104" activePane="bottomRight" state="frozen"/>
      <selection pane="bottomRight" activeCell="E2" sqref="E2:E4"/>
      <pageMargins left="0.7" right="0.7" top="0.75" bottom="0.75" header="0.3" footer="0.3"/>
      <pageSetup paperSize="9" orientation="portrait" r:id="rId29"/>
    </customSheetView>
    <customSheetView guid="{DAA8A688-7558-4B5B-8DBD-E2629BD9E9A8}" scale="95">
      <pane xSplit="1" ySplit="4" topLeftCell="T5" activePane="bottomRight" state="frozen"/>
      <selection pane="bottomRight" activeCell="AF86" sqref="AF86:AF90"/>
      <pageMargins left="0.7" right="0.7" top="0.75" bottom="0.75" header="0.3" footer="0.3"/>
      <pageSetup paperSize="9" orientation="portrait" r:id="rId30"/>
    </customSheetView>
    <customSheetView guid="{47B983AB-FE5F-4725-860C-A2F29420596D}" scale="95">
      <pane xSplit="1" ySplit="4" topLeftCell="T5" activePane="bottomRight" state="frozen"/>
      <selection pane="bottomRight" activeCell="AF86" sqref="AF86:AF90"/>
      <pageMargins left="0.7" right="0.7" top="0.75" bottom="0.75" header="0.3" footer="0.3"/>
      <pageSetup paperSize="9" orientation="portrait" r:id="rId31"/>
    </customSheetView>
    <customSheetView guid="{442F2C94-DD1B-4A01-8694-513D4D6F3BD9}" scale="70">
      <pane xSplit="1" ySplit="4" topLeftCell="L5" activePane="bottomRight" state="frozen"/>
      <selection pane="bottomRight" activeCell="AD120" sqref="AD120"/>
      <pageMargins left="0.7" right="0.7" top="0.75" bottom="0.75" header="0.3" footer="0.3"/>
      <pageSetup paperSize="9" orientation="portrait" r:id="rId32"/>
    </customSheetView>
    <customSheetView guid="{472DFAFE-DC7C-463D-92A0-F6A14555FDD6}" scale="70">
      <pane xSplit="1" ySplit="4" topLeftCell="L77" activePane="bottomRight" state="frozen"/>
      <selection pane="bottomRight" activeCell="AF77" sqref="AF77:AF84"/>
      <pageMargins left="0.7" right="0.7" top="0.75" bottom="0.75" header="0.3" footer="0.3"/>
      <pageSetup paperSize="9" orientation="portrait" r:id="rId33"/>
    </customSheetView>
    <customSheetView guid="{B43381A8-767B-4F49-BD2E-0056691293F3}" scale="70">
      <pane xSplit="1" ySplit="4" topLeftCell="L77" activePane="bottomRight" state="frozen"/>
      <selection pane="bottomRight" activeCell="AF77" sqref="AF77:AF84"/>
      <pageMargins left="0.7" right="0.7" top="0.75" bottom="0.75" header="0.3" footer="0.3"/>
      <pageSetup paperSize="9" orientation="portrait" r:id="rId34"/>
    </customSheetView>
  </customSheetViews>
  <mergeCells count="53">
    <mergeCell ref="AF77:AF84"/>
    <mergeCell ref="AF86:AF90"/>
    <mergeCell ref="AF92:AF96"/>
    <mergeCell ref="A20:AE20"/>
    <mergeCell ref="AF20:AF26"/>
    <mergeCell ref="A41:AE41"/>
    <mergeCell ref="A42:AE42"/>
    <mergeCell ref="AF42:AF48"/>
    <mergeCell ref="A49:AE49"/>
    <mergeCell ref="AF6:AF12"/>
    <mergeCell ref="A13:AE13"/>
    <mergeCell ref="AF13:AF19"/>
    <mergeCell ref="X3:X4"/>
    <mergeCell ref="Y3:Y4"/>
    <mergeCell ref="Z3:Z4"/>
    <mergeCell ref="AA3:AA4"/>
    <mergeCell ref="AB3:AB4"/>
    <mergeCell ref="AC3:AC4"/>
    <mergeCell ref="R3:R4"/>
    <mergeCell ref="S3:S4"/>
    <mergeCell ref="T3:T4"/>
    <mergeCell ref="U3:U4"/>
    <mergeCell ref="AF2:AF4"/>
    <mergeCell ref="X2:Y2"/>
    <mergeCell ref="V3:V4"/>
    <mergeCell ref="AB2:AC2"/>
    <mergeCell ref="AD2:AE2"/>
    <mergeCell ref="AD3:AD4"/>
    <mergeCell ref="AE3:AE4"/>
    <mergeCell ref="A6:AE6"/>
    <mergeCell ref="F3:F4"/>
    <mergeCell ref="G3:G4"/>
    <mergeCell ref="N3:N4"/>
    <mergeCell ref="O3:O4"/>
    <mergeCell ref="P3:P4"/>
    <mergeCell ref="Q3:Q4"/>
    <mergeCell ref="N2:O2"/>
    <mergeCell ref="P2:Q2"/>
    <mergeCell ref="R2:S2"/>
    <mergeCell ref="T2:U2"/>
    <mergeCell ref="V2:W2"/>
    <mergeCell ref="W3:W4"/>
    <mergeCell ref="Z2:AA2"/>
    <mergeCell ref="A1:Y1"/>
    <mergeCell ref="A2:A4"/>
    <mergeCell ref="B2:B4"/>
    <mergeCell ref="C2:C4"/>
    <mergeCell ref="D2:D4"/>
    <mergeCell ref="E2:E4"/>
    <mergeCell ref="F2:G2"/>
    <mergeCell ref="H2:I2"/>
    <mergeCell ref="J2:K2"/>
    <mergeCell ref="L2:M2"/>
  </mergeCells>
  <hyperlinks>
    <hyperlink ref="A1:Y1" location="Оглавление!A1" display="Отчет о ходе реализации (сетевой график) муниципальной программы &quot;Формирование комфортной городской среды в городе Когалыме&quot; "/>
  </hyperlinks>
  <pageMargins left="0.7" right="0.7" top="0.75" bottom="0.75" header="0.3" footer="0.3"/>
  <pageSetup paperSize="9" orientation="portrait" r:id="rId3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7"/>
  <sheetViews>
    <sheetView zoomScale="55" zoomScaleNormal="55" workbookViewId="0">
      <pane xSplit="7" ySplit="7" topLeftCell="H89" activePane="bottomRight" state="frozen"/>
      <selection pane="topRight" activeCell="H1" sqref="H1"/>
      <selection pane="bottomLeft" activeCell="A8" sqref="A8"/>
      <selection pane="bottomRight" activeCell="R129" sqref="R129"/>
    </sheetView>
  </sheetViews>
  <sheetFormatPr defaultColWidth="9.140625" defaultRowHeight="15" x14ac:dyDescent="0.25"/>
  <cols>
    <col min="1" max="1" width="44.42578125" style="355" customWidth="1"/>
    <col min="2" max="7" width="13.28515625" style="355" customWidth="1"/>
    <col min="8" max="8" width="11.42578125" style="355" customWidth="1"/>
    <col min="9" max="11" width="12.28515625" style="355" customWidth="1"/>
    <col min="12" max="12" width="13" style="355" customWidth="1"/>
    <col min="13" max="13" width="12.5703125" style="355" customWidth="1"/>
    <col min="14" max="14" width="13.28515625" style="355" customWidth="1"/>
    <col min="15" max="15" width="13.5703125" style="355" customWidth="1"/>
    <col min="16" max="17" width="12.28515625" style="355" customWidth="1"/>
    <col min="18" max="19" width="15.42578125" style="355" customWidth="1"/>
    <col min="20" max="26" width="14.85546875" style="355" customWidth="1"/>
    <col min="27" max="27" width="12.28515625" style="355" customWidth="1"/>
    <col min="28" max="28" width="13" style="355" customWidth="1"/>
    <col min="29" max="29" width="13.5703125" style="355" customWidth="1"/>
    <col min="30" max="30" width="12.28515625" style="355" customWidth="1"/>
    <col min="31" max="31" width="13.85546875" style="355" customWidth="1"/>
    <col min="32" max="32" width="64.5703125" style="355" customWidth="1"/>
    <col min="33" max="33" width="12.42578125" style="355" customWidth="1"/>
    <col min="34" max="16384" width="9.140625" style="355"/>
  </cols>
  <sheetData>
    <row r="1" spans="1:32" ht="18.75" x14ac:dyDescent="0.25">
      <c r="A1" s="1278" t="s">
        <v>427</v>
      </c>
      <c r="B1" s="1278"/>
      <c r="C1" s="1278"/>
      <c r="D1" s="1278"/>
      <c r="E1" s="1278"/>
      <c r="F1" s="1278"/>
      <c r="G1" s="1278"/>
      <c r="H1" s="1278"/>
      <c r="I1" s="1278"/>
      <c r="J1" s="1278"/>
      <c r="K1" s="1278"/>
      <c r="L1" s="1278"/>
      <c r="M1" s="1278"/>
      <c r="N1" s="1278"/>
      <c r="O1" s="1278"/>
      <c r="P1" s="1278"/>
      <c r="Q1" s="1278"/>
      <c r="R1" s="1278"/>
      <c r="S1" s="1278"/>
      <c r="T1" s="1278"/>
      <c r="U1" s="1278"/>
      <c r="V1" s="1278"/>
      <c r="W1" s="1278"/>
      <c r="X1" s="353"/>
      <c r="Y1" s="353"/>
      <c r="Z1" s="353"/>
      <c r="AA1" s="353"/>
      <c r="AB1" s="353"/>
      <c r="AC1" s="353"/>
      <c r="AD1" s="353"/>
      <c r="AE1" s="354"/>
      <c r="AF1" s="354"/>
    </row>
    <row r="2" spans="1:32" ht="15.75" x14ac:dyDescent="0.25">
      <c r="A2" s="354"/>
      <c r="B2" s="354"/>
      <c r="C2" s="356"/>
      <c r="D2" s="356"/>
      <c r="E2" s="356"/>
      <c r="F2" s="356"/>
      <c r="G2" s="356"/>
      <c r="H2" s="357"/>
      <c r="I2" s="354"/>
      <c r="J2" s="354"/>
      <c r="K2" s="354"/>
      <c r="L2" s="354"/>
      <c r="M2" s="354"/>
      <c r="N2" s="354"/>
      <c r="O2" s="354"/>
      <c r="P2" s="354"/>
      <c r="Q2" s="354"/>
      <c r="R2" s="354"/>
      <c r="S2" s="354"/>
      <c r="T2" s="354"/>
      <c r="U2" s="354"/>
      <c r="V2" s="354"/>
      <c r="W2" s="354"/>
      <c r="X2" s="354"/>
      <c r="Y2" s="354"/>
      <c r="Z2" s="354"/>
      <c r="AA2" s="354"/>
      <c r="AB2" s="354"/>
      <c r="AC2" s="354"/>
      <c r="AD2" s="354"/>
      <c r="AE2" s="354"/>
      <c r="AF2" s="354"/>
    </row>
    <row r="3" spans="1:32" ht="15.75" x14ac:dyDescent="0.25">
      <c r="A3" s="1310" t="s">
        <v>428</v>
      </c>
      <c r="B3" s="1311" t="s">
        <v>384</v>
      </c>
      <c r="C3" s="1313" t="s">
        <v>664</v>
      </c>
      <c r="D3" s="1313" t="s">
        <v>665</v>
      </c>
      <c r="E3" s="1313" t="s">
        <v>666</v>
      </c>
      <c r="F3" s="1315" t="s">
        <v>385</v>
      </c>
      <c r="G3" s="1316"/>
      <c r="H3" s="1317" t="s">
        <v>7</v>
      </c>
      <c r="I3" s="1318"/>
      <c r="J3" s="1317" t="s">
        <v>8</v>
      </c>
      <c r="K3" s="1318"/>
      <c r="L3" s="1317" t="s">
        <v>9</v>
      </c>
      <c r="M3" s="1318"/>
      <c r="N3" s="1317" t="s">
        <v>10</v>
      </c>
      <c r="O3" s="1318"/>
      <c r="P3" s="1317" t="s">
        <v>11</v>
      </c>
      <c r="Q3" s="1318"/>
      <c r="R3" s="1317" t="s">
        <v>12</v>
      </c>
      <c r="S3" s="1318"/>
      <c r="T3" s="1317" t="s">
        <v>13</v>
      </c>
      <c r="U3" s="1318"/>
      <c r="V3" s="1317" t="s">
        <v>14</v>
      </c>
      <c r="W3" s="1318"/>
      <c r="X3" s="1317" t="s">
        <v>15</v>
      </c>
      <c r="Y3" s="1318"/>
      <c r="Z3" s="1317" t="s">
        <v>16</v>
      </c>
      <c r="AA3" s="1318"/>
      <c r="AB3" s="1317" t="s">
        <v>17</v>
      </c>
      <c r="AC3" s="1318"/>
      <c r="AD3" s="1319" t="s">
        <v>18</v>
      </c>
      <c r="AE3" s="1319"/>
      <c r="AF3" s="1320" t="s">
        <v>19</v>
      </c>
    </row>
    <row r="4" spans="1:32" ht="47.25" x14ac:dyDescent="0.25">
      <c r="A4" s="1310"/>
      <c r="B4" s="1312"/>
      <c r="C4" s="1314"/>
      <c r="D4" s="1314"/>
      <c r="E4" s="1314"/>
      <c r="F4" s="359" t="s">
        <v>386</v>
      </c>
      <c r="G4" s="359" t="s">
        <v>21</v>
      </c>
      <c r="H4" s="360" t="s">
        <v>165</v>
      </c>
      <c r="I4" s="360" t="s">
        <v>429</v>
      </c>
      <c r="J4" s="360" t="s">
        <v>165</v>
      </c>
      <c r="K4" s="361" t="s">
        <v>429</v>
      </c>
      <c r="L4" s="360" t="s">
        <v>165</v>
      </c>
      <c r="M4" s="360" t="s">
        <v>429</v>
      </c>
      <c r="N4" s="360" t="s">
        <v>165</v>
      </c>
      <c r="O4" s="360" t="s">
        <v>429</v>
      </c>
      <c r="P4" s="360" t="s">
        <v>165</v>
      </c>
      <c r="Q4" s="360" t="s">
        <v>429</v>
      </c>
      <c r="R4" s="360" t="s">
        <v>165</v>
      </c>
      <c r="S4" s="360" t="s">
        <v>429</v>
      </c>
      <c r="T4" s="360" t="s">
        <v>165</v>
      </c>
      <c r="U4" s="360" t="s">
        <v>429</v>
      </c>
      <c r="V4" s="360" t="s">
        <v>165</v>
      </c>
      <c r="W4" s="360" t="s">
        <v>429</v>
      </c>
      <c r="X4" s="360" t="s">
        <v>165</v>
      </c>
      <c r="Y4" s="360" t="s">
        <v>429</v>
      </c>
      <c r="Z4" s="360" t="s">
        <v>165</v>
      </c>
      <c r="AA4" s="360" t="s">
        <v>429</v>
      </c>
      <c r="AB4" s="360" t="s">
        <v>165</v>
      </c>
      <c r="AC4" s="360" t="s">
        <v>429</v>
      </c>
      <c r="AD4" s="360" t="s">
        <v>165</v>
      </c>
      <c r="AE4" s="360" t="s">
        <v>429</v>
      </c>
      <c r="AF4" s="1320"/>
    </row>
    <row r="5" spans="1:32" ht="15.75" x14ac:dyDescent="0.25">
      <c r="A5" s="360">
        <v>1</v>
      </c>
      <c r="B5" s="362">
        <v>2</v>
      </c>
      <c r="C5" s="363">
        <v>3</v>
      </c>
      <c r="D5" s="363">
        <v>4</v>
      </c>
      <c r="E5" s="363">
        <v>5</v>
      </c>
      <c r="F5" s="361">
        <v>6</v>
      </c>
      <c r="G5" s="361">
        <v>7</v>
      </c>
      <c r="H5" s="360">
        <v>8</v>
      </c>
      <c r="I5" s="360">
        <v>9</v>
      </c>
      <c r="J5" s="360">
        <v>10</v>
      </c>
      <c r="K5" s="360">
        <v>11</v>
      </c>
      <c r="L5" s="360">
        <v>12</v>
      </c>
      <c r="M5" s="360">
        <v>13</v>
      </c>
      <c r="N5" s="360">
        <v>14</v>
      </c>
      <c r="O5" s="360">
        <v>15</v>
      </c>
      <c r="P5" s="360">
        <v>16</v>
      </c>
      <c r="Q5" s="360">
        <v>17</v>
      </c>
      <c r="R5" s="360">
        <v>18</v>
      </c>
      <c r="S5" s="360">
        <v>19</v>
      </c>
      <c r="T5" s="360">
        <v>20</v>
      </c>
      <c r="U5" s="360">
        <v>21</v>
      </c>
      <c r="V5" s="360">
        <v>22</v>
      </c>
      <c r="W5" s="360">
        <v>23</v>
      </c>
      <c r="X5" s="360">
        <v>24</v>
      </c>
      <c r="Y5" s="360">
        <v>25</v>
      </c>
      <c r="Z5" s="360">
        <v>26</v>
      </c>
      <c r="AA5" s="360">
        <v>27</v>
      </c>
      <c r="AB5" s="360">
        <v>28</v>
      </c>
      <c r="AC5" s="360">
        <v>29</v>
      </c>
      <c r="AD5" s="360">
        <v>30</v>
      </c>
      <c r="AE5" s="360">
        <v>31</v>
      </c>
      <c r="AF5" s="358">
        <v>32</v>
      </c>
    </row>
    <row r="6" spans="1:32" ht="15.75" x14ac:dyDescent="0.25">
      <c r="A6" s="1321" t="s">
        <v>54</v>
      </c>
      <c r="B6" s="1322"/>
      <c r="C6" s="1322"/>
      <c r="D6" s="1322"/>
      <c r="E6" s="1322"/>
      <c r="F6" s="1322"/>
      <c r="G6" s="1322"/>
      <c r="H6" s="1322"/>
      <c r="I6" s="1322"/>
      <c r="J6" s="1322"/>
      <c r="K6" s="1322"/>
      <c r="L6" s="1322"/>
      <c r="M6" s="1322"/>
      <c r="N6" s="1322"/>
      <c r="O6" s="1322"/>
      <c r="P6" s="1322"/>
      <c r="Q6" s="1322"/>
      <c r="R6" s="1322"/>
      <c r="S6" s="1322"/>
      <c r="T6" s="1322"/>
      <c r="U6" s="1322"/>
      <c r="V6" s="1322"/>
      <c r="W6" s="1322"/>
      <c r="X6" s="1322"/>
      <c r="Y6" s="1322"/>
      <c r="Z6" s="1322"/>
      <c r="AA6" s="1322"/>
      <c r="AB6" s="1322"/>
      <c r="AC6" s="1322"/>
      <c r="AD6" s="1322"/>
      <c r="AE6" s="1323"/>
      <c r="AF6" s="364"/>
    </row>
    <row r="7" spans="1:32" ht="15.75" x14ac:dyDescent="0.25">
      <c r="A7" s="754" t="s">
        <v>588</v>
      </c>
      <c r="B7" s="632"/>
      <c r="C7" s="632"/>
      <c r="D7" s="632"/>
      <c r="E7" s="632"/>
      <c r="F7" s="632"/>
      <c r="G7" s="632"/>
      <c r="H7" s="632"/>
      <c r="I7" s="632"/>
      <c r="J7" s="632"/>
      <c r="K7" s="632"/>
      <c r="L7" s="632"/>
      <c r="M7" s="632"/>
      <c r="N7" s="632"/>
      <c r="O7" s="632"/>
      <c r="P7" s="632"/>
      <c r="Q7" s="632"/>
      <c r="R7" s="632"/>
      <c r="S7" s="632"/>
      <c r="T7" s="632"/>
      <c r="U7" s="632"/>
      <c r="V7" s="632"/>
      <c r="W7" s="632"/>
      <c r="X7" s="632"/>
      <c r="Y7" s="632"/>
      <c r="Z7" s="632"/>
      <c r="AA7" s="632"/>
      <c r="AB7" s="632"/>
      <c r="AC7" s="632"/>
      <c r="AD7" s="632"/>
      <c r="AE7" s="633"/>
      <c r="AF7" s="365"/>
    </row>
    <row r="8" spans="1:32" ht="15.75" x14ac:dyDescent="0.25">
      <c r="A8" s="268" t="s">
        <v>430</v>
      </c>
      <c r="B8" s="269">
        <f>B10+B11+B9+B13</f>
        <v>179986.41499999998</v>
      </c>
      <c r="C8" s="269">
        <f t="shared" ref="C8:J8" si="0">C10+C11+C9+C13</f>
        <v>179986.41499999998</v>
      </c>
      <c r="D8" s="269">
        <f t="shared" si="0"/>
        <v>168287.63544000001</v>
      </c>
      <c r="E8" s="269">
        <f t="shared" si="0"/>
        <v>168287.63544000001</v>
      </c>
      <c r="F8" s="1030">
        <f t="shared" ref="F8" si="1">IFERROR(E8/B8*100,0)</f>
        <v>93.500187466926349</v>
      </c>
      <c r="G8" s="1030">
        <f t="shared" ref="G8" si="2">IFERROR(E8/C8*100,0)</f>
        <v>93.500187466926349</v>
      </c>
      <c r="H8" s="269">
        <f t="shared" si="0"/>
        <v>5148.46</v>
      </c>
      <c r="I8" s="269">
        <f t="shared" si="0"/>
        <v>2013.02</v>
      </c>
      <c r="J8" s="269">
        <f t="shared" si="0"/>
        <v>16984.64</v>
      </c>
      <c r="K8" s="269">
        <f>K10+K11+K9+K13</f>
        <v>13255.13</v>
      </c>
      <c r="L8" s="269">
        <f t="shared" ref="L8:AE8" si="3">L10+L11+L9+L13</f>
        <v>20893.900000000001</v>
      </c>
      <c r="M8" s="269">
        <f t="shared" si="3"/>
        <v>17857.240000000002</v>
      </c>
      <c r="N8" s="269">
        <f t="shared" si="3"/>
        <v>20244.52</v>
      </c>
      <c r="O8" s="269">
        <f t="shared" si="3"/>
        <v>16651.55</v>
      </c>
      <c r="P8" s="269">
        <f t="shared" si="3"/>
        <v>11837.449999999999</v>
      </c>
      <c r="Q8" s="269">
        <f t="shared" si="3"/>
        <v>9747.76</v>
      </c>
      <c r="R8" s="269">
        <f t="shared" si="3"/>
        <v>12498.955</v>
      </c>
      <c r="S8" s="269">
        <f t="shared" si="3"/>
        <v>7554.0450000000001</v>
      </c>
      <c r="T8" s="269">
        <f t="shared" si="3"/>
        <v>11076.02</v>
      </c>
      <c r="U8" s="269">
        <f t="shared" si="3"/>
        <v>15226.59</v>
      </c>
      <c r="V8" s="269">
        <f t="shared" si="3"/>
        <v>16386.09</v>
      </c>
      <c r="W8" s="269">
        <f t="shared" si="3"/>
        <v>14755.370439999999</v>
      </c>
      <c r="X8" s="269">
        <f t="shared" si="3"/>
        <v>15526.66</v>
      </c>
      <c r="Y8" s="269">
        <f t="shared" si="3"/>
        <v>12415</v>
      </c>
      <c r="Z8" s="269">
        <f t="shared" si="3"/>
        <v>26672.13</v>
      </c>
      <c r="AA8" s="269">
        <f t="shared" si="3"/>
        <v>27835.75</v>
      </c>
      <c r="AB8" s="269">
        <f t="shared" si="3"/>
        <v>6985.41</v>
      </c>
      <c r="AC8" s="269">
        <f t="shared" si="3"/>
        <v>4113.34</v>
      </c>
      <c r="AD8" s="269">
        <f t="shared" si="3"/>
        <v>15732.18</v>
      </c>
      <c r="AE8" s="269">
        <f t="shared" si="3"/>
        <v>26862.839999999997</v>
      </c>
      <c r="AF8" s="621"/>
    </row>
    <row r="9" spans="1:32" ht="15.75" x14ac:dyDescent="0.25">
      <c r="A9" s="366" t="s">
        <v>169</v>
      </c>
      <c r="B9" s="367">
        <f t="shared" ref="B9:C13" si="4">B16+B23+B30+B37</f>
        <v>0</v>
      </c>
      <c r="C9" s="367">
        <f t="shared" si="4"/>
        <v>0</v>
      </c>
      <c r="D9" s="368">
        <f>E9</f>
        <v>0</v>
      </c>
      <c r="E9" s="368">
        <f>E16+E23+E30+E37</f>
        <v>0</v>
      </c>
      <c r="F9" s="368">
        <f>IFERROR(E9/B9*100,0)</f>
        <v>0</v>
      </c>
      <c r="G9" s="368">
        <f>IFERROR(E9/C9*100,0)</f>
        <v>0</v>
      </c>
      <c r="H9" s="272">
        <f t="shared" ref="H9:AE9" si="5">H16+H23+H30+H37</f>
        <v>0</v>
      </c>
      <c r="I9" s="272">
        <f t="shared" si="5"/>
        <v>0</v>
      </c>
      <c r="J9" s="272">
        <f t="shared" si="5"/>
        <v>0</v>
      </c>
      <c r="K9" s="272">
        <f t="shared" si="5"/>
        <v>0</v>
      </c>
      <c r="L9" s="272">
        <f t="shared" si="5"/>
        <v>0</v>
      </c>
      <c r="M9" s="272">
        <f t="shared" si="5"/>
        <v>0</v>
      </c>
      <c r="N9" s="272">
        <f t="shared" si="5"/>
        <v>0</v>
      </c>
      <c r="O9" s="272">
        <f t="shared" si="5"/>
        <v>0</v>
      </c>
      <c r="P9" s="272">
        <f t="shared" si="5"/>
        <v>0</v>
      </c>
      <c r="Q9" s="272">
        <f t="shared" si="5"/>
        <v>0</v>
      </c>
      <c r="R9" s="272">
        <f t="shared" si="5"/>
        <v>0</v>
      </c>
      <c r="S9" s="272">
        <f t="shared" si="5"/>
        <v>0</v>
      </c>
      <c r="T9" s="272">
        <f t="shared" si="5"/>
        <v>0</v>
      </c>
      <c r="U9" s="272">
        <f t="shared" si="5"/>
        <v>0</v>
      </c>
      <c r="V9" s="272">
        <f t="shared" si="5"/>
        <v>0</v>
      </c>
      <c r="W9" s="272">
        <f t="shared" si="5"/>
        <v>0</v>
      </c>
      <c r="X9" s="272">
        <f t="shared" si="5"/>
        <v>0</v>
      </c>
      <c r="Y9" s="272">
        <f t="shared" si="5"/>
        <v>0</v>
      </c>
      <c r="Z9" s="272">
        <f t="shared" si="5"/>
        <v>0</v>
      </c>
      <c r="AA9" s="272">
        <f t="shared" si="5"/>
        <v>0</v>
      </c>
      <c r="AB9" s="272">
        <f t="shared" si="5"/>
        <v>0</v>
      </c>
      <c r="AC9" s="272">
        <f t="shared" si="5"/>
        <v>0</v>
      </c>
      <c r="AD9" s="272">
        <f t="shared" si="5"/>
        <v>0</v>
      </c>
      <c r="AE9" s="272">
        <f t="shared" si="5"/>
        <v>0</v>
      </c>
      <c r="AF9" s="622"/>
    </row>
    <row r="10" spans="1:32" ht="15.75" x14ac:dyDescent="0.25">
      <c r="A10" s="271" t="s">
        <v>32</v>
      </c>
      <c r="B10" s="367">
        <f>B17+B24+B31+B38</f>
        <v>0</v>
      </c>
      <c r="C10" s="367">
        <f t="shared" si="4"/>
        <v>0</v>
      </c>
      <c r="D10" s="368">
        <f>E10</f>
        <v>0</v>
      </c>
      <c r="E10" s="368">
        <f>E17+E24+E31+E38</f>
        <v>0</v>
      </c>
      <c r="F10" s="368">
        <f>IFERROR(E10/B10*100,0)</f>
        <v>0</v>
      </c>
      <c r="G10" s="368">
        <f>IFERROR(E10/C10*100,0)</f>
        <v>0</v>
      </c>
      <c r="H10" s="272">
        <f t="shared" ref="H10:AE10" si="6">H17+H24+H31+H38</f>
        <v>0</v>
      </c>
      <c r="I10" s="272">
        <f t="shared" si="6"/>
        <v>0</v>
      </c>
      <c r="J10" s="272">
        <f t="shared" si="6"/>
        <v>0</v>
      </c>
      <c r="K10" s="272">
        <f t="shared" si="6"/>
        <v>0</v>
      </c>
      <c r="L10" s="272">
        <f t="shared" si="6"/>
        <v>0</v>
      </c>
      <c r="M10" s="272">
        <f t="shared" si="6"/>
        <v>0</v>
      </c>
      <c r="N10" s="272">
        <f t="shared" si="6"/>
        <v>0</v>
      </c>
      <c r="O10" s="272">
        <f t="shared" si="6"/>
        <v>0</v>
      </c>
      <c r="P10" s="272">
        <f t="shared" si="6"/>
        <v>0</v>
      </c>
      <c r="Q10" s="272">
        <f t="shared" si="6"/>
        <v>0</v>
      </c>
      <c r="R10" s="272">
        <f t="shared" si="6"/>
        <v>0</v>
      </c>
      <c r="S10" s="272">
        <f t="shared" si="6"/>
        <v>0</v>
      </c>
      <c r="T10" s="272">
        <f t="shared" si="6"/>
        <v>0</v>
      </c>
      <c r="U10" s="272">
        <f t="shared" si="6"/>
        <v>0</v>
      </c>
      <c r="V10" s="272">
        <f t="shared" si="6"/>
        <v>0</v>
      </c>
      <c r="W10" s="272">
        <f t="shared" si="6"/>
        <v>0</v>
      </c>
      <c r="X10" s="272">
        <f t="shared" si="6"/>
        <v>0</v>
      </c>
      <c r="Y10" s="272">
        <f t="shared" si="6"/>
        <v>0</v>
      </c>
      <c r="Z10" s="272">
        <f t="shared" si="6"/>
        <v>0</v>
      </c>
      <c r="AA10" s="272">
        <f t="shared" si="6"/>
        <v>0</v>
      </c>
      <c r="AB10" s="272">
        <f t="shared" si="6"/>
        <v>0</v>
      </c>
      <c r="AC10" s="272">
        <f t="shared" si="6"/>
        <v>0</v>
      </c>
      <c r="AD10" s="272">
        <f t="shared" si="6"/>
        <v>0</v>
      </c>
      <c r="AE10" s="272">
        <f t="shared" si="6"/>
        <v>0</v>
      </c>
      <c r="AF10" s="622"/>
    </row>
    <row r="11" spans="1:32" ht="15.75" x14ac:dyDescent="0.25">
      <c r="A11" s="271" t="s">
        <v>33</v>
      </c>
      <c r="B11" s="367">
        <f>B18+B25+B32+B39</f>
        <v>179986.41499999998</v>
      </c>
      <c r="C11" s="367">
        <f t="shared" ref="C11:S11" si="7">C18+C25+C32+C39</f>
        <v>179986.41499999998</v>
      </c>
      <c r="D11" s="367">
        <f t="shared" si="7"/>
        <v>168287.63544000001</v>
      </c>
      <c r="E11" s="367">
        <f t="shared" si="7"/>
        <v>168287.63544000001</v>
      </c>
      <c r="F11" s="367">
        <f t="shared" ref="F11" si="8">IFERROR(E11/B11*100,0)</f>
        <v>93.500187466926349</v>
      </c>
      <c r="G11" s="367">
        <f t="shared" ref="G11" si="9">IFERROR(E11/C11*100,0)</f>
        <v>93.500187466926349</v>
      </c>
      <c r="H11" s="367">
        <f t="shared" si="7"/>
        <v>5148.46</v>
      </c>
      <c r="I11" s="367">
        <f t="shared" si="7"/>
        <v>2013.02</v>
      </c>
      <c r="J11" s="367">
        <f t="shared" si="7"/>
        <v>16984.64</v>
      </c>
      <c r="K11" s="367">
        <f t="shared" si="7"/>
        <v>13255.13</v>
      </c>
      <c r="L11" s="367">
        <f t="shared" si="7"/>
        <v>20893.900000000001</v>
      </c>
      <c r="M11" s="367">
        <f t="shared" si="7"/>
        <v>17857.240000000002</v>
      </c>
      <c r="N11" s="367">
        <f t="shared" si="7"/>
        <v>20244.52</v>
      </c>
      <c r="O11" s="367">
        <f t="shared" si="7"/>
        <v>16651.55</v>
      </c>
      <c r="P11" s="367">
        <f t="shared" si="7"/>
        <v>11837.449999999999</v>
      </c>
      <c r="Q11" s="367">
        <f t="shared" si="7"/>
        <v>9747.76</v>
      </c>
      <c r="R11" s="367">
        <f t="shared" si="7"/>
        <v>12498.955</v>
      </c>
      <c r="S11" s="367">
        <f t="shared" si="7"/>
        <v>7554.0450000000001</v>
      </c>
      <c r="T11" s="272">
        <f t="shared" ref="T11:AE11" si="10">T18+T25+T32+T39</f>
        <v>11076.02</v>
      </c>
      <c r="U11" s="272">
        <f t="shared" si="10"/>
        <v>15226.59</v>
      </c>
      <c r="V11" s="272">
        <f t="shared" si="10"/>
        <v>16386.09</v>
      </c>
      <c r="W11" s="272">
        <f t="shared" si="10"/>
        <v>14755.370439999999</v>
      </c>
      <c r="X11" s="272">
        <f t="shared" si="10"/>
        <v>15526.66</v>
      </c>
      <c r="Y11" s="272">
        <f t="shared" si="10"/>
        <v>12415</v>
      </c>
      <c r="Z11" s="272">
        <f t="shared" si="10"/>
        <v>26672.13</v>
      </c>
      <c r="AA11" s="272">
        <f t="shared" si="10"/>
        <v>27835.75</v>
      </c>
      <c r="AB11" s="272">
        <f t="shared" si="10"/>
        <v>6985.41</v>
      </c>
      <c r="AC11" s="272">
        <f>AC18+AC25+AC32+AC39</f>
        <v>4113.34</v>
      </c>
      <c r="AD11" s="272">
        <f t="shared" si="10"/>
        <v>15732.18</v>
      </c>
      <c r="AE11" s="272">
        <f t="shared" si="10"/>
        <v>26862.839999999997</v>
      </c>
      <c r="AF11" s="622"/>
    </row>
    <row r="12" spans="1:32" ht="31.5" x14ac:dyDescent="0.25">
      <c r="A12" s="283" t="s">
        <v>174</v>
      </c>
      <c r="B12" s="367">
        <f t="shared" si="4"/>
        <v>0</v>
      </c>
      <c r="C12" s="367">
        <f t="shared" si="4"/>
        <v>0</v>
      </c>
      <c r="D12" s="368">
        <f>E12</f>
        <v>0</v>
      </c>
      <c r="E12" s="368">
        <f>E19+E26+E33+E40</f>
        <v>0</v>
      </c>
      <c r="F12" s="368">
        <f>IFERROR(E12/B12*100,0)</f>
        <v>0</v>
      </c>
      <c r="G12" s="368">
        <f>IFERROR(E12/C12*100,0)</f>
        <v>0</v>
      </c>
      <c r="H12" s="272">
        <f t="shared" ref="H12:AE12" si="11">H19+H26+H33+H40</f>
        <v>0</v>
      </c>
      <c r="I12" s="272">
        <f t="shared" si="11"/>
        <v>0</v>
      </c>
      <c r="J12" s="272">
        <f t="shared" si="11"/>
        <v>0</v>
      </c>
      <c r="K12" s="272">
        <f t="shared" si="11"/>
        <v>0</v>
      </c>
      <c r="L12" s="272">
        <f t="shared" si="11"/>
        <v>0</v>
      </c>
      <c r="M12" s="272">
        <f t="shared" si="11"/>
        <v>0</v>
      </c>
      <c r="N12" s="272">
        <f t="shared" si="11"/>
        <v>0</v>
      </c>
      <c r="O12" s="272">
        <f t="shared" si="11"/>
        <v>0</v>
      </c>
      <c r="P12" s="272">
        <f t="shared" si="11"/>
        <v>0</v>
      </c>
      <c r="Q12" s="272">
        <f t="shared" si="11"/>
        <v>0</v>
      </c>
      <c r="R12" s="272">
        <f t="shared" si="11"/>
        <v>0</v>
      </c>
      <c r="S12" s="272">
        <f t="shared" si="11"/>
        <v>0</v>
      </c>
      <c r="T12" s="272">
        <f t="shared" si="11"/>
        <v>0</v>
      </c>
      <c r="U12" s="272">
        <f t="shared" si="11"/>
        <v>0</v>
      </c>
      <c r="V12" s="272">
        <f t="shared" si="11"/>
        <v>0</v>
      </c>
      <c r="W12" s="272">
        <f t="shared" si="11"/>
        <v>0</v>
      </c>
      <c r="X12" s="272">
        <f t="shared" si="11"/>
        <v>0</v>
      </c>
      <c r="Y12" s="272">
        <f t="shared" si="11"/>
        <v>0</v>
      </c>
      <c r="Z12" s="272">
        <f t="shared" si="11"/>
        <v>0</v>
      </c>
      <c r="AA12" s="272">
        <f t="shared" si="11"/>
        <v>0</v>
      </c>
      <c r="AB12" s="272">
        <f t="shared" si="11"/>
        <v>0</v>
      </c>
      <c r="AC12" s="272">
        <f t="shared" si="11"/>
        <v>0</v>
      </c>
      <c r="AD12" s="272">
        <f t="shared" si="11"/>
        <v>0</v>
      </c>
      <c r="AE12" s="272">
        <f t="shared" si="11"/>
        <v>0</v>
      </c>
      <c r="AF12" s="622"/>
    </row>
    <row r="13" spans="1:32" ht="15.75" x14ac:dyDescent="0.25">
      <c r="A13" s="271" t="s">
        <v>221</v>
      </c>
      <c r="B13" s="367">
        <f t="shared" si="4"/>
        <v>0</v>
      </c>
      <c r="C13" s="367">
        <f t="shared" si="4"/>
        <v>0</v>
      </c>
      <c r="D13" s="368">
        <f>E13</f>
        <v>0</v>
      </c>
      <c r="E13" s="368">
        <f>E20+E27+E34+E41</f>
        <v>0</v>
      </c>
      <c r="F13" s="368">
        <f>IFERROR(E13/B13*100,0)</f>
        <v>0</v>
      </c>
      <c r="G13" s="368">
        <f>IFERROR(E13/C13*100,0)</f>
        <v>0</v>
      </c>
      <c r="H13" s="272">
        <f t="shared" ref="H13:AE13" si="12">H20+H27+H34+H41</f>
        <v>0</v>
      </c>
      <c r="I13" s="272">
        <f t="shared" si="12"/>
        <v>0</v>
      </c>
      <c r="J13" s="272">
        <f t="shared" si="12"/>
        <v>0</v>
      </c>
      <c r="K13" s="272">
        <f t="shared" si="12"/>
        <v>0</v>
      </c>
      <c r="L13" s="272">
        <f t="shared" si="12"/>
        <v>0</v>
      </c>
      <c r="M13" s="272">
        <f t="shared" si="12"/>
        <v>0</v>
      </c>
      <c r="N13" s="272">
        <f t="shared" si="12"/>
        <v>0</v>
      </c>
      <c r="O13" s="272">
        <f t="shared" si="12"/>
        <v>0</v>
      </c>
      <c r="P13" s="272">
        <f t="shared" si="12"/>
        <v>0</v>
      </c>
      <c r="Q13" s="272">
        <f t="shared" si="12"/>
        <v>0</v>
      </c>
      <c r="R13" s="272">
        <f t="shared" si="12"/>
        <v>0</v>
      </c>
      <c r="S13" s="272">
        <f t="shared" si="12"/>
        <v>0</v>
      </c>
      <c r="T13" s="272">
        <f t="shared" si="12"/>
        <v>0</v>
      </c>
      <c r="U13" s="272">
        <f t="shared" si="12"/>
        <v>0</v>
      </c>
      <c r="V13" s="272">
        <f t="shared" si="12"/>
        <v>0</v>
      </c>
      <c r="W13" s="272">
        <f t="shared" si="12"/>
        <v>0</v>
      </c>
      <c r="X13" s="272">
        <f t="shared" si="12"/>
        <v>0</v>
      </c>
      <c r="Y13" s="272">
        <f t="shared" si="12"/>
        <v>0</v>
      </c>
      <c r="Z13" s="272">
        <f t="shared" si="12"/>
        <v>0</v>
      </c>
      <c r="AA13" s="272">
        <f t="shared" si="12"/>
        <v>0</v>
      </c>
      <c r="AB13" s="272">
        <f t="shared" si="12"/>
        <v>0</v>
      </c>
      <c r="AC13" s="272">
        <f t="shared" si="12"/>
        <v>0</v>
      </c>
      <c r="AD13" s="272">
        <f t="shared" si="12"/>
        <v>0</v>
      </c>
      <c r="AE13" s="272">
        <f t="shared" si="12"/>
        <v>0</v>
      </c>
      <c r="AF13" s="623"/>
    </row>
    <row r="14" spans="1:32" s="489" customFormat="1" ht="15.75" x14ac:dyDescent="0.25">
      <c r="A14" s="754" t="s">
        <v>431</v>
      </c>
      <c r="B14" s="632"/>
      <c r="C14" s="632"/>
      <c r="D14" s="632"/>
      <c r="E14" s="632"/>
      <c r="F14" s="632"/>
      <c r="G14" s="632"/>
      <c r="H14" s="632"/>
      <c r="I14" s="632"/>
      <c r="J14" s="632"/>
      <c r="K14" s="632"/>
      <c r="L14" s="632"/>
      <c r="M14" s="632"/>
      <c r="N14" s="632"/>
      <c r="O14" s="632"/>
      <c r="P14" s="632"/>
      <c r="Q14" s="632"/>
      <c r="R14" s="632"/>
      <c r="S14" s="632"/>
      <c r="T14" s="632"/>
      <c r="U14" s="632"/>
      <c r="V14" s="632"/>
      <c r="W14" s="632"/>
      <c r="X14" s="632"/>
      <c r="Y14" s="632"/>
      <c r="Z14" s="632"/>
      <c r="AA14" s="632"/>
      <c r="AB14" s="632"/>
      <c r="AC14" s="632"/>
      <c r="AD14" s="632"/>
      <c r="AE14" s="633"/>
      <c r="AF14" s="622"/>
    </row>
    <row r="15" spans="1:32" s="489" customFormat="1" ht="409.5" x14ac:dyDescent="0.25">
      <c r="A15" s="271" t="s">
        <v>430</v>
      </c>
      <c r="B15" s="367">
        <f>B16+B17+B18+B20</f>
        <v>70373.75</v>
      </c>
      <c r="C15" s="367">
        <f>C16+C17+C18+C20</f>
        <v>70373.75</v>
      </c>
      <c r="D15" s="367">
        <f>D16+D17+D18+D20</f>
        <v>61387.91</v>
      </c>
      <c r="E15" s="581">
        <f>E16+E17+E18+E20</f>
        <v>61387.91</v>
      </c>
      <c r="F15" s="367">
        <f t="shared" ref="F15" si="13">IFERROR(E15/B15*100,0)</f>
        <v>87.231261656512544</v>
      </c>
      <c r="G15" s="367">
        <f t="shared" ref="G15" si="14">IFERROR(E15/C15*100,0)</f>
        <v>87.231261656512544</v>
      </c>
      <c r="H15" s="272">
        <f t="shared" ref="H15:AE15" si="15">H16+H17+H18+H20</f>
        <v>5009.18</v>
      </c>
      <c r="I15" s="272">
        <f t="shared" si="15"/>
        <v>1954.18</v>
      </c>
      <c r="J15" s="272">
        <f t="shared" si="15"/>
        <v>7202.25</v>
      </c>
      <c r="K15" s="272">
        <f t="shared" si="15"/>
        <v>4076.99</v>
      </c>
      <c r="L15" s="272">
        <f t="shared" si="15"/>
        <v>6738.31</v>
      </c>
      <c r="M15" s="272">
        <f t="shared" si="15"/>
        <v>3595.14</v>
      </c>
      <c r="N15" s="272">
        <f t="shared" si="15"/>
        <v>5721.53</v>
      </c>
      <c r="O15" s="272">
        <f t="shared" si="15"/>
        <v>4581.09</v>
      </c>
      <c r="P15" s="272">
        <f t="shared" si="15"/>
        <v>6300.2099999999991</v>
      </c>
      <c r="Q15" s="272">
        <f t="shared" si="15"/>
        <v>4011.42</v>
      </c>
      <c r="R15" s="272">
        <f t="shared" si="15"/>
        <v>11553</v>
      </c>
      <c r="S15" s="272">
        <f t="shared" si="15"/>
        <v>4311.21</v>
      </c>
      <c r="T15" s="272">
        <f t="shared" si="15"/>
        <v>5837.2800000000007</v>
      </c>
      <c r="U15" s="272">
        <f t="shared" si="15"/>
        <v>9962.83</v>
      </c>
      <c r="V15" s="272">
        <f t="shared" si="15"/>
        <v>5807.4299999999994</v>
      </c>
      <c r="W15" s="272">
        <f t="shared" si="15"/>
        <v>4579.95</v>
      </c>
      <c r="X15" s="272">
        <f t="shared" si="15"/>
        <v>3548.1400000000003</v>
      </c>
      <c r="Y15" s="272">
        <f t="shared" si="15"/>
        <v>2904.47</v>
      </c>
      <c r="Z15" s="272">
        <f t="shared" si="15"/>
        <v>4593.32</v>
      </c>
      <c r="AA15" s="272">
        <f t="shared" si="15"/>
        <v>4974.16</v>
      </c>
      <c r="AB15" s="272">
        <f t="shared" si="15"/>
        <v>3886.27</v>
      </c>
      <c r="AC15" s="272">
        <f t="shared" si="15"/>
        <v>2769.57</v>
      </c>
      <c r="AD15" s="272">
        <f t="shared" si="15"/>
        <v>4176.83</v>
      </c>
      <c r="AE15" s="272">
        <f t="shared" si="15"/>
        <v>13666.9</v>
      </c>
      <c r="AF15" s="624" t="s">
        <v>641</v>
      </c>
    </row>
    <row r="16" spans="1:32" s="489" customFormat="1" ht="15.75" x14ac:dyDescent="0.25">
      <c r="A16" s="1000" t="s">
        <v>169</v>
      </c>
      <c r="B16" s="368">
        <f>H16+J16+L16+N16+P16+R16+T16+V16+X16+Z16+AB16+AD16</f>
        <v>0</v>
      </c>
      <c r="C16" s="368">
        <f>V16+T16+R16+H16+J16+L16+N16+P16+X16+Z16+AB16+AD16</f>
        <v>0</v>
      </c>
      <c r="D16" s="368">
        <f>E16</f>
        <v>0</v>
      </c>
      <c r="E16" s="368">
        <f>I16+K16+M16+O16+Q16+S16+U16+W16+Y16+AA16+AC16+AE16</f>
        <v>0</v>
      </c>
      <c r="F16" s="367">
        <f>IFERROR(E16/B16*100,0)</f>
        <v>0</v>
      </c>
      <c r="G16" s="367">
        <f>IFERROR(E16/C16*100,0)</f>
        <v>0</v>
      </c>
      <c r="H16" s="1002">
        <v>0</v>
      </c>
      <c r="I16" s="1002">
        <v>0</v>
      </c>
      <c r="J16" s="1002">
        <v>0</v>
      </c>
      <c r="K16" s="1002">
        <v>0</v>
      </c>
      <c r="L16" s="1002">
        <v>0</v>
      </c>
      <c r="M16" s="1002">
        <v>0</v>
      </c>
      <c r="N16" s="1002">
        <v>0</v>
      </c>
      <c r="O16" s="1002">
        <v>0</v>
      </c>
      <c r="P16" s="1002">
        <v>0</v>
      </c>
      <c r="Q16" s="1002">
        <v>0</v>
      </c>
      <c r="R16" s="1002">
        <v>0</v>
      </c>
      <c r="S16" s="1002">
        <v>0</v>
      </c>
      <c r="T16" s="1002">
        <v>0</v>
      </c>
      <c r="U16" s="1002">
        <v>0</v>
      </c>
      <c r="V16" s="1002">
        <v>0</v>
      </c>
      <c r="W16" s="1002">
        <v>0</v>
      </c>
      <c r="X16" s="1002">
        <v>0</v>
      </c>
      <c r="Y16" s="1002">
        <v>0</v>
      </c>
      <c r="Z16" s="1002">
        <v>0</v>
      </c>
      <c r="AA16" s="1002">
        <v>0</v>
      </c>
      <c r="AB16" s="1002">
        <v>0</v>
      </c>
      <c r="AC16" s="1002">
        <v>0</v>
      </c>
      <c r="AD16" s="1002">
        <v>0</v>
      </c>
      <c r="AE16" s="1002">
        <v>0</v>
      </c>
      <c r="AF16" s="625"/>
    </row>
    <row r="17" spans="1:32" s="489" customFormat="1" ht="15.75" x14ac:dyDescent="0.25">
      <c r="A17" s="999" t="s">
        <v>32</v>
      </c>
      <c r="B17" s="368">
        <f>H17+J17+L17+N17+P17+R17+T17+V17+X17+Z17+AB17+AD17</f>
        <v>0</v>
      </c>
      <c r="C17" s="368">
        <f t="shared" ref="C17:C20" si="16">V17+T17+R17+H17+J17+L17+N17+P17+X17+Z17+AB17+AD17</f>
        <v>0</v>
      </c>
      <c r="D17" s="368">
        <f>E17</f>
        <v>0</v>
      </c>
      <c r="E17" s="368">
        <f>I17+K17+M17+O17+Q17+S17+U17+W17+Y17+AA17+AC17+AE17</f>
        <v>0</v>
      </c>
      <c r="F17" s="367">
        <f>IFERROR(E17/B17*100,0)</f>
        <v>0</v>
      </c>
      <c r="G17" s="367">
        <f>IFERROR(E17/C17*100,0)</f>
        <v>0</v>
      </c>
      <c r="H17" s="1002">
        <v>0</v>
      </c>
      <c r="I17" s="1002">
        <v>0</v>
      </c>
      <c r="J17" s="1002">
        <v>0</v>
      </c>
      <c r="K17" s="1002">
        <v>0</v>
      </c>
      <c r="L17" s="1002">
        <v>0</v>
      </c>
      <c r="M17" s="1002">
        <v>0</v>
      </c>
      <c r="N17" s="1002">
        <v>0</v>
      </c>
      <c r="O17" s="1002">
        <v>0</v>
      </c>
      <c r="P17" s="1002">
        <v>0</v>
      </c>
      <c r="Q17" s="1002">
        <v>0</v>
      </c>
      <c r="R17" s="1002">
        <v>0</v>
      </c>
      <c r="S17" s="1002">
        <v>0</v>
      </c>
      <c r="T17" s="1002">
        <v>0</v>
      </c>
      <c r="U17" s="1002">
        <v>0</v>
      </c>
      <c r="V17" s="1002">
        <v>0</v>
      </c>
      <c r="W17" s="1002">
        <v>0</v>
      </c>
      <c r="X17" s="1002">
        <v>0</v>
      </c>
      <c r="Y17" s="1002">
        <v>0</v>
      </c>
      <c r="Z17" s="1002">
        <v>0</v>
      </c>
      <c r="AA17" s="1002">
        <v>0</v>
      </c>
      <c r="AB17" s="1002">
        <v>0</v>
      </c>
      <c r="AC17" s="1002">
        <v>0</v>
      </c>
      <c r="AD17" s="1002">
        <v>0</v>
      </c>
      <c r="AE17" s="1002">
        <v>0</v>
      </c>
      <c r="AF17" s="625"/>
    </row>
    <row r="18" spans="1:32" s="484" customFormat="1" ht="24.75" customHeight="1" x14ac:dyDescent="0.25">
      <c r="A18" s="487" t="s">
        <v>33</v>
      </c>
      <c r="B18" s="578">
        <f>H18+J18+L18+N18+P18+R18+T18+V18+X18+Z18+AB18+AD18</f>
        <v>70373.75</v>
      </c>
      <c r="C18" s="368">
        <f t="shared" si="16"/>
        <v>70373.75</v>
      </c>
      <c r="D18" s="579">
        <f>E18</f>
        <v>61387.91</v>
      </c>
      <c r="E18" s="578">
        <f>I18+K18+M18+O18+Q18+S18+U18+W18+Y18+AA18+AC18+AE18</f>
        <v>61387.91</v>
      </c>
      <c r="F18" s="367">
        <f>IFERROR(E18/B18*100,0)</f>
        <v>87.231261656512544</v>
      </c>
      <c r="G18" s="367">
        <f>IFERROR(E18/C18*100,0)</f>
        <v>87.231261656512544</v>
      </c>
      <c r="H18" s="1002">
        <v>5009.18</v>
      </c>
      <c r="I18" s="1002">
        <v>1954.18</v>
      </c>
      <c r="J18" s="1002">
        <v>7202.25</v>
      </c>
      <c r="K18" s="1002">
        <v>4076.99</v>
      </c>
      <c r="L18" s="1002">
        <v>6738.31</v>
      </c>
      <c r="M18" s="1002">
        <v>3595.14</v>
      </c>
      <c r="N18" s="1002">
        <v>5721.53</v>
      </c>
      <c r="O18" s="1002">
        <v>4581.09</v>
      </c>
      <c r="P18" s="1002">
        <v>6300.2099999999991</v>
      </c>
      <c r="Q18" s="1002">
        <v>4011.42</v>
      </c>
      <c r="R18" s="1002">
        <v>11553</v>
      </c>
      <c r="S18" s="1002">
        <v>4311.21</v>
      </c>
      <c r="T18" s="1002">
        <v>5837.2800000000007</v>
      </c>
      <c r="U18" s="1002">
        <v>9962.83</v>
      </c>
      <c r="V18" s="1002">
        <v>5807.4299999999994</v>
      </c>
      <c r="W18" s="1002">
        <v>4579.95</v>
      </c>
      <c r="X18" s="1002">
        <v>3548.1400000000003</v>
      </c>
      <c r="Y18" s="1002">
        <v>2904.47</v>
      </c>
      <c r="Z18" s="1002">
        <v>4593.32</v>
      </c>
      <c r="AA18" s="1002">
        <v>4974.16</v>
      </c>
      <c r="AB18" s="1002">
        <v>3886.27</v>
      </c>
      <c r="AC18" s="1002">
        <v>2769.57</v>
      </c>
      <c r="AD18" s="1002">
        <v>4176.83</v>
      </c>
      <c r="AE18" s="1002">
        <v>13666.9</v>
      </c>
      <c r="AF18" s="625"/>
    </row>
    <row r="19" spans="1:32" s="489" customFormat="1" ht="31.5" x14ac:dyDescent="0.25">
      <c r="A19" s="1003" t="s">
        <v>174</v>
      </c>
      <c r="B19" s="368">
        <f>H19+J19+L19+N19+P19+R19+T19+V19+X19+Z19+AB19+AD19</f>
        <v>0</v>
      </c>
      <c r="C19" s="368">
        <f t="shared" si="16"/>
        <v>0</v>
      </c>
      <c r="D19" s="368">
        <f>E19</f>
        <v>0</v>
      </c>
      <c r="E19" s="368">
        <f>I19+K19+M19+O19+Q19+S19+U19+W19+Y19+AA19+AC19+AE19</f>
        <v>0</v>
      </c>
      <c r="F19" s="367">
        <f>IFERROR(E19/B19*100,0)</f>
        <v>0</v>
      </c>
      <c r="G19" s="367">
        <f>IFERROR(E19/C19*100,0)</f>
        <v>0</v>
      </c>
      <c r="H19" s="1002">
        <v>0</v>
      </c>
      <c r="I19" s="1002">
        <v>0</v>
      </c>
      <c r="J19" s="1002">
        <v>0</v>
      </c>
      <c r="K19" s="1002">
        <v>0</v>
      </c>
      <c r="L19" s="1002">
        <v>0</v>
      </c>
      <c r="M19" s="1002">
        <v>0</v>
      </c>
      <c r="N19" s="1002">
        <v>0</v>
      </c>
      <c r="O19" s="1002">
        <v>0</v>
      </c>
      <c r="P19" s="1002">
        <v>0</v>
      </c>
      <c r="Q19" s="1002">
        <v>0</v>
      </c>
      <c r="R19" s="1002">
        <v>0</v>
      </c>
      <c r="S19" s="1002">
        <v>0</v>
      </c>
      <c r="T19" s="1002">
        <v>0</v>
      </c>
      <c r="U19" s="1002">
        <v>0</v>
      </c>
      <c r="V19" s="1002">
        <v>0</v>
      </c>
      <c r="W19" s="1002">
        <v>0</v>
      </c>
      <c r="X19" s="1002">
        <v>0</v>
      </c>
      <c r="Y19" s="1002">
        <v>0</v>
      </c>
      <c r="Z19" s="1002">
        <v>0</v>
      </c>
      <c r="AA19" s="1002">
        <v>0</v>
      </c>
      <c r="AB19" s="1002">
        <v>0</v>
      </c>
      <c r="AC19" s="1002">
        <v>0</v>
      </c>
      <c r="AD19" s="1002">
        <v>0</v>
      </c>
      <c r="AE19" s="1002">
        <v>0</v>
      </c>
      <c r="AF19" s="625"/>
    </row>
    <row r="20" spans="1:32" s="489" customFormat="1" ht="15.75" x14ac:dyDescent="0.25">
      <c r="A20" s="999" t="s">
        <v>221</v>
      </c>
      <c r="B20" s="368">
        <f>H20+J20+L20+N20+P20+R20+T20+V20+X20+Z20+AB20+AD20</f>
        <v>0</v>
      </c>
      <c r="C20" s="368">
        <f t="shared" si="16"/>
        <v>0</v>
      </c>
      <c r="D20" s="368">
        <f>E20</f>
        <v>0</v>
      </c>
      <c r="E20" s="368">
        <f>I20+K20+M20+O20+Q20+S20+U20+W20+Y20+AA20+AC20+AE20</f>
        <v>0</v>
      </c>
      <c r="F20" s="367">
        <f>IFERROR(E20/B20*100,0)</f>
        <v>0</v>
      </c>
      <c r="G20" s="367">
        <f>IFERROR(E20/C20*100,0)</f>
        <v>0</v>
      </c>
      <c r="H20" s="1002">
        <v>0</v>
      </c>
      <c r="I20" s="1002">
        <v>0</v>
      </c>
      <c r="J20" s="1002">
        <v>0</v>
      </c>
      <c r="K20" s="1002">
        <v>0</v>
      </c>
      <c r="L20" s="1002">
        <v>0</v>
      </c>
      <c r="M20" s="1002">
        <v>0</v>
      </c>
      <c r="N20" s="1002">
        <v>0</v>
      </c>
      <c r="O20" s="1002">
        <v>0</v>
      </c>
      <c r="P20" s="1002">
        <v>0</v>
      </c>
      <c r="Q20" s="1002">
        <v>0</v>
      </c>
      <c r="R20" s="1002">
        <v>0</v>
      </c>
      <c r="S20" s="1002">
        <v>0</v>
      </c>
      <c r="T20" s="1002">
        <v>0</v>
      </c>
      <c r="U20" s="1002">
        <v>0</v>
      </c>
      <c r="V20" s="1002">
        <v>0</v>
      </c>
      <c r="W20" s="1002">
        <v>0</v>
      </c>
      <c r="X20" s="1002">
        <v>0</v>
      </c>
      <c r="Y20" s="1002">
        <v>0</v>
      </c>
      <c r="Z20" s="1002">
        <v>0</v>
      </c>
      <c r="AA20" s="1002">
        <v>0</v>
      </c>
      <c r="AB20" s="1002">
        <v>0</v>
      </c>
      <c r="AC20" s="1002">
        <v>0</v>
      </c>
      <c r="AD20" s="1002">
        <v>0</v>
      </c>
      <c r="AE20" s="1002">
        <v>0</v>
      </c>
      <c r="AF20" s="750"/>
    </row>
    <row r="21" spans="1:32" s="489" customFormat="1" ht="15.75" x14ac:dyDescent="0.25">
      <c r="A21" s="1017" t="s">
        <v>432</v>
      </c>
      <c r="B21" s="1004"/>
      <c r="C21" s="1004"/>
      <c r="D21" s="1004"/>
      <c r="E21" s="1004"/>
      <c r="F21" s="1004"/>
      <c r="G21" s="1004"/>
      <c r="H21" s="1004"/>
      <c r="I21" s="1004"/>
      <c r="J21" s="1004"/>
      <c r="K21" s="1004"/>
      <c r="L21" s="1004"/>
      <c r="M21" s="1004"/>
      <c r="N21" s="1004"/>
      <c r="O21" s="1004"/>
      <c r="P21" s="1004"/>
      <c r="Q21" s="1004"/>
      <c r="R21" s="1004"/>
      <c r="S21" s="1004"/>
      <c r="T21" s="1004"/>
      <c r="U21" s="1004"/>
      <c r="V21" s="1004"/>
      <c r="W21" s="1004"/>
      <c r="X21" s="1004"/>
      <c r="Y21" s="1004"/>
      <c r="Z21" s="1004"/>
      <c r="AA21" s="1004"/>
      <c r="AB21" s="1004"/>
      <c r="AC21" s="1004"/>
      <c r="AD21" s="1004"/>
      <c r="AE21" s="1005"/>
      <c r="AF21" s="625"/>
    </row>
    <row r="22" spans="1:32" s="489" customFormat="1" ht="330.75" x14ac:dyDescent="0.25">
      <c r="A22" s="271" t="s">
        <v>430</v>
      </c>
      <c r="B22" s="367">
        <f>B23+B24+B25+B27</f>
        <v>47214.93</v>
      </c>
      <c r="C22" s="367">
        <f>C23+C24+C25+C27</f>
        <v>47214.93</v>
      </c>
      <c r="D22" s="367">
        <f>D23+D24+D25+D27</f>
        <v>47212.62</v>
      </c>
      <c r="E22" s="581">
        <f>E23+E24+E25+E27</f>
        <v>47212.62</v>
      </c>
      <c r="F22" s="367">
        <f t="shared" ref="F22" si="17">IFERROR(E22/B22*100,0)</f>
        <v>99.995107479773878</v>
      </c>
      <c r="G22" s="367">
        <f t="shared" ref="G22" si="18">IFERROR(E22/C22*100,0)</f>
        <v>99.995107479773878</v>
      </c>
      <c r="H22" s="272">
        <f t="shared" ref="H22:AE22" si="19">H23+H24+H25+H27</f>
        <v>0</v>
      </c>
      <c r="I22" s="272">
        <f t="shared" si="19"/>
        <v>0</v>
      </c>
      <c r="J22" s="272">
        <f t="shared" si="19"/>
        <v>9686.92</v>
      </c>
      <c r="K22" s="272">
        <f t="shared" si="19"/>
        <v>9082.67</v>
      </c>
      <c r="L22" s="272">
        <f t="shared" si="19"/>
        <v>11495.67</v>
      </c>
      <c r="M22" s="272">
        <f t="shared" si="19"/>
        <v>12098.04</v>
      </c>
      <c r="N22" s="272">
        <f t="shared" si="19"/>
        <v>13902.47</v>
      </c>
      <c r="O22" s="272">
        <f t="shared" si="19"/>
        <v>11450</v>
      </c>
      <c r="P22" s="272">
        <f t="shared" si="19"/>
        <v>5205.2700000000004</v>
      </c>
      <c r="Q22" s="272">
        <f t="shared" si="19"/>
        <v>5404.37</v>
      </c>
      <c r="R22" s="272">
        <f t="shared" si="19"/>
        <v>0</v>
      </c>
      <c r="S22" s="272">
        <f t="shared" si="19"/>
        <v>1940.3899999999999</v>
      </c>
      <c r="T22" s="272">
        <f t="shared" si="19"/>
        <v>0</v>
      </c>
      <c r="U22" s="272">
        <f t="shared" si="19"/>
        <v>0</v>
      </c>
      <c r="V22" s="272">
        <f t="shared" si="19"/>
        <v>0</v>
      </c>
      <c r="W22" s="272">
        <f t="shared" si="19"/>
        <v>0</v>
      </c>
      <c r="X22" s="272">
        <f t="shared" si="19"/>
        <v>0</v>
      </c>
      <c r="Y22" s="272">
        <f t="shared" si="19"/>
        <v>0</v>
      </c>
      <c r="Z22" s="272">
        <f t="shared" si="19"/>
        <v>0</v>
      </c>
      <c r="AA22" s="272">
        <f t="shared" si="19"/>
        <v>0</v>
      </c>
      <c r="AB22" s="272">
        <f t="shared" si="19"/>
        <v>0</v>
      </c>
      <c r="AC22" s="272">
        <f t="shared" si="19"/>
        <v>0</v>
      </c>
      <c r="AD22" s="272">
        <f t="shared" si="19"/>
        <v>6924.5999999999995</v>
      </c>
      <c r="AE22" s="272">
        <f t="shared" si="19"/>
        <v>7237.15</v>
      </c>
      <c r="AF22" s="628" t="s">
        <v>667</v>
      </c>
    </row>
    <row r="23" spans="1:32" s="489" customFormat="1" ht="15.75" x14ac:dyDescent="0.25">
      <c r="A23" s="1000" t="s">
        <v>169</v>
      </c>
      <c r="B23" s="368">
        <f>H23+J23+L23+N23+P23+R23+T23+V23+X23+Z23+AB23+AD23</f>
        <v>0</v>
      </c>
      <c r="C23" s="368">
        <f>V23+T23+R23+H23+J23+L23+N23+P23+X23+Z23+AB23+AD23</f>
        <v>0</v>
      </c>
      <c r="D23" s="368">
        <f>E23</f>
        <v>0</v>
      </c>
      <c r="E23" s="368">
        <f>I23+K23+M23+O23+Q23+S23+U23+W23+Y23+AA23+AC23+AE23</f>
        <v>0</v>
      </c>
      <c r="F23" s="367">
        <f>IFERROR(E23/B23*100,0)</f>
        <v>0</v>
      </c>
      <c r="G23" s="367">
        <f>IFERROR(E23/C23*100,0)</f>
        <v>0</v>
      </c>
      <c r="H23" s="1002">
        <v>0</v>
      </c>
      <c r="I23" s="1002">
        <v>0</v>
      </c>
      <c r="J23" s="1002">
        <v>0</v>
      </c>
      <c r="K23" s="1002">
        <v>0</v>
      </c>
      <c r="L23" s="1002">
        <v>0</v>
      </c>
      <c r="M23" s="1002">
        <v>0</v>
      </c>
      <c r="N23" s="1002">
        <v>0</v>
      </c>
      <c r="O23" s="1002">
        <v>0</v>
      </c>
      <c r="P23" s="1002">
        <v>0</v>
      </c>
      <c r="Q23" s="1002">
        <v>0</v>
      </c>
      <c r="R23" s="1002">
        <v>0</v>
      </c>
      <c r="S23" s="1002">
        <v>0</v>
      </c>
      <c r="T23" s="1002">
        <v>0</v>
      </c>
      <c r="U23" s="1002">
        <v>0</v>
      </c>
      <c r="V23" s="1002">
        <v>0</v>
      </c>
      <c r="W23" s="1002">
        <v>0</v>
      </c>
      <c r="X23" s="1002">
        <v>0</v>
      </c>
      <c r="Y23" s="1002">
        <v>0</v>
      </c>
      <c r="Z23" s="1002">
        <v>0</v>
      </c>
      <c r="AA23" s="1002">
        <v>0</v>
      </c>
      <c r="AB23" s="1002">
        <v>0</v>
      </c>
      <c r="AC23" s="1002">
        <v>0</v>
      </c>
      <c r="AD23" s="1002">
        <v>0</v>
      </c>
      <c r="AE23" s="1002">
        <v>0</v>
      </c>
      <c r="AF23" s="751"/>
    </row>
    <row r="24" spans="1:32" s="489" customFormat="1" ht="15.75" x14ac:dyDescent="0.25">
      <c r="A24" s="999" t="s">
        <v>32</v>
      </c>
      <c r="B24" s="368">
        <f>H24+J24+L24+N24+P24+R24+T24+V24+X24+Z24+AB24+AD24</f>
        <v>0</v>
      </c>
      <c r="C24" s="368">
        <f t="shared" ref="C24:C27" si="20">V24+T24+R24+H24+J24+L24+N24+P24+X24+Z24+AB24+AD24</f>
        <v>0</v>
      </c>
      <c r="D24" s="368">
        <f>E24</f>
        <v>0</v>
      </c>
      <c r="E24" s="368">
        <f>I24+K24+M24+O24+Q24+S24+U24+W24+Y24+AA24+AC24+AE24</f>
        <v>0</v>
      </c>
      <c r="F24" s="367">
        <f>IFERROR(E24/B24*100,0)</f>
        <v>0</v>
      </c>
      <c r="G24" s="367">
        <f>IFERROR(E24/C24*100,0)</f>
        <v>0</v>
      </c>
      <c r="H24" s="1002">
        <v>0</v>
      </c>
      <c r="I24" s="1002">
        <v>0</v>
      </c>
      <c r="J24" s="1002">
        <v>0</v>
      </c>
      <c r="K24" s="1002">
        <v>0</v>
      </c>
      <c r="L24" s="1002">
        <v>0</v>
      </c>
      <c r="M24" s="1002">
        <v>0</v>
      </c>
      <c r="N24" s="1002">
        <v>0</v>
      </c>
      <c r="O24" s="1002">
        <v>0</v>
      </c>
      <c r="P24" s="1002">
        <v>0</v>
      </c>
      <c r="Q24" s="1002">
        <v>0</v>
      </c>
      <c r="R24" s="1002">
        <v>0</v>
      </c>
      <c r="S24" s="1002">
        <v>0</v>
      </c>
      <c r="T24" s="1002">
        <v>0</v>
      </c>
      <c r="U24" s="1002">
        <v>0</v>
      </c>
      <c r="V24" s="1002">
        <v>0</v>
      </c>
      <c r="W24" s="1002">
        <v>0</v>
      </c>
      <c r="X24" s="1002">
        <v>0</v>
      </c>
      <c r="Y24" s="1002">
        <v>0</v>
      </c>
      <c r="Z24" s="1002">
        <v>0</v>
      </c>
      <c r="AA24" s="1002">
        <v>0</v>
      </c>
      <c r="AB24" s="1002">
        <v>0</v>
      </c>
      <c r="AC24" s="1002">
        <v>0</v>
      </c>
      <c r="AD24" s="1002">
        <v>0</v>
      </c>
      <c r="AE24" s="1002">
        <v>0</v>
      </c>
      <c r="AF24" s="751"/>
    </row>
    <row r="25" spans="1:32" s="484" customFormat="1" ht="24.75" customHeight="1" x14ac:dyDescent="0.25">
      <c r="A25" s="487" t="s">
        <v>33</v>
      </c>
      <c r="B25" s="578">
        <f>H25+J25+L25+N25+P25+R25+T25+V25+X25+Z25+AB25+AD25</f>
        <v>47214.93</v>
      </c>
      <c r="C25" s="368">
        <f t="shared" si="20"/>
        <v>47214.93</v>
      </c>
      <c r="D25" s="579">
        <f>E25</f>
        <v>47212.62</v>
      </c>
      <c r="E25" s="578">
        <f>I25+K25+M25+O25+Q25+S25+U25+W25+Y25+AA25+AC25+AE25</f>
        <v>47212.62</v>
      </c>
      <c r="F25" s="367">
        <f>IFERROR(E25/B25*100,0)</f>
        <v>99.995107479773878</v>
      </c>
      <c r="G25" s="367">
        <f>IFERROR(E25/C25*100,0)</f>
        <v>99.995107479773878</v>
      </c>
      <c r="H25" s="1002">
        <v>0</v>
      </c>
      <c r="I25" s="1002">
        <v>0</v>
      </c>
      <c r="J25" s="577">
        <v>9686.92</v>
      </c>
      <c r="K25" s="577">
        <v>9082.67</v>
      </c>
      <c r="L25" s="577">
        <v>11495.67</v>
      </c>
      <c r="M25" s="577">
        <v>12098.04</v>
      </c>
      <c r="N25" s="577">
        <v>13902.47</v>
      </c>
      <c r="O25" s="577">
        <v>11450</v>
      </c>
      <c r="P25" s="577">
        <v>5205.2700000000004</v>
      </c>
      <c r="Q25" s="577">
        <v>5404.37</v>
      </c>
      <c r="R25" s="577">
        <v>0</v>
      </c>
      <c r="S25" s="577">
        <v>1940.3899999999999</v>
      </c>
      <c r="T25" s="577">
        <v>0</v>
      </c>
      <c r="U25" s="577">
        <v>0</v>
      </c>
      <c r="V25" s="577">
        <v>0</v>
      </c>
      <c r="W25" s="577">
        <v>0</v>
      </c>
      <c r="X25" s="577">
        <v>0</v>
      </c>
      <c r="Y25" s="577">
        <v>0</v>
      </c>
      <c r="Z25" s="577">
        <v>0</v>
      </c>
      <c r="AA25" s="577">
        <v>0</v>
      </c>
      <c r="AB25" s="577">
        <v>0</v>
      </c>
      <c r="AC25" s="577">
        <v>0</v>
      </c>
      <c r="AD25" s="577">
        <v>6924.5999999999995</v>
      </c>
      <c r="AE25" s="577">
        <v>7237.15</v>
      </c>
      <c r="AF25" s="751"/>
    </row>
    <row r="26" spans="1:32" s="489" customFormat="1" ht="31.5" x14ac:dyDescent="0.25">
      <c r="A26" s="1003" t="s">
        <v>174</v>
      </c>
      <c r="B26" s="368">
        <f>H26+J26+L26+N26+P26+R26+T26+V26+X26+Z26+AB26+AD26</f>
        <v>0</v>
      </c>
      <c r="C26" s="368">
        <f t="shared" si="20"/>
        <v>0</v>
      </c>
      <c r="D26" s="368">
        <f>E26</f>
        <v>0</v>
      </c>
      <c r="E26" s="368">
        <f>I26+K26+M26+O26+Q26+S26+U26+W26+Y26+AA26+AC26+AE26</f>
        <v>0</v>
      </c>
      <c r="F26" s="367">
        <f>IFERROR(E26/B26*100,0)</f>
        <v>0</v>
      </c>
      <c r="G26" s="367">
        <f>IFERROR(E26/C26*100,0)</f>
        <v>0</v>
      </c>
      <c r="H26" s="1002">
        <v>0</v>
      </c>
      <c r="I26" s="1002">
        <v>0</v>
      </c>
      <c r="J26" s="1002">
        <v>0</v>
      </c>
      <c r="K26" s="1002">
        <v>0</v>
      </c>
      <c r="L26" s="1002">
        <v>0</v>
      </c>
      <c r="M26" s="1002">
        <v>0</v>
      </c>
      <c r="N26" s="1002">
        <v>0</v>
      </c>
      <c r="O26" s="1002">
        <v>0</v>
      </c>
      <c r="P26" s="1002">
        <v>0</v>
      </c>
      <c r="Q26" s="1002">
        <v>0</v>
      </c>
      <c r="R26" s="1002">
        <v>0</v>
      </c>
      <c r="S26" s="1002">
        <v>0</v>
      </c>
      <c r="T26" s="1002">
        <v>0</v>
      </c>
      <c r="U26" s="1002">
        <v>0</v>
      </c>
      <c r="V26" s="1002">
        <v>0</v>
      </c>
      <c r="W26" s="1002">
        <v>0</v>
      </c>
      <c r="X26" s="1002">
        <v>0</v>
      </c>
      <c r="Y26" s="1002">
        <v>0</v>
      </c>
      <c r="Z26" s="1002">
        <v>0</v>
      </c>
      <c r="AA26" s="1002">
        <v>0</v>
      </c>
      <c r="AB26" s="1002">
        <v>0</v>
      </c>
      <c r="AC26" s="1002">
        <v>0</v>
      </c>
      <c r="AD26" s="1002">
        <v>0</v>
      </c>
      <c r="AE26" s="1002">
        <v>0</v>
      </c>
      <c r="AF26" s="751"/>
    </row>
    <row r="27" spans="1:32" s="489" customFormat="1" ht="15.75" x14ac:dyDescent="0.25">
      <c r="A27" s="999" t="s">
        <v>221</v>
      </c>
      <c r="B27" s="368">
        <f>H27+J27+L27+N27+P27+R27+T27+V27+X27+Z27+AB27+AD27</f>
        <v>0</v>
      </c>
      <c r="C27" s="368">
        <f t="shared" si="20"/>
        <v>0</v>
      </c>
      <c r="D27" s="368">
        <f>E27</f>
        <v>0</v>
      </c>
      <c r="E27" s="368">
        <f>I27+K27+M27+O27+Q27+S27+U27+W27+Y27+AA27+AC27+AE27</f>
        <v>0</v>
      </c>
      <c r="F27" s="367">
        <f>IFERROR(E27/B27*100,0)</f>
        <v>0</v>
      </c>
      <c r="G27" s="367">
        <f>IFERROR(E27/C27*100,0)</f>
        <v>0</v>
      </c>
      <c r="H27" s="1002">
        <v>0</v>
      </c>
      <c r="I27" s="1002">
        <v>0</v>
      </c>
      <c r="J27" s="1002">
        <v>0</v>
      </c>
      <c r="K27" s="1002">
        <v>0</v>
      </c>
      <c r="L27" s="1002">
        <v>0</v>
      </c>
      <c r="M27" s="1002">
        <v>0</v>
      </c>
      <c r="N27" s="1002">
        <v>0</v>
      </c>
      <c r="O27" s="1002">
        <v>0</v>
      </c>
      <c r="P27" s="1002">
        <v>0</v>
      </c>
      <c r="Q27" s="1002">
        <v>0</v>
      </c>
      <c r="R27" s="1002">
        <v>0</v>
      </c>
      <c r="S27" s="1002">
        <v>0</v>
      </c>
      <c r="T27" s="1002">
        <v>0</v>
      </c>
      <c r="U27" s="1002">
        <v>0</v>
      </c>
      <c r="V27" s="1002">
        <v>0</v>
      </c>
      <c r="W27" s="1002">
        <v>0</v>
      </c>
      <c r="X27" s="1002">
        <v>0</v>
      </c>
      <c r="Y27" s="1002">
        <v>0</v>
      </c>
      <c r="Z27" s="1002">
        <v>0</v>
      </c>
      <c r="AA27" s="1002">
        <v>0</v>
      </c>
      <c r="AB27" s="1002">
        <v>0</v>
      </c>
      <c r="AC27" s="1002">
        <v>0</v>
      </c>
      <c r="AD27" s="1002">
        <v>0</v>
      </c>
      <c r="AE27" s="1002">
        <v>0</v>
      </c>
      <c r="AF27" s="752"/>
    </row>
    <row r="28" spans="1:32" s="489" customFormat="1" ht="15.75" x14ac:dyDescent="0.25">
      <c r="A28" s="1017" t="s">
        <v>433</v>
      </c>
      <c r="B28" s="1004"/>
      <c r="C28" s="1004"/>
      <c r="D28" s="1004"/>
      <c r="E28" s="1004"/>
      <c r="F28" s="1004"/>
      <c r="G28" s="1004"/>
      <c r="H28" s="1004"/>
      <c r="I28" s="1004"/>
      <c r="J28" s="1004"/>
      <c r="K28" s="1004"/>
      <c r="L28" s="1004"/>
      <c r="M28" s="1004"/>
      <c r="N28" s="1004"/>
      <c r="O28" s="1004"/>
      <c r="P28" s="1004"/>
      <c r="Q28" s="1004"/>
      <c r="R28" s="1004"/>
      <c r="S28" s="1004"/>
      <c r="T28" s="1004"/>
      <c r="U28" s="1004"/>
      <c r="V28" s="1004"/>
      <c r="W28" s="1004"/>
      <c r="X28" s="1004"/>
      <c r="Y28" s="1004"/>
      <c r="Z28" s="1004"/>
      <c r="AA28" s="1004"/>
      <c r="AB28" s="1004"/>
      <c r="AC28" s="1004"/>
      <c r="AD28" s="1004"/>
      <c r="AE28" s="1005"/>
      <c r="AF28" s="483"/>
    </row>
    <row r="29" spans="1:32" s="489" customFormat="1" ht="409.5" x14ac:dyDescent="0.25">
      <c r="A29" s="999" t="s">
        <v>430</v>
      </c>
      <c r="B29" s="367">
        <f>B30+B31+B32+B34</f>
        <v>51686.625</v>
      </c>
      <c r="C29" s="367">
        <f>C30+C31+C32+C34</f>
        <v>51686.625</v>
      </c>
      <c r="D29" s="367">
        <f>D30+D31+D32+D34</f>
        <v>49305.625440000003</v>
      </c>
      <c r="E29" s="581">
        <f>E30+E31+E32+E34</f>
        <v>49305.625440000003</v>
      </c>
      <c r="F29" s="367">
        <f t="shared" ref="F29" si="21">IFERROR(E29/B29*100,0)</f>
        <v>95.393393242449093</v>
      </c>
      <c r="G29" s="367">
        <f t="shared" ref="G29" si="22">IFERROR(E29/C29*100,0)</f>
        <v>95.393393242449093</v>
      </c>
      <c r="H29" s="272">
        <f t="shared" ref="H29:AE29" si="23">H30+H31+H32+H34</f>
        <v>139.28</v>
      </c>
      <c r="I29" s="272">
        <f t="shared" si="23"/>
        <v>58.84</v>
      </c>
      <c r="J29" s="272">
        <f t="shared" si="23"/>
        <v>95.47</v>
      </c>
      <c r="K29" s="272">
        <f t="shared" si="23"/>
        <v>95.47</v>
      </c>
      <c r="L29" s="272">
        <f t="shared" si="23"/>
        <v>2083.61</v>
      </c>
      <c r="M29" s="272">
        <f t="shared" si="23"/>
        <v>2164.06</v>
      </c>
      <c r="N29" s="272">
        <f t="shared" si="23"/>
        <v>620.52</v>
      </c>
      <c r="O29" s="272">
        <f t="shared" si="23"/>
        <v>620.46</v>
      </c>
      <c r="P29" s="272">
        <f t="shared" si="23"/>
        <v>331.97</v>
      </c>
      <c r="Q29" s="272">
        <f t="shared" si="23"/>
        <v>331.97</v>
      </c>
      <c r="R29" s="272">
        <f t="shared" si="23"/>
        <v>945.95500000000004</v>
      </c>
      <c r="S29" s="272">
        <f t="shared" si="23"/>
        <v>726.13499999999999</v>
      </c>
      <c r="T29" s="272">
        <f t="shared" si="23"/>
        <v>5238.74</v>
      </c>
      <c r="U29" s="272">
        <f t="shared" si="23"/>
        <v>5263.76</v>
      </c>
      <c r="V29" s="272">
        <f t="shared" si="23"/>
        <v>10578.66</v>
      </c>
      <c r="W29" s="272">
        <f t="shared" si="23"/>
        <v>10175.42044</v>
      </c>
      <c r="X29" s="272">
        <f t="shared" si="23"/>
        <v>11978.52</v>
      </c>
      <c r="Y29" s="272">
        <f t="shared" si="23"/>
        <v>9510.5300000000007</v>
      </c>
      <c r="Z29" s="272">
        <f t="shared" si="23"/>
        <v>14344.83</v>
      </c>
      <c r="AA29" s="272">
        <f t="shared" si="23"/>
        <v>15226.84</v>
      </c>
      <c r="AB29" s="272">
        <f t="shared" si="23"/>
        <v>698.32</v>
      </c>
      <c r="AC29" s="272">
        <f t="shared" si="23"/>
        <v>1343.77</v>
      </c>
      <c r="AD29" s="272">
        <f t="shared" si="23"/>
        <v>4630.75</v>
      </c>
      <c r="AE29" s="272">
        <f t="shared" si="23"/>
        <v>3788.37</v>
      </c>
      <c r="AF29" s="631" t="s">
        <v>642</v>
      </c>
    </row>
    <row r="30" spans="1:32" s="489" customFormat="1" ht="15.75" x14ac:dyDescent="0.25">
      <c r="A30" s="1000" t="s">
        <v>434</v>
      </c>
      <c r="B30" s="368">
        <f>H30+J30+L30+N30+P30+R30+T30+V30+X30+Z30+AB30+AD30</f>
        <v>0</v>
      </c>
      <c r="C30" s="368">
        <f>V30+T30+R30+H30+J30+L30+N30+P30+X30+Z30+AB30+AD30</f>
        <v>0</v>
      </c>
      <c r="D30" s="368">
        <f>E30</f>
        <v>0</v>
      </c>
      <c r="E30" s="368">
        <f>I30+K30+M30+O30+Q30+S30+U30+W30+Y30+AA30+AC30+AE30</f>
        <v>0</v>
      </c>
      <c r="F30" s="367">
        <f>IFERROR(E30/B30*100,0)</f>
        <v>0</v>
      </c>
      <c r="G30" s="367">
        <f>IFERROR(E30/C30*100,0)</f>
        <v>0</v>
      </c>
      <c r="H30" s="1002">
        <v>0</v>
      </c>
      <c r="I30" s="1002">
        <v>0</v>
      </c>
      <c r="J30" s="1002">
        <v>0</v>
      </c>
      <c r="K30" s="1002">
        <v>0</v>
      </c>
      <c r="L30" s="1002">
        <v>0</v>
      </c>
      <c r="M30" s="1002">
        <v>0</v>
      </c>
      <c r="N30" s="1002">
        <v>0</v>
      </c>
      <c r="O30" s="1002">
        <v>0</v>
      </c>
      <c r="P30" s="1002">
        <v>0</v>
      </c>
      <c r="Q30" s="1002">
        <v>0</v>
      </c>
      <c r="R30" s="1002">
        <v>0</v>
      </c>
      <c r="S30" s="1002">
        <v>0</v>
      </c>
      <c r="T30" s="1002">
        <v>0</v>
      </c>
      <c r="U30" s="1002">
        <v>0</v>
      </c>
      <c r="V30" s="1002">
        <v>0</v>
      </c>
      <c r="W30" s="1002">
        <v>0</v>
      </c>
      <c r="X30" s="1002">
        <v>0</v>
      </c>
      <c r="Y30" s="1002">
        <v>0</v>
      </c>
      <c r="Z30" s="1002">
        <v>0</v>
      </c>
      <c r="AA30" s="1002">
        <v>0</v>
      </c>
      <c r="AB30" s="1002">
        <v>0</v>
      </c>
      <c r="AC30" s="1002">
        <v>0</v>
      </c>
      <c r="AD30" s="1002">
        <v>0</v>
      </c>
      <c r="AE30" s="1002">
        <v>0</v>
      </c>
      <c r="AF30" s="865"/>
    </row>
    <row r="31" spans="1:32" s="489" customFormat="1" ht="15.75" x14ac:dyDescent="0.25">
      <c r="A31" s="999" t="s">
        <v>32</v>
      </c>
      <c r="B31" s="368">
        <f>H31+J31+L31+N31+P31+R31+T31+V31+X31+Z31+AB31+AD31</f>
        <v>0</v>
      </c>
      <c r="C31" s="368">
        <f t="shared" ref="C31:C34" si="24">V31+T31+R31+H31+J31+L31+N31+P31+X31+Z31+AB31+AD31</f>
        <v>0</v>
      </c>
      <c r="D31" s="368">
        <f>E31</f>
        <v>0</v>
      </c>
      <c r="E31" s="368">
        <f>I31+K31+M31+O31+Q31+S31+U31+W31+Y31+AA31+AC31+AE31</f>
        <v>0</v>
      </c>
      <c r="F31" s="367">
        <f>IFERROR(E31/B31*100,0)</f>
        <v>0</v>
      </c>
      <c r="G31" s="367">
        <f>IFERROR(E31/C31*100,0)</f>
        <v>0</v>
      </c>
      <c r="H31" s="1002">
        <v>0</v>
      </c>
      <c r="I31" s="1002">
        <v>0</v>
      </c>
      <c r="J31" s="1002">
        <v>0</v>
      </c>
      <c r="K31" s="1002">
        <v>0</v>
      </c>
      <c r="L31" s="1002">
        <v>0</v>
      </c>
      <c r="M31" s="1002">
        <v>0</v>
      </c>
      <c r="N31" s="1002">
        <v>0</v>
      </c>
      <c r="O31" s="1002">
        <v>0</v>
      </c>
      <c r="P31" s="1002">
        <v>0</v>
      </c>
      <c r="Q31" s="1002">
        <v>0</v>
      </c>
      <c r="R31" s="1002">
        <v>0</v>
      </c>
      <c r="S31" s="1002">
        <v>0</v>
      </c>
      <c r="T31" s="1002">
        <v>0</v>
      </c>
      <c r="U31" s="1002">
        <v>0</v>
      </c>
      <c r="V31" s="1002">
        <v>0</v>
      </c>
      <c r="W31" s="1002">
        <v>0</v>
      </c>
      <c r="X31" s="1002">
        <v>0</v>
      </c>
      <c r="Y31" s="1002">
        <v>0</v>
      </c>
      <c r="Z31" s="1002">
        <v>0</v>
      </c>
      <c r="AA31" s="1002">
        <v>0</v>
      </c>
      <c r="AB31" s="1002">
        <v>0</v>
      </c>
      <c r="AC31" s="1002">
        <v>0</v>
      </c>
      <c r="AD31" s="1002">
        <v>0</v>
      </c>
      <c r="AE31" s="1002">
        <v>0</v>
      </c>
      <c r="AF31" s="865"/>
    </row>
    <row r="32" spans="1:32" s="485" customFormat="1" ht="24.75" customHeight="1" x14ac:dyDescent="0.25">
      <c r="A32" s="487" t="s">
        <v>33</v>
      </c>
      <c r="B32" s="578">
        <f>H32+J32+L32+N32+P32+R32+T32+V32+X32+Z32+AB32+AD32</f>
        <v>51686.625</v>
      </c>
      <c r="C32" s="368">
        <f t="shared" si="24"/>
        <v>51686.625</v>
      </c>
      <c r="D32" s="579">
        <f>E32</f>
        <v>49305.625440000003</v>
      </c>
      <c r="E32" s="578">
        <f>I32+K32+M32+O32+Q32+S32+U32+W32+Y32+AA32+AC32+AE32</f>
        <v>49305.625440000003</v>
      </c>
      <c r="F32" s="367">
        <f>IFERROR(E32/B32*100,0)</f>
        <v>95.393393242449093</v>
      </c>
      <c r="G32" s="367">
        <f>IFERROR(E32/C32*100,0)</f>
        <v>95.393393242449093</v>
      </c>
      <c r="H32" s="579">
        <v>139.28</v>
      </c>
      <c r="I32" s="579">
        <v>58.84</v>
      </c>
      <c r="J32" s="579">
        <v>95.47</v>
      </c>
      <c r="K32" s="579">
        <v>95.47</v>
      </c>
      <c r="L32" s="579">
        <v>2083.61</v>
      </c>
      <c r="M32" s="579">
        <v>2164.06</v>
      </c>
      <c r="N32" s="579">
        <v>620.52</v>
      </c>
      <c r="O32" s="579">
        <v>620.46</v>
      </c>
      <c r="P32" s="579">
        <v>331.97</v>
      </c>
      <c r="Q32" s="579">
        <v>331.97</v>
      </c>
      <c r="R32" s="579">
        <v>945.95500000000004</v>
      </c>
      <c r="S32" s="579">
        <v>726.13499999999999</v>
      </c>
      <c r="T32" s="579">
        <v>5238.74</v>
      </c>
      <c r="U32" s="579">
        <v>5263.76</v>
      </c>
      <c r="V32" s="579">
        <v>10578.66</v>
      </c>
      <c r="W32" s="579">
        <v>10175.42044</v>
      </c>
      <c r="X32" s="579">
        <v>11978.52</v>
      </c>
      <c r="Y32" s="579">
        <v>9510.5300000000007</v>
      </c>
      <c r="Z32" s="579">
        <v>14344.83</v>
      </c>
      <c r="AA32" s="579">
        <v>15226.84</v>
      </c>
      <c r="AB32" s="579">
        <v>698.32</v>
      </c>
      <c r="AC32" s="579">
        <v>1343.77</v>
      </c>
      <c r="AD32" s="579">
        <v>4630.75</v>
      </c>
      <c r="AE32" s="579">
        <v>3788.37</v>
      </c>
      <c r="AF32" s="865"/>
    </row>
    <row r="33" spans="1:32" s="489" customFormat="1" ht="31.5" x14ac:dyDescent="0.25">
      <c r="A33" s="1003" t="s">
        <v>174</v>
      </c>
      <c r="B33" s="368">
        <f>H33+J33+L33+N33+P33+R33+T33+V33+X33+Z33+AB33+AD33</f>
        <v>0</v>
      </c>
      <c r="C33" s="368">
        <f t="shared" si="24"/>
        <v>0</v>
      </c>
      <c r="D33" s="368">
        <f>E33</f>
        <v>0</v>
      </c>
      <c r="E33" s="368">
        <f>I33+K33+M33+O33+Q33+S33+U33+W33+Y33+AA33+AC33+AE33</f>
        <v>0</v>
      </c>
      <c r="F33" s="367">
        <f>IFERROR(E33/B33*100,0)</f>
        <v>0</v>
      </c>
      <c r="G33" s="367">
        <f>IFERROR(E33/C33*100,0)</f>
        <v>0</v>
      </c>
      <c r="H33" s="1002">
        <v>0</v>
      </c>
      <c r="I33" s="1002">
        <v>0</v>
      </c>
      <c r="J33" s="1002">
        <v>0</v>
      </c>
      <c r="K33" s="1002">
        <v>0</v>
      </c>
      <c r="L33" s="1002">
        <v>0</v>
      </c>
      <c r="M33" s="1002">
        <v>0</v>
      </c>
      <c r="N33" s="1002">
        <v>0</v>
      </c>
      <c r="O33" s="1002">
        <v>0</v>
      </c>
      <c r="P33" s="1002">
        <v>0</v>
      </c>
      <c r="Q33" s="1002">
        <v>0</v>
      </c>
      <c r="R33" s="1002">
        <v>0</v>
      </c>
      <c r="S33" s="1002">
        <v>0</v>
      </c>
      <c r="T33" s="1002">
        <v>0</v>
      </c>
      <c r="U33" s="1002">
        <v>0</v>
      </c>
      <c r="V33" s="1002">
        <v>0</v>
      </c>
      <c r="W33" s="1002">
        <v>0</v>
      </c>
      <c r="X33" s="1002">
        <v>0</v>
      </c>
      <c r="Y33" s="1002">
        <v>0</v>
      </c>
      <c r="Z33" s="1002">
        <v>0</v>
      </c>
      <c r="AA33" s="1002">
        <v>0</v>
      </c>
      <c r="AB33" s="1002">
        <v>0</v>
      </c>
      <c r="AC33" s="1002">
        <v>0</v>
      </c>
      <c r="AD33" s="1002">
        <v>0</v>
      </c>
      <c r="AE33" s="1002">
        <v>0</v>
      </c>
      <c r="AF33" s="865"/>
    </row>
    <row r="34" spans="1:32" s="489" customFormat="1" ht="15.75" x14ac:dyDescent="0.25">
      <c r="A34" s="999" t="s">
        <v>221</v>
      </c>
      <c r="B34" s="368">
        <f>H34+J34+L34+N34+P34+R34+T34+V34+X34+Z34+AB34+AD34</f>
        <v>0</v>
      </c>
      <c r="C34" s="368">
        <f t="shared" si="24"/>
        <v>0</v>
      </c>
      <c r="D34" s="368">
        <f>E34</f>
        <v>0</v>
      </c>
      <c r="E34" s="368">
        <f>I34+K34+M34+O34+Q34+S34+U34+W34+Y34+AA34+AC34+AE34</f>
        <v>0</v>
      </c>
      <c r="F34" s="367">
        <f>IFERROR(E34/B34*100,0)</f>
        <v>0</v>
      </c>
      <c r="G34" s="367">
        <f>IFERROR(E34/C34*100,0)</f>
        <v>0</v>
      </c>
      <c r="H34" s="1002">
        <v>0</v>
      </c>
      <c r="I34" s="1002">
        <v>0</v>
      </c>
      <c r="J34" s="1002">
        <v>0</v>
      </c>
      <c r="K34" s="1002">
        <v>0</v>
      </c>
      <c r="L34" s="1002">
        <v>0</v>
      </c>
      <c r="M34" s="1002">
        <v>0</v>
      </c>
      <c r="N34" s="1002">
        <v>0</v>
      </c>
      <c r="O34" s="1002">
        <v>0</v>
      </c>
      <c r="P34" s="1002">
        <v>0</v>
      </c>
      <c r="Q34" s="1002">
        <v>0</v>
      </c>
      <c r="R34" s="1002">
        <v>0</v>
      </c>
      <c r="S34" s="1002">
        <v>0</v>
      </c>
      <c r="T34" s="1002">
        <v>0</v>
      </c>
      <c r="U34" s="1002">
        <v>0</v>
      </c>
      <c r="V34" s="1002">
        <v>0</v>
      </c>
      <c r="W34" s="1002">
        <v>0</v>
      </c>
      <c r="X34" s="1002">
        <v>0</v>
      </c>
      <c r="Y34" s="1002">
        <v>0</v>
      </c>
      <c r="Z34" s="1002">
        <v>0</v>
      </c>
      <c r="AA34" s="1002">
        <v>0</v>
      </c>
      <c r="AB34" s="1002">
        <v>0</v>
      </c>
      <c r="AC34" s="1002">
        <v>0</v>
      </c>
      <c r="AD34" s="1002">
        <v>0</v>
      </c>
      <c r="AE34" s="1002">
        <v>0</v>
      </c>
      <c r="AF34" s="866"/>
    </row>
    <row r="35" spans="1:32" s="489" customFormat="1" ht="15.75" x14ac:dyDescent="0.25">
      <c r="A35" s="1017" t="s">
        <v>435</v>
      </c>
      <c r="B35" s="1004"/>
      <c r="C35" s="1004"/>
      <c r="D35" s="1004"/>
      <c r="E35" s="1004"/>
      <c r="F35" s="1004"/>
      <c r="G35" s="1004"/>
      <c r="H35" s="1004"/>
      <c r="I35" s="1004"/>
      <c r="J35" s="1004"/>
      <c r="K35" s="1004"/>
      <c r="L35" s="1004"/>
      <c r="M35" s="1004"/>
      <c r="N35" s="1004"/>
      <c r="O35" s="1004"/>
      <c r="P35" s="1004"/>
      <c r="Q35" s="1004"/>
      <c r="R35" s="1004"/>
      <c r="S35" s="1004"/>
      <c r="T35" s="1004"/>
      <c r="U35" s="1004"/>
      <c r="V35" s="1004"/>
      <c r="W35" s="1004"/>
      <c r="X35" s="1004"/>
      <c r="Y35" s="1004"/>
      <c r="Z35" s="1004"/>
      <c r="AA35" s="1004"/>
      <c r="AB35" s="1004"/>
      <c r="AC35" s="1004"/>
      <c r="AD35" s="1004"/>
      <c r="AE35" s="1005"/>
      <c r="AF35" s="865"/>
    </row>
    <row r="36" spans="1:32" s="489" customFormat="1" ht="78.75" customHeight="1" x14ac:dyDescent="0.25">
      <c r="A36" s="999" t="s">
        <v>430</v>
      </c>
      <c r="B36" s="367">
        <f>B37+B38+B39+B41</f>
        <v>10711.109999999999</v>
      </c>
      <c r="C36" s="367">
        <f>C37+C38+C39+C41</f>
        <v>10711.109999999999</v>
      </c>
      <c r="D36" s="367">
        <f>D37+D38+D39+D41</f>
        <v>10381.48</v>
      </c>
      <c r="E36" s="581">
        <f>E37+E38+E39+E41</f>
        <v>10381.48</v>
      </c>
      <c r="F36" s="367">
        <f t="shared" ref="F36" si="25">IFERROR(E36/B36*100,0)</f>
        <v>96.922541174537471</v>
      </c>
      <c r="G36" s="367">
        <f t="shared" ref="G36" si="26">IFERROR(E36/C36*100,0)</f>
        <v>96.922541174537471</v>
      </c>
      <c r="H36" s="272">
        <f t="shared" ref="H36:AE36" si="27">H37+H38+H39+H41</f>
        <v>0</v>
      </c>
      <c r="I36" s="272">
        <f t="shared" si="27"/>
        <v>0</v>
      </c>
      <c r="J36" s="272">
        <f t="shared" si="27"/>
        <v>0</v>
      </c>
      <c r="K36" s="272">
        <f t="shared" si="27"/>
        <v>0</v>
      </c>
      <c r="L36" s="272">
        <f t="shared" si="27"/>
        <v>576.30999999999995</v>
      </c>
      <c r="M36" s="272">
        <f t="shared" si="27"/>
        <v>0</v>
      </c>
      <c r="N36" s="272">
        <f t="shared" si="27"/>
        <v>0</v>
      </c>
      <c r="O36" s="272">
        <f t="shared" si="27"/>
        <v>0</v>
      </c>
      <c r="P36" s="272">
        <f t="shared" si="27"/>
        <v>0</v>
      </c>
      <c r="Q36" s="272">
        <f t="shared" si="27"/>
        <v>0</v>
      </c>
      <c r="R36" s="272">
        <f t="shared" si="27"/>
        <v>0</v>
      </c>
      <c r="S36" s="272">
        <f t="shared" si="27"/>
        <v>576.30999999999995</v>
      </c>
      <c r="T36" s="272">
        <f t="shared" si="27"/>
        <v>0</v>
      </c>
      <c r="U36" s="272">
        <f t="shared" si="27"/>
        <v>0</v>
      </c>
      <c r="V36" s="272">
        <f t="shared" si="27"/>
        <v>0</v>
      </c>
      <c r="W36" s="272">
        <f t="shared" si="27"/>
        <v>0</v>
      </c>
      <c r="X36" s="272">
        <f t="shared" si="27"/>
        <v>0</v>
      </c>
      <c r="Y36" s="272">
        <f t="shared" si="27"/>
        <v>0</v>
      </c>
      <c r="Z36" s="272">
        <f t="shared" si="27"/>
        <v>7733.98</v>
      </c>
      <c r="AA36" s="272">
        <f t="shared" si="27"/>
        <v>7634.75</v>
      </c>
      <c r="AB36" s="272">
        <f t="shared" si="27"/>
        <v>2400.8199999999997</v>
      </c>
      <c r="AC36" s="272">
        <f t="shared" si="27"/>
        <v>0</v>
      </c>
      <c r="AD36" s="272">
        <f t="shared" si="27"/>
        <v>0</v>
      </c>
      <c r="AE36" s="272">
        <f t="shared" si="27"/>
        <v>2170.42</v>
      </c>
      <c r="AF36" s="636" t="s">
        <v>627</v>
      </c>
    </row>
    <row r="37" spans="1:32" s="489" customFormat="1" ht="15.75" x14ac:dyDescent="0.25">
      <c r="A37" s="1000" t="s">
        <v>434</v>
      </c>
      <c r="B37" s="368">
        <f>H37+J37+L37+N37+P37+R37+T37+V37+X37+Z37+AB37+AD37</f>
        <v>0</v>
      </c>
      <c r="C37" s="368">
        <f>V37+T37+R37+H37+J37+L37+N37+P37+X37+Z37+AB37+AD37</f>
        <v>0</v>
      </c>
      <c r="D37" s="368">
        <f>E37</f>
        <v>0</v>
      </c>
      <c r="E37" s="368">
        <f>I37+K37+M37+O37+Q37+S37+U37+W37+Y37+AA37+AC37+AE37</f>
        <v>0</v>
      </c>
      <c r="F37" s="367">
        <f>IFERROR(E37/B37*100,0)</f>
        <v>0</v>
      </c>
      <c r="G37" s="367">
        <f>IFERROR(E37/C37*100,0)</f>
        <v>0</v>
      </c>
      <c r="H37" s="1002">
        <v>0</v>
      </c>
      <c r="I37" s="1002">
        <v>0</v>
      </c>
      <c r="J37" s="1002">
        <v>0</v>
      </c>
      <c r="K37" s="1002">
        <v>0</v>
      </c>
      <c r="L37" s="1002">
        <v>0</v>
      </c>
      <c r="M37" s="1002">
        <v>0</v>
      </c>
      <c r="N37" s="1002">
        <v>0</v>
      </c>
      <c r="O37" s="1002">
        <v>0</v>
      </c>
      <c r="P37" s="1002">
        <v>0</v>
      </c>
      <c r="Q37" s="1002">
        <v>0</v>
      </c>
      <c r="R37" s="1002">
        <v>0</v>
      </c>
      <c r="S37" s="1002">
        <v>0</v>
      </c>
      <c r="T37" s="1002">
        <v>0</v>
      </c>
      <c r="U37" s="1002">
        <v>0</v>
      </c>
      <c r="V37" s="1002">
        <v>0</v>
      </c>
      <c r="W37" s="1002">
        <v>0</v>
      </c>
      <c r="X37" s="1002">
        <v>0</v>
      </c>
      <c r="Y37" s="1002">
        <v>0</v>
      </c>
      <c r="Z37" s="1002">
        <v>0</v>
      </c>
      <c r="AA37" s="1002">
        <v>0</v>
      </c>
      <c r="AB37" s="1002">
        <v>0</v>
      </c>
      <c r="AC37" s="1002">
        <v>0</v>
      </c>
      <c r="AD37" s="1002">
        <v>0</v>
      </c>
      <c r="AE37" s="1002">
        <v>0</v>
      </c>
      <c r="AF37" s="636"/>
    </row>
    <row r="38" spans="1:32" s="489" customFormat="1" ht="15.75" x14ac:dyDescent="0.25">
      <c r="A38" s="999" t="s">
        <v>32</v>
      </c>
      <c r="B38" s="368">
        <f>H38+J38+L38+N38+P38+R38+T38+V38+X38+Z38+AB38+AD38</f>
        <v>0</v>
      </c>
      <c r="C38" s="368">
        <f t="shared" ref="C38:C41" si="28">V38+T38+R38+H38+J38+L38+N38+P38+X38+Z38+AB38+AD38</f>
        <v>0</v>
      </c>
      <c r="D38" s="368">
        <f>E38</f>
        <v>0</v>
      </c>
      <c r="E38" s="368">
        <f>I38+K38+M38+O38+Q38+S38+U38+W38+Y38+AA38+AC38+AE38</f>
        <v>0</v>
      </c>
      <c r="F38" s="367">
        <f>IFERROR(E38/B38*100,0)</f>
        <v>0</v>
      </c>
      <c r="G38" s="367">
        <f>IFERROR(E38/C38*100,0)</f>
        <v>0</v>
      </c>
      <c r="H38" s="1002">
        <v>0</v>
      </c>
      <c r="I38" s="1002">
        <v>0</v>
      </c>
      <c r="J38" s="1002">
        <v>0</v>
      </c>
      <c r="K38" s="1002">
        <v>0</v>
      </c>
      <c r="L38" s="1002">
        <v>0</v>
      </c>
      <c r="M38" s="1002">
        <v>0</v>
      </c>
      <c r="N38" s="1002">
        <v>0</v>
      </c>
      <c r="O38" s="1002">
        <v>0</v>
      </c>
      <c r="P38" s="1002">
        <v>0</v>
      </c>
      <c r="Q38" s="1002">
        <v>0</v>
      </c>
      <c r="R38" s="1002">
        <v>0</v>
      </c>
      <c r="S38" s="1002">
        <v>0</v>
      </c>
      <c r="T38" s="1002">
        <v>0</v>
      </c>
      <c r="U38" s="1002">
        <v>0</v>
      </c>
      <c r="V38" s="1002">
        <v>0</v>
      </c>
      <c r="W38" s="1002">
        <v>0</v>
      </c>
      <c r="X38" s="1002">
        <v>0</v>
      </c>
      <c r="Y38" s="1002">
        <v>0</v>
      </c>
      <c r="Z38" s="1002">
        <v>0</v>
      </c>
      <c r="AA38" s="1002">
        <v>0</v>
      </c>
      <c r="AB38" s="1002">
        <v>0</v>
      </c>
      <c r="AC38" s="1002">
        <v>0</v>
      </c>
      <c r="AD38" s="1002">
        <v>0</v>
      </c>
      <c r="AE38" s="1002">
        <v>0</v>
      </c>
      <c r="AF38" s="636"/>
    </row>
    <row r="39" spans="1:32" s="484" customFormat="1" ht="24.75" customHeight="1" x14ac:dyDescent="0.25">
      <c r="A39" s="487" t="s">
        <v>33</v>
      </c>
      <c r="B39" s="578">
        <f>H39+J39+L39+N39+P39+R39+T39+V39+X39+Z39+AB39+AD39</f>
        <v>10711.109999999999</v>
      </c>
      <c r="C39" s="368">
        <f t="shared" si="28"/>
        <v>10711.109999999999</v>
      </c>
      <c r="D39" s="579">
        <f>E39</f>
        <v>10381.48</v>
      </c>
      <c r="E39" s="578">
        <f>I39+K39+M39+O39+Q39+S39+U39+W39+Y39+AA39+AC39+AE39</f>
        <v>10381.48</v>
      </c>
      <c r="F39" s="367">
        <f>IFERROR(E39/B39*100,0)</f>
        <v>96.922541174537471</v>
      </c>
      <c r="G39" s="367">
        <f>IFERROR(E39/C39*100,0)</f>
        <v>96.922541174537471</v>
      </c>
      <c r="H39" s="1002">
        <v>0</v>
      </c>
      <c r="I39" s="1002">
        <v>0</v>
      </c>
      <c r="J39" s="1002">
        <v>0</v>
      </c>
      <c r="K39" s="1002">
        <v>0</v>
      </c>
      <c r="L39" s="579">
        <v>576.30999999999995</v>
      </c>
      <c r="M39" s="579">
        <v>0</v>
      </c>
      <c r="N39" s="579">
        <v>0</v>
      </c>
      <c r="O39" s="579">
        <v>0</v>
      </c>
      <c r="P39" s="579">
        <v>0</v>
      </c>
      <c r="Q39" s="579">
        <v>0</v>
      </c>
      <c r="R39" s="579">
        <v>0</v>
      </c>
      <c r="S39" s="579">
        <v>576.30999999999995</v>
      </c>
      <c r="T39" s="579">
        <v>0</v>
      </c>
      <c r="U39" s="579">
        <v>0</v>
      </c>
      <c r="V39" s="579">
        <v>0</v>
      </c>
      <c r="W39" s="579">
        <v>0</v>
      </c>
      <c r="X39" s="579">
        <v>0</v>
      </c>
      <c r="Y39" s="579">
        <v>0</v>
      </c>
      <c r="Z39" s="579">
        <v>7733.98</v>
      </c>
      <c r="AA39" s="579">
        <v>7634.75</v>
      </c>
      <c r="AB39" s="579">
        <v>2400.8199999999997</v>
      </c>
      <c r="AC39" s="579">
        <v>0</v>
      </c>
      <c r="AD39" s="579">
        <v>0</v>
      </c>
      <c r="AE39" s="579">
        <v>2170.42</v>
      </c>
      <c r="AF39" s="636"/>
    </row>
    <row r="40" spans="1:32" s="489" customFormat="1" ht="31.5" x14ac:dyDescent="0.25">
      <c r="A40" s="1003" t="s">
        <v>174</v>
      </c>
      <c r="B40" s="368">
        <f>H40+J40+L40+N40+P40+R40+T40+V40+X40+Z40+AB40+AD40</f>
        <v>0</v>
      </c>
      <c r="C40" s="368">
        <f t="shared" si="28"/>
        <v>0</v>
      </c>
      <c r="D40" s="368">
        <f>E40</f>
        <v>0</v>
      </c>
      <c r="E40" s="368">
        <f>I40+K40+M40+O40+Q40+S40+U40+W40+Y40+AA40+AC40+AE40</f>
        <v>0</v>
      </c>
      <c r="F40" s="367">
        <f>IFERROR(E40/B40*100,0)</f>
        <v>0</v>
      </c>
      <c r="G40" s="367">
        <f>IFERROR(E40/C40*100,0)</f>
        <v>0</v>
      </c>
      <c r="H40" s="1002">
        <v>0</v>
      </c>
      <c r="I40" s="1002">
        <v>0</v>
      </c>
      <c r="J40" s="1002">
        <v>0</v>
      </c>
      <c r="K40" s="1002">
        <v>0</v>
      </c>
      <c r="L40" s="1002">
        <v>0</v>
      </c>
      <c r="M40" s="1002">
        <v>0</v>
      </c>
      <c r="N40" s="1002">
        <v>0</v>
      </c>
      <c r="O40" s="1002">
        <v>0</v>
      </c>
      <c r="P40" s="1002">
        <v>0</v>
      </c>
      <c r="Q40" s="1002">
        <v>0</v>
      </c>
      <c r="R40" s="1002">
        <v>0</v>
      </c>
      <c r="S40" s="1002">
        <v>0</v>
      </c>
      <c r="T40" s="1002">
        <v>0</v>
      </c>
      <c r="U40" s="1002">
        <v>0</v>
      </c>
      <c r="V40" s="1002">
        <v>0</v>
      </c>
      <c r="W40" s="1002">
        <v>0</v>
      </c>
      <c r="X40" s="1002">
        <v>0</v>
      </c>
      <c r="Y40" s="1002">
        <v>0</v>
      </c>
      <c r="Z40" s="1002">
        <v>0</v>
      </c>
      <c r="AA40" s="1002">
        <v>0</v>
      </c>
      <c r="AB40" s="1002">
        <v>0</v>
      </c>
      <c r="AC40" s="1002">
        <v>0</v>
      </c>
      <c r="AD40" s="1002">
        <v>0</v>
      </c>
      <c r="AE40" s="1002">
        <v>0</v>
      </c>
      <c r="AF40" s="636"/>
    </row>
    <row r="41" spans="1:32" s="489" customFormat="1" ht="15.75" x14ac:dyDescent="0.25">
      <c r="A41" s="999" t="s">
        <v>221</v>
      </c>
      <c r="B41" s="368">
        <f>H41+J41+L41+N41+P41+R41+T41+V41+X41+Z41+AB41+AD41</f>
        <v>0</v>
      </c>
      <c r="C41" s="368">
        <f t="shared" si="28"/>
        <v>0</v>
      </c>
      <c r="D41" s="368">
        <f>E41</f>
        <v>0</v>
      </c>
      <c r="E41" s="368">
        <f>I41+K41+M41+O41+Q41+S41+U41+W41+Y41+AA41+AC41+AE41</f>
        <v>0</v>
      </c>
      <c r="F41" s="367">
        <f>IFERROR(E41/B41*100,0)</f>
        <v>0</v>
      </c>
      <c r="G41" s="367">
        <f>IFERROR(E41/C41*100,0)</f>
        <v>0</v>
      </c>
      <c r="H41" s="1002">
        <v>0</v>
      </c>
      <c r="I41" s="1002">
        <v>0</v>
      </c>
      <c r="J41" s="1002">
        <v>0</v>
      </c>
      <c r="K41" s="1002">
        <v>0</v>
      </c>
      <c r="L41" s="1002">
        <v>0</v>
      </c>
      <c r="M41" s="1002">
        <v>0</v>
      </c>
      <c r="N41" s="1002">
        <v>0</v>
      </c>
      <c r="O41" s="1002">
        <v>0</v>
      </c>
      <c r="P41" s="1002">
        <v>0</v>
      </c>
      <c r="Q41" s="1002">
        <v>0</v>
      </c>
      <c r="R41" s="1002">
        <v>0</v>
      </c>
      <c r="S41" s="1002">
        <v>0</v>
      </c>
      <c r="T41" s="1002">
        <v>0</v>
      </c>
      <c r="U41" s="1002">
        <v>0</v>
      </c>
      <c r="V41" s="1002">
        <v>0</v>
      </c>
      <c r="W41" s="1002">
        <v>0</v>
      </c>
      <c r="X41" s="1002">
        <v>0</v>
      </c>
      <c r="Y41" s="1002">
        <v>0</v>
      </c>
      <c r="Z41" s="1002">
        <v>0</v>
      </c>
      <c r="AA41" s="1002">
        <v>0</v>
      </c>
      <c r="AB41" s="1002">
        <v>0</v>
      </c>
      <c r="AC41" s="1002">
        <v>0</v>
      </c>
      <c r="AD41" s="1002">
        <v>0</v>
      </c>
      <c r="AE41" s="1002">
        <v>0</v>
      </c>
      <c r="AF41" s="636"/>
    </row>
    <row r="42" spans="1:32" s="489" customFormat="1" ht="15.75" x14ac:dyDescent="0.25">
      <c r="A42" s="1017" t="s">
        <v>436</v>
      </c>
      <c r="B42" s="1004"/>
      <c r="C42" s="1004"/>
      <c r="D42" s="1004"/>
      <c r="E42" s="1004"/>
      <c r="F42" s="1004"/>
      <c r="G42" s="1004"/>
      <c r="H42" s="1004"/>
      <c r="I42" s="1004"/>
      <c r="J42" s="1004"/>
      <c r="K42" s="1004"/>
      <c r="L42" s="1004"/>
      <c r="M42" s="1004"/>
      <c r="N42" s="1004"/>
      <c r="O42" s="1004"/>
      <c r="P42" s="1004"/>
      <c r="Q42" s="1004"/>
      <c r="R42" s="1004"/>
      <c r="S42" s="1004"/>
      <c r="T42" s="1004"/>
      <c r="U42" s="1004"/>
      <c r="V42" s="1004"/>
      <c r="W42" s="1004"/>
      <c r="X42" s="1004"/>
      <c r="Y42" s="1004"/>
      <c r="Z42" s="1004"/>
      <c r="AA42" s="1004"/>
      <c r="AB42" s="1004"/>
      <c r="AC42" s="1004"/>
      <c r="AD42" s="1004"/>
      <c r="AE42" s="1005"/>
      <c r="AF42" s="865"/>
    </row>
    <row r="43" spans="1:32" s="489" customFormat="1" ht="15.75" x14ac:dyDescent="0.25">
      <c r="A43" s="1006" t="s">
        <v>31</v>
      </c>
      <c r="B43" s="367">
        <f>B44+B45+B46+B48</f>
        <v>54182.209999999992</v>
      </c>
      <c r="C43" s="367">
        <f>C44+C45+C46+C48</f>
        <v>54182.209999999992</v>
      </c>
      <c r="D43" s="367">
        <f>D44+D45+D46+D48</f>
        <v>53740.720560000002</v>
      </c>
      <c r="E43" s="581">
        <f>E44+E45+E46+E48</f>
        <v>53740.720560000002</v>
      </c>
      <c r="F43" s="272">
        <f>E43/B43*100</f>
        <v>99.185176389076801</v>
      </c>
      <c r="G43" s="272">
        <f>E43/C43*100</f>
        <v>99.185176389076801</v>
      </c>
      <c r="H43" s="272">
        <f t="shared" ref="H43:AE43" si="29">H44+H45+H46+H48</f>
        <v>5142.3099999999995</v>
      </c>
      <c r="I43" s="272">
        <f t="shared" si="29"/>
        <v>3726.31</v>
      </c>
      <c r="J43" s="272">
        <f t="shared" si="29"/>
        <v>5553.47</v>
      </c>
      <c r="K43" s="272">
        <f t="shared" si="29"/>
        <v>6282.3379400000003</v>
      </c>
      <c r="L43" s="272">
        <f t="shared" si="29"/>
        <v>4731.79</v>
      </c>
      <c r="M43" s="272">
        <f t="shared" si="29"/>
        <v>4240.2820600000005</v>
      </c>
      <c r="N43" s="272">
        <f t="shared" si="29"/>
        <v>3977.9100000000003</v>
      </c>
      <c r="O43" s="272">
        <f t="shared" si="29"/>
        <v>3894.5910400000002</v>
      </c>
      <c r="P43" s="272">
        <f t="shared" si="29"/>
        <v>2981.2799999999997</v>
      </c>
      <c r="Q43" s="272">
        <f t="shared" si="29"/>
        <v>2326.7763999999997</v>
      </c>
      <c r="R43" s="272">
        <f t="shared" si="29"/>
        <v>2527.65</v>
      </c>
      <c r="S43" s="272">
        <f t="shared" si="29"/>
        <v>2843.9030299999999</v>
      </c>
      <c r="T43" s="272">
        <f t="shared" si="29"/>
        <v>3144.59</v>
      </c>
      <c r="U43" s="272">
        <f t="shared" si="29"/>
        <v>3049.4241499999998</v>
      </c>
      <c r="V43" s="272">
        <f t="shared" si="29"/>
        <v>4513.8599999999997</v>
      </c>
      <c r="W43" s="272">
        <f t="shared" si="29"/>
        <v>2682.7259399999998</v>
      </c>
      <c r="X43" s="272">
        <f t="shared" si="29"/>
        <v>5807.85</v>
      </c>
      <c r="Y43" s="272">
        <f t="shared" si="29"/>
        <v>7859.09</v>
      </c>
      <c r="Z43" s="272">
        <f t="shared" si="29"/>
        <v>7365.24</v>
      </c>
      <c r="AA43" s="272">
        <f t="shared" si="29"/>
        <v>6824.99</v>
      </c>
      <c r="AB43" s="272">
        <f t="shared" si="29"/>
        <v>4608.16</v>
      </c>
      <c r="AC43" s="272">
        <f t="shared" si="29"/>
        <v>5304.46</v>
      </c>
      <c r="AD43" s="272">
        <f t="shared" si="29"/>
        <v>3828.1000000000004</v>
      </c>
      <c r="AE43" s="272">
        <f t="shared" si="29"/>
        <v>4705.83</v>
      </c>
      <c r="AF43" s="973"/>
    </row>
    <row r="44" spans="1:32" s="489" customFormat="1" ht="15.75" x14ac:dyDescent="0.25">
      <c r="A44" s="1000" t="s">
        <v>169</v>
      </c>
      <c r="B44" s="368">
        <f t="shared" ref="B44:C48" si="30">B51+B58</f>
        <v>0</v>
      </c>
      <c r="C44" s="368">
        <f>C51+C58</f>
        <v>0</v>
      </c>
      <c r="D44" s="368">
        <f>E44</f>
        <v>0</v>
      </c>
      <c r="E44" s="368">
        <f>I44+K44+M44+O44+Q44+S44+U44+W44+Y44+AA44+AC44+AE44</f>
        <v>0</v>
      </c>
      <c r="F44" s="367">
        <f>IFERROR(E44/B44*100,0)</f>
        <v>0</v>
      </c>
      <c r="G44" s="367">
        <f>IFERROR(E44/C44*100,0)</f>
        <v>0</v>
      </c>
      <c r="H44" s="1002">
        <v>0</v>
      </c>
      <c r="I44" s="1002">
        <v>0</v>
      </c>
      <c r="J44" s="1002">
        <v>0</v>
      </c>
      <c r="K44" s="1002">
        <v>0</v>
      </c>
      <c r="L44" s="1002">
        <v>0</v>
      </c>
      <c r="M44" s="1002">
        <v>0</v>
      </c>
      <c r="N44" s="1002">
        <v>0</v>
      </c>
      <c r="O44" s="1002">
        <v>0</v>
      </c>
      <c r="P44" s="1002">
        <v>0</v>
      </c>
      <c r="Q44" s="1002">
        <v>0</v>
      </c>
      <c r="R44" s="1002">
        <v>0</v>
      </c>
      <c r="S44" s="1002">
        <v>0</v>
      </c>
      <c r="T44" s="1002">
        <v>0</v>
      </c>
      <c r="U44" s="1002">
        <v>0</v>
      </c>
      <c r="V44" s="1002">
        <v>0</v>
      </c>
      <c r="W44" s="1002">
        <v>0</v>
      </c>
      <c r="X44" s="1002">
        <v>0</v>
      </c>
      <c r="Y44" s="1002">
        <v>0</v>
      </c>
      <c r="Z44" s="1002">
        <v>0</v>
      </c>
      <c r="AA44" s="1002">
        <v>0</v>
      </c>
      <c r="AB44" s="1002">
        <v>0</v>
      </c>
      <c r="AC44" s="1002">
        <v>0</v>
      </c>
      <c r="AD44" s="1002">
        <v>0</v>
      </c>
      <c r="AE44" s="1002">
        <v>0</v>
      </c>
      <c r="AF44" s="634"/>
    </row>
    <row r="45" spans="1:32" s="489" customFormat="1" ht="15.75" x14ac:dyDescent="0.25">
      <c r="A45" s="999" t="s">
        <v>32</v>
      </c>
      <c r="B45" s="368">
        <f t="shared" si="30"/>
        <v>0</v>
      </c>
      <c r="C45" s="368">
        <f t="shared" si="30"/>
        <v>0</v>
      </c>
      <c r="D45" s="368">
        <f>E45</f>
        <v>0</v>
      </c>
      <c r="E45" s="368">
        <f>I45+K45+M45+O45+Q45+S45+U45+W45+Y45+AA45+AC45+AE45</f>
        <v>0</v>
      </c>
      <c r="F45" s="367">
        <f>IFERROR(E45/B45*100,0)</f>
        <v>0</v>
      </c>
      <c r="G45" s="367">
        <f>IFERROR(E45/C45*100,0)</f>
        <v>0</v>
      </c>
      <c r="H45" s="1002">
        <v>0</v>
      </c>
      <c r="I45" s="1002">
        <v>0</v>
      </c>
      <c r="J45" s="1002">
        <v>0</v>
      </c>
      <c r="K45" s="1002">
        <v>0</v>
      </c>
      <c r="L45" s="1002">
        <v>0</v>
      </c>
      <c r="M45" s="1002">
        <v>0</v>
      </c>
      <c r="N45" s="1002">
        <v>0</v>
      </c>
      <c r="O45" s="1002">
        <v>0</v>
      </c>
      <c r="P45" s="1002">
        <v>0</v>
      </c>
      <c r="Q45" s="1002">
        <v>0</v>
      </c>
      <c r="R45" s="1002">
        <v>0</v>
      </c>
      <c r="S45" s="1002">
        <v>0</v>
      </c>
      <c r="T45" s="1002">
        <v>0</v>
      </c>
      <c r="U45" s="1002">
        <v>0</v>
      </c>
      <c r="V45" s="1002">
        <v>0</v>
      </c>
      <c r="W45" s="1002">
        <v>0</v>
      </c>
      <c r="X45" s="1002">
        <v>0</v>
      </c>
      <c r="Y45" s="1002">
        <v>0</v>
      </c>
      <c r="Z45" s="1002">
        <v>0</v>
      </c>
      <c r="AA45" s="1002">
        <v>0</v>
      </c>
      <c r="AB45" s="1002">
        <v>0</v>
      </c>
      <c r="AC45" s="1002">
        <v>0</v>
      </c>
      <c r="AD45" s="1002">
        <v>0</v>
      </c>
      <c r="AE45" s="1002">
        <v>0</v>
      </c>
      <c r="AF45" s="634"/>
    </row>
    <row r="46" spans="1:32" s="489" customFormat="1" ht="15.75" x14ac:dyDescent="0.25">
      <c r="A46" s="999" t="s">
        <v>33</v>
      </c>
      <c r="B46" s="368">
        <f t="shared" si="30"/>
        <v>54182.209999999992</v>
      </c>
      <c r="C46" s="368">
        <f t="shared" si="30"/>
        <v>54182.209999999992</v>
      </c>
      <c r="D46" s="368">
        <f>E46</f>
        <v>53740.720560000002</v>
      </c>
      <c r="E46" s="368">
        <f>I46+K46+M46+O46+Q46+S46+U46+W46+Y46+AA46+AC46+AE46</f>
        <v>53740.720560000002</v>
      </c>
      <c r="F46" s="367">
        <f>IFERROR(E46/B46*100,0)</f>
        <v>99.185176389076801</v>
      </c>
      <c r="G46" s="367">
        <f>IFERROR(E46/C46*100,0)</f>
        <v>99.185176389076801</v>
      </c>
      <c r="H46" s="1002">
        <v>5142.3099999999995</v>
      </c>
      <c r="I46" s="1002">
        <v>3726.31</v>
      </c>
      <c r="J46" s="1002">
        <v>5553.47</v>
      </c>
      <c r="K46" s="1002">
        <v>6282.3379400000003</v>
      </c>
      <c r="L46" s="1002">
        <v>4731.79</v>
      </c>
      <c r="M46" s="1002">
        <v>4240.2820600000005</v>
      </c>
      <c r="N46" s="1002">
        <v>3977.9100000000003</v>
      </c>
      <c r="O46" s="1002">
        <v>3894.5910400000002</v>
      </c>
      <c r="P46" s="1002">
        <v>2981.2799999999997</v>
      </c>
      <c r="Q46" s="1002">
        <v>2326.7763999999997</v>
      </c>
      <c r="R46" s="1002">
        <v>2527.65</v>
      </c>
      <c r="S46" s="1002">
        <v>2843.9030299999999</v>
      </c>
      <c r="T46" s="1002">
        <v>3144.59</v>
      </c>
      <c r="U46" s="1002">
        <v>3049.4241499999998</v>
      </c>
      <c r="V46" s="1002">
        <v>4513.8599999999997</v>
      </c>
      <c r="W46" s="1002">
        <v>2682.7259399999998</v>
      </c>
      <c r="X46" s="1002">
        <v>5807.85</v>
      </c>
      <c r="Y46" s="1002">
        <v>7859.09</v>
      </c>
      <c r="Z46" s="1002">
        <v>7365.24</v>
      </c>
      <c r="AA46" s="1002">
        <v>6824.99</v>
      </c>
      <c r="AB46" s="1002">
        <v>4608.16</v>
      </c>
      <c r="AC46" s="1002">
        <v>5304.46</v>
      </c>
      <c r="AD46" s="1002">
        <v>3828.1000000000004</v>
      </c>
      <c r="AE46" s="1002">
        <v>4705.83</v>
      </c>
      <c r="AF46" s="634"/>
    </row>
    <row r="47" spans="1:32" s="489" customFormat="1" ht="31.5" x14ac:dyDescent="0.25">
      <c r="A47" s="1003" t="s">
        <v>174</v>
      </c>
      <c r="B47" s="368">
        <f t="shared" si="30"/>
        <v>0</v>
      </c>
      <c r="C47" s="368">
        <f t="shared" si="30"/>
        <v>0</v>
      </c>
      <c r="D47" s="368">
        <f>E47</f>
        <v>0</v>
      </c>
      <c r="E47" s="368">
        <f>I47+K47+M47+O47+Q47+S47+U47+W47+Y47+AA47+AC47+AE47</f>
        <v>0</v>
      </c>
      <c r="F47" s="367">
        <f>IFERROR(E47/B47*100,0)</f>
        <v>0</v>
      </c>
      <c r="G47" s="367">
        <f>IFERROR(E47/C47*100,0)</f>
        <v>0</v>
      </c>
      <c r="H47" s="1002">
        <v>0</v>
      </c>
      <c r="I47" s="1002">
        <v>0</v>
      </c>
      <c r="J47" s="1002">
        <v>0</v>
      </c>
      <c r="K47" s="1002">
        <v>0</v>
      </c>
      <c r="L47" s="1002">
        <v>0</v>
      </c>
      <c r="M47" s="1002">
        <v>0</v>
      </c>
      <c r="N47" s="1002">
        <v>0</v>
      </c>
      <c r="O47" s="1002">
        <v>0</v>
      </c>
      <c r="P47" s="1002">
        <v>0</v>
      </c>
      <c r="Q47" s="1002">
        <v>0</v>
      </c>
      <c r="R47" s="1002">
        <v>0</v>
      </c>
      <c r="S47" s="1002">
        <v>0</v>
      </c>
      <c r="T47" s="1002">
        <v>0</v>
      </c>
      <c r="U47" s="1002">
        <v>0</v>
      </c>
      <c r="V47" s="1002">
        <v>0</v>
      </c>
      <c r="W47" s="1002">
        <v>0</v>
      </c>
      <c r="X47" s="1002">
        <v>0</v>
      </c>
      <c r="Y47" s="1002">
        <v>0</v>
      </c>
      <c r="Z47" s="1002">
        <v>0</v>
      </c>
      <c r="AA47" s="1002">
        <v>0</v>
      </c>
      <c r="AB47" s="1002">
        <v>0</v>
      </c>
      <c r="AC47" s="1002">
        <v>0</v>
      </c>
      <c r="AD47" s="1002">
        <v>0</v>
      </c>
      <c r="AE47" s="1002">
        <v>0</v>
      </c>
      <c r="AF47" s="634"/>
    </row>
    <row r="48" spans="1:32" s="489" customFormat="1" ht="15.75" x14ac:dyDescent="0.25">
      <c r="A48" s="999" t="s">
        <v>221</v>
      </c>
      <c r="B48" s="368">
        <f t="shared" si="30"/>
        <v>0</v>
      </c>
      <c r="C48" s="368">
        <f t="shared" si="30"/>
        <v>0</v>
      </c>
      <c r="D48" s="368">
        <f>E48</f>
        <v>0</v>
      </c>
      <c r="E48" s="368">
        <f>I48+K48+M48+O48+Q48+S48+U48+W48+Y48+AA48+AC48+AE48</f>
        <v>0</v>
      </c>
      <c r="F48" s="367">
        <f>IFERROR(E48/B48*100,0)</f>
        <v>0</v>
      </c>
      <c r="G48" s="367">
        <f>IFERROR(E48/C48*100,0)</f>
        <v>0</v>
      </c>
      <c r="H48" s="1002">
        <v>0</v>
      </c>
      <c r="I48" s="1002">
        <v>0</v>
      </c>
      <c r="J48" s="1002">
        <v>0</v>
      </c>
      <c r="K48" s="1002">
        <v>0</v>
      </c>
      <c r="L48" s="1002">
        <v>0</v>
      </c>
      <c r="M48" s="1002">
        <v>0</v>
      </c>
      <c r="N48" s="1002">
        <v>0</v>
      </c>
      <c r="O48" s="1002">
        <v>0</v>
      </c>
      <c r="P48" s="1002">
        <v>0</v>
      </c>
      <c r="Q48" s="1002">
        <v>0</v>
      </c>
      <c r="R48" s="1002">
        <v>0</v>
      </c>
      <c r="S48" s="1002">
        <v>0</v>
      </c>
      <c r="T48" s="1002">
        <v>0</v>
      </c>
      <c r="U48" s="1002">
        <v>0</v>
      </c>
      <c r="V48" s="1002">
        <v>0</v>
      </c>
      <c r="W48" s="1002">
        <v>0</v>
      </c>
      <c r="X48" s="1002">
        <v>0</v>
      </c>
      <c r="Y48" s="1002">
        <v>0</v>
      </c>
      <c r="Z48" s="1002">
        <v>0</v>
      </c>
      <c r="AA48" s="1002">
        <v>0</v>
      </c>
      <c r="AB48" s="1002">
        <v>0</v>
      </c>
      <c r="AC48" s="1002">
        <v>0</v>
      </c>
      <c r="AD48" s="1002">
        <v>0</v>
      </c>
      <c r="AE48" s="1002">
        <v>0</v>
      </c>
      <c r="AF48" s="634"/>
    </row>
    <row r="49" spans="1:32" s="489" customFormat="1" ht="15.75" x14ac:dyDescent="0.25">
      <c r="A49" s="1017" t="s">
        <v>437</v>
      </c>
      <c r="B49" s="1004"/>
      <c r="C49" s="1004"/>
      <c r="D49" s="1004"/>
      <c r="E49" s="1004"/>
      <c r="F49" s="1004"/>
      <c r="G49" s="1004"/>
      <c r="H49" s="1004"/>
      <c r="I49" s="1004"/>
      <c r="J49" s="1004"/>
      <c r="K49" s="1004"/>
      <c r="L49" s="1004"/>
      <c r="M49" s="1004"/>
      <c r="N49" s="1004"/>
      <c r="O49" s="1004"/>
      <c r="P49" s="1004"/>
      <c r="Q49" s="1004"/>
      <c r="R49" s="1004"/>
      <c r="S49" s="1004"/>
      <c r="T49" s="1004"/>
      <c r="U49" s="1004"/>
      <c r="V49" s="1004"/>
      <c r="W49" s="1004"/>
      <c r="X49" s="1004"/>
      <c r="Y49" s="1004"/>
      <c r="Z49" s="1004"/>
      <c r="AA49" s="1004"/>
      <c r="AB49" s="1004"/>
      <c r="AC49" s="1004"/>
      <c r="AD49" s="1004"/>
      <c r="AE49" s="1005"/>
      <c r="AF49" s="634"/>
    </row>
    <row r="50" spans="1:32" s="489" customFormat="1" ht="126" x14ac:dyDescent="0.25">
      <c r="A50" s="999" t="s">
        <v>31</v>
      </c>
      <c r="B50" s="367">
        <f>B51+B52+B53+B55</f>
        <v>8644.3100000000013</v>
      </c>
      <c r="C50" s="367">
        <f>C51+C52+C53+C55</f>
        <v>8644.31</v>
      </c>
      <c r="D50" s="367">
        <f>D51+D52+D53+D55</f>
        <v>8633.27</v>
      </c>
      <c r="E50" s="581">
        <f>E51+E52+E53+E55</f>
        <v>8633.27</v>
      </c>
      <c r="F50" s="367">
        <f t="shared" ref="F50" si="31">IFERROR(E50/B50*100,0)</f>
        <v>99.872285931439279</v>
      </c>
      <c r="G50" s="367">
        <f t="shared" ref="G50" si="32">IFERROR(E50/C50*100,0)</f>
        <v>99.872285931439308</v>
      </c>
      <c r="H50" s="272">
        <f t="shared" ref="H50:AE50" si="33">H51+H52+H53+H55</f>
        <v>1391.87</v>
      </c>
      <c r="I50" s="272">
        <f t="shared" si="33"/>
        <v>0</v>
      </c>
      <c r="J50" s="272">
        <f t="shared" si="33"/>
        <v>1136.68</v>
      </c>
      <c r="K50" s="272">
        <f t="shared" si="33"/>
        <v>2528.5500000000002</v>
      </c>
      <c r="L50" s="272">
        <f t="shared" si="33"/>
        <v>817.05</v>
      </c>
      <c r="M50" s="272">
        <f t="shared" si="33"/>
        <v>817.05</v>
      </c>
      <c r="N50" s="272">
        <f t="shared" si="33"/>
        <v>509.07</v>
      </c>
      <c r="O50" s="272">
        <f t="shared" si="33"/>
        <v>509.07</v>
      </c>
      <c r="P50" s="272">
        <f t="shared" si="33"/>
        <v>14.54</v>
      </c>
      <c r="Q50" s="272">
        <f t="shared" si="33"/>
        <v>0</v>
      </c>
      <c r="R50" s="272">
        <f t="shared" si="33"/>
        <v>109.61</v>
      </c>
      <c r="S50" s="272">
        <f t="shared" si="33"/>
        <v>0</v>
      </c>
      <c r="T50" s="272">
        <f t="shared" si="33"/>
        <v>706.92</v>
      </c>
      <c r="U50" s="272">
        <f t="shared" si="33"/>
        <v>0</v>
      </c>
      <c r="V50" s="272">
        <f t="shared" si="33"/>
        <v>1073.97</v>
      </c>
      <c r="W50" s="272">
        <f t="shared" si="33"/>
        <v>0</v>
      </c>
      <c r="X50" s="272">
        <f t="shared" si="33"/>
        <v>1386.93</v>
      </c>
      <c r="Y50" s="272">
        <f t="shared" si="33"/>
        <v>3167.81</v>
      </c>
      <c r="Z50" s="272">
        <f t="shared" si="33"/>
        <v>1379.96</v>
      </c>
      <c r="AA50" s="272">
        <f t="shared" si="33"/>
        <v>0</v>
      </c>
      <c r="AB50" s="272">
        <f t="shared" si="33"/>
        <v>117.71</v>
      </c>
      <c r="AC50" s="272">
        <f t="shared" si="33"/>
        <v>1610.79</v>
      </c>
      <c r="AD50" s="272">
        <f t="shared" si="33"/>
        <v>0</v>
      </c>
      <c r="AE50" s="272">
        <f t="shared" si="33"/>
        <v>0</v>
      </c>
      <c r="AF50" s="1031" t="s">
        <v>602</v>
      </c>
    </row>
    <row r="51" spans="1:32" s="489" customFormat="1" ht="15.75" x14ac:dyDescent="0.25">
      <c r="A51" s="1000" t="s">
        <v>169</v>
      </c>
      <c r="B51" s="368">
        <f>H51+J51+L51+N51+P51+R51+T51+V51+X51+Z51+AB51+AD51</f>
        <v>0</v>
      </c>
      <c r="C51" s="368">
        <f>V51+T51+R51+H51+J51+L51+N51+P51+X51+Z51+AB51+AD51</f>
        <v>0</v>
      </c>
      <c r="D51" s="368">
        <f>E51</f>
        <v>0</v>
      </c>
      <c r="E51" s="368">
        <f>I51+K51+M51+O51+Q51+S51+U51+W51+Y51+AA51+AC51+AE51</f>
        <v>0</v>
      </c>
      <c r="F51" s="367">
        <f>IFERROR(E51/B51*100,0)</f>
        <v>0</v>
      </c>
      <c r="G51" s="367">
        <f>IFERROR(E51/C51*100,0)</f>
        <v>0</v>
      </c>
      <c r="H51" s="1002">
        <v>0</v>
      </c>
      <c r="I51" s="1002">
        <v>0</v>
      </c>
      <c r="J51" s="1002">
        <v>0</v>
      </c>
      <c r="K51" s="1002">
        <v>0</v>
      </c>
      <c r="L51" s="1002">
        <v>0</v>
      </c>
      <c r="M51" s="1002">
        <v>0</v>
      </c>
      <c r="N51" s="1002">
        <v>0</v>
      </c>
      <c r="O51" s="1002">
        <v>0</v>
      </c>
      <c r="P51" s="1002">
        <v>0</v>
      </c>
      <c r="Q51" s="1002">
        <v>0</v>
      </c>
      <c r="R51" s="1002">
        <v>0</v>
      </c>
      <c r="S51" s="1002">
        <v>0</v>
      </c>
      <c r="T51" s="1002">
        <v>0</v>
      </c>
      <c r="U51" s="1002">
        <v>0</v>
      </c>
      <c r="V51" s="1002">
        <v>0</v>
      </c>
      <c r="W51" s="1002">
        <v>0</v>
      </c>
      <c r="X51" s="1002">
        <v>0</v>
      </c>
      <c r="Y51" s="1002">
        <v>0</v>
      </c>
      <c r="Z51" s="1002">
        <v>0</v>
      </c>
      <c r="AA51" s="1002">
        <v>0</v>
      </c>
      <c r="AB51" s="1002">
        <v>0</v>
      </c>
      <c r="AC51" s="1002">
        <v>0</v>
      </c>
      <c r="AD51" s="1002">
        <v>0</v>
      </c>
      <c r="AE51" s="1002">
        <v>0</v>
      </c>
      <c r="AF51" s="1031"/>
    </row>
    <row r="52" spans="1:32" s="489" customFormat="1" ht="15.75" x14ac:dyDescent="0.25">
      <c r="A52" s="999" t="s">
        <v>32</v>
      </c>
      <c r="B52" s="368">
        <f>H52+J52+L52+N52+P52+R52+T52+V52+X52+Z52+AB52+AD52</f>
        <v>0</v>
      </c>
      <c r="C52" s="368">
        <f t="shared" ref="C52:C55" si="34">V52+T52+R52+H52+J52+L52+N52+P52+X52+Z52+AB52+AD52</f>
        <v>0</v>
      </c>
      <c r="D52" s="368">
        <f>E52</f>
        <v>0</v>
      </c>
      <c r="E52" s="368">
        <f>I52+K52+M52+O52+Q52+S52+U52+W52+Y52+AA52+AC52+AE52</f>
        <v>0</v>
      </c>
      <c r="F52" s="367">
        <f>IFERROR(E52/B52*100,0)</f>
        <v>0</v>
      </c>
      <c r="G52" s="367">
        <f>IFERROR(E52/C52*100,0)</f>
        <v>0</v>
      </c>
      <c r="H52" s="1002">
        <v>0</v>
      </c>
      <c r="I52" s="1002">
        <v>0</v>
      </c>
      <c r="J52" s="1002">
        <v>0</v>
      </c>
      <c r="K52" s="1002">
        <v>0</v>
      </c>
      <c r="L52" s="1002">
        <v>0</v>
      </c>
      <c r="M52" s="1002">
        <v>0</v>
      </c>
      <c r="N52" s="1002">
        <v>0</v>
      </c>
      <c r="O52" s="1002">
        <v>0</v>
      </c>
      <c r="P52" s="1002">
        <v>0</v>
      </c>
      <c r="Q52" s="1002">
        <v>0</v>
      </c>
      <c r="R52" s="1002">
        <v>0</v>
      </c>
      <c r="S52" s="1002">
        <v>0</v>
      </c>
      <c r="T52" s="1002">
        <v>0</v>
      </c>
      <c r="U52" s="1002">
        <v>0</v>
      </c>
      <c r="V52" s="1002">
        <v>0</v>
      </c>
      <c r="W52" s="1002">
        <v>0</v>
      </c>
      <c r="X52" s="1002">
        <v>0</v>
      </c>
      <c r="Y52" s="1002">
        <v>0</v>
      </c>
      <c r="Z52" s="1002">
        <v>0</v>
      </c>
      <c r="AA52" s="1002">
        <v>0</v>
      </c>
      <c r="AB52" s="1002">
        <v>0</v>
      </c>
      <c r="AC52" s="1002">
        <v>0</v>
      </c>
      <c r="AD52" s="1002">
        <v>0</v>
      </c>
      <c r="AE52" s="1002">
        <v>0</v>
      </c>
      <c r="AF52" s="1031"/>
    </row>
    <row r="53" spans="1:32" s="486" customFormat="1" ht="15.75" x14ac:dyDescent="0.25">
      <c r="A53" s="487" t="s">
        <v>33</v>
      </c>
      <c r="B53" s="578">
        <f>H53+J53+L53+N53+P53+R53+T53+V53+X53+Z53+AB53+AD53</f>
        <v>8644.3100000000013</v>
      </c>
      <c r="C53" s="368">
        <f t="shared" si="34"/>
        <v>8644.31</v>
      </c>
      <c r="D53" s="579">
        <f>E53</f>
        <v>8633.27</v>
      </c>
      <c r="E53" s="578">
        <f>I53+K53+M53+O53+Q53+S53+U53+W53+Y53+AA53+AC53+AE53</f>
        <v>8633.27</v>
      </c>
      <c r="F53" s="367">
        <f>IFERROR(E53/B53*100,0)</f>
        <v>99.872285931439279</v>
      </c>
      <c r="G53" s="367">
        <f>IFERROR(E53/C53*100,0)</f>
        <v>99.872285931439308</v>
      </c>
      <c r="H53" s="579">
        <v>1391.87</v>
      </c>
      <c r="I53" s="577"/>
      <c r="J53" s="579">
        <v>1136.68</v>
      </c>
      <c r="K53" s="579">
        <v>2528.5500000000002</v>
      </c>
      <c r="L53" s="579">
        <v>817.05</v>
      </c>
      <c r="M53" s="579">
        <v>817.05</v>
      </c>
      <c r="N53" s="579">
        <v>509.07</v>
      </c>
      <c r="O53" s="579">
        <v>509.07</v>
      </c>
      <c r="P53" s="579">
        <v>14.54</v>
      </c>
      <c r="Q53" s="579">
        <v>0</v>
      </c>
      <c r="R53" s="579">
        <v>109.61</v>
      </c>
      <c r="S53" s="579">
        <v>0</v>
      </c>
      <c r="T53" s="579">
        <v>706.92</v>
      </c>
      <c r="U53" s="579">
        <v>0</v>
      </c>
      <c r="V53" s="579">
        <v>1073.97</v>
      </c>
      <c r="W53" s="579">
        <v>0</v>
      </c>
      <c r="X53" s="579">
        <v>1386.93</v>
      </c>
      <c r="Y53" s="579">
        <v>3167.81</v>
      </c>
      <c r="Z53" s="579">
        <v>1379.96</v>
      </c>
      <c r="AA53" s="579">
        <v>0</v>
      </c>
      <c r="AB53" s="579">
        <v>117.71</v>
      </c>
      <c r="AC53" s="579">
        <v>1610.79</v>
      </c>
      <c r="AD53" s="579">
        <v>0</v>
      </c>
      <c r="AE53" s="579">
        <v>0</v>
      </c>
      <c r="AF53" s="1031"/>
    </row>
    <row r="54" spans="1:32" s="489" customFormat="1" ht="31.5" x14ac:dyDescent="0.25">
      <c r="A54" s="1003" t="s">
        <v>174</v>
      </c>
      <c r="B54" s="368">
        <f>H54+J54+L54+N54+P54+R54+T54+V54+X54+Z54+AB54+AD54</f>
        <v>0</v>
      </c>
      <c r="C54" s="368">
        <f t="shared" si="34"/>
        <v>0</v>
      </c>
      <c r="D54" s="368">
        <f>E54</f>
        <v>0</v>
      </c>
      <c r="E54" s="368">
        <f>I54+K54+M54+O54+Q54+S54+U54+W54+Y54+AA54+AC54+AE54</f>
        <v>0</v>
      </c>
      <c r="F54" s="367">
        <f>IFERROR(E54/B54*100,0)</f>
        <v>0</v>
      </c>
      <c r="G54" s="367">
        <f>IFERROR(E54/C54*100,0)</f>
        <v>0</v>
      </c>
      <c r="H54" s="1002">
        <v>0</v>
      </c>
      <c r="I54" s="1002">
        <v>0</v>
      </c>
      <c r="J54" s="1002">
        <v>0</v>
      </c>
      <c r="K54" s="1002">
        <v>0</v>
      </c>
      <c r="L54" s="1002">
        <v>0</v>
      </c>
      <c r="M54" s="1002">
        <v>0</v>
      </c>
      <c r="N54" s="1002">
        <v>0</v>
      </c>
      <c r="O54" s="1002">
        <v>0</v>
      </c>
      <c r="P54" s="1002">
        <v>0</v>
      </c>
      <c r="Q54" s="1002">
        <v>0</v>
      </c>
      <c r="R54" s="1002">
        <v>0</v>
      </c>
      <c r="S54" s="1002">
        <v>0</v>
      </c>
      <c r="T54" s="1002">
        <v>0</v>
      </c>
      <c r="U54" s="1002">
        <v>0</v>
      </c>
      <c r="V54" s="1002">
        <v>0</v>
      </c>
      <c r="W54" s="1002">
        <v>0</v>
      </c>
      <c r="X54" s="1002">
        <v>0</v>
      </c>
      <c r="Y54" s="1002">
        <v>0</v>
      </c>
      <c r="Z54" s="1002">
        <v>0</v>
      </c>
      <c r="AA54" s="1002">
        <v>0</v>
      </c>
      <c r="AB54" s="1002">
        <v>0</v>
      </c>
      <c r="AC54" s="1002">
        <v>0</v>
      </c>
      <c r="AD54" s="1002">
        <v>0</v>
      </c>
      <c r="AE54" s="1002">
        <v>0</v>
      </c>
      <c r="AF54" s="1031"/>
    </row>
    <row r="55" spans="1:32" s="489" customFormat="1" ht="15.75" x14ac:dyDescent="0.25">
      <c r="A55" s="999" t="s">
        <v>221</v>
      </c>
      <c r="B55" s="368">
        <f>H55+J55+L55+N55+P55+R55+T55+V55+X55+Z55+AB55+AD55</f>
        <v>0</v>
      </c>
      <c r="C55" s="368">
        <f t="shared" si="34"/>
        <v>0</v>
      </c>
      <c r="D55" s="368">
        <f>E55</f>
        <v>0</v>
      </c>
      <c r="E55" s="368">
        <f>I55+K55+M55+O55+Q55+S55+U55+W55+Y55+AA55+AC55+AE55</f>
        <v>0</v>
      </c>
      <c r="F55" s="367">
        <f>IFERROR(E55/B55*100,0)</f>
        <v>0</v>
      </c>
      <c r="G55" s="367">
        <f>IFERROR(E55/C55*100,0)</f>
        <v>0</v>
      </c>
      <c r="H55" s="1002">
        <v>0</v>
      </c>
      <c r="I55" s="1002">
        <v>0</v>
      </c>
      <c r="J55" s="1002">
        <v>0</v>
      </c>
      <c r="K55" s="1002">
        <v>0</v>
      </c>
      <c r="L55" s="1002">
        <v>0</v>
      </c>
      <c r="M55" s="1002">
        <v>0</v>
      </c>
      <c r="N55" s="1002">
        <v>0</v>
      </c>
      <c r="O55" s="1002">
        <v>0</v>
      </c>
      <c r="P55" s="1002">
        <v>0</v>
      </c>
      <c r="Q55" s="1002">
        <v>0</v>
      </c>
      <c r="R55" s="1002">
        <v>0</v>
      </c>
      <c r="S55" s="1002">
        <v>0</v>
      </c>
      <c r="T55" s="1002">
        <v>0</v>
      </c>
      <c r="U55" s="1002">
        <v>0</v>
      </c>
      <c r="V55" s="1002">
        <v>0</v>
      </c>
      <c r="W55" s="1002">
        <v>0</v>
      </c>
      <c r="X55" s="1002">
        <v>0</v>
      </c>
      <c r="Y55" s="1002">
        <v>0</v>
      </c>
      <c r="Z55" s="1002">
        <v>0</v>
      </c>
      <c r="AA55" s="1002">
        <v>0</v>
      </c>
      <c r="AB55" s="1002">
        <v>0</v>
      </c>
      <c r="AC55" s="1002">
        <v>0</v>
      </c>
      <c r="AD55" s="1002">
        <v>0</v>
      </c>
      <c r="AE55" s="1002">
        <v>0</v>
      </c>
      <c r="AF55" s="1031"/>
    </row>
    <row r="56" spans="1:32" s="489" customFormat="1" ht="15.75" x14ac:dyDescent="0.25">
      <c r="A56" s="1017" t="s">
        <v>438</v>
      </c>
      <c r="B56" s="1004"/>
      <c r="C56" s="1004"/>
      <c r="D56" s="1004"/>
      <c r="E56" s="1004"/>
      <c r="F56" s="1004"/>
      <c r="G56" s="1004"/>
      <c r="H56" s="1004"/>
      <c r="I56" s="1004"/>
      <c r="J56" s="1004"/>
      <c r="K56" s="1004"/>
      <c r="L56" s="1004"/>
      <c r="M56" s="1004"/>
      <c r="N56" s="1004"/>
      <c r="O56" s="1004"/>
      <c r="P56" s="1004"/>
      <c r="Q56" s="1004"/>
      <c r="R56" s="1004"/>
      <c r="S56" s="1004"/>
      <c r="T56" s="1004"/>
      <c r="U56" s="1004"/>
      <c r="V56" s="1004"/>
      <c r="W56" s="1004"/>
      <c r="X56" s="1004"/>
      <c r="Y56" s="1004"/>
      <c r="Z56" s="1004"/>
      <c r="AA56" s="1004"/>
      <c r="AB56" s="1004"/>
      <c r="AC56" s="1004"/>
      <c r="AD56" s="1004"/>
      <c r="AE56" s="1005"/>
      <c r="AF56" s="631"/>
    </row>
    <row r="57" spans="1:32" s="489" customFormat="1" ht="409.5" x14ac:dyDescent="0.25">
      <c r="A57" s="999" t="s">
        <v>31</v>
      </c>
      <c r="B57" s="367">
        <f>B58+B59+B60+B62</f>
        <v>45537.899999999994</v>
      </c>
      <c r="C57" s="367">
        <f>C58+C59+C60+C62</f>
        <v>45537.899999999994</v>
      </c>
      <c r="D57" s="367">
        <f>D58+D59+D60+D62</f>
        <v>45107.450559999997</v>
      </c>
      <c r="E57" s="581">
        <f>E58+E59+E60+E62</f>
        <v>45107.450559999997</v>
      </c>
      <c r="F57" s="367">
        <f t="shared" ref="F57" si="35">IFERROR(E57/B57*100,0)</f>
        <v>99.054744641276841</v>
      </c>
      <c r="G57" s="367">
        <f t="shared" ref="G57" si="36">IFERROR(E57/C57*100,0)</f>
        <v>99.054744641276841</v>
      </c>
      <c r="H57" s="272">
        <f t="shared" ref="H57:AE57" si="37">H58+H59+H60+H62</f>
        <v>3750.44</v>
      </c>
      <c r="I57" s="272">
        <f t="shared" si="37"/>
        <v>3726.31</v>
      </c>
      <c r="J57" s="272">
        <f t="shared" si="37"/>
        <v>4416.79</v>
      </c>
      <c r="K57" s="272">
        <f t="shared" si="37"/>
        <v>3753.7879400000002</v>
      </c>
      <c r="L57" s="272">
        <f t="shared" si="37"/>
        <v>3914.74</v>
      </c>
      <c r="M57" s="272">
        <f t="shared" si="37"/>
        <v>3423.2320600000003</v>
      </c>
      <c r="N57" s="272">
        <f t="shared" si="37"/>
        <v>3468.84</v>
      </c>
      <c r="O57" s="272">
        <f t="shared" si="37"/>
        <v>3385.5210400000001</v>
      </c>
      <c r="P57" s="272">
        <f t="shared" si="37"/>
        <v>2966.74</v>
      </c>
      <c r="Q57" s="272">
        <f t="shared" si="37"/>
        <v>2326.7763999999997</v>
      </c>
      <c r="R57" s="272">
        <f t="shared" si="37"/>
        <v>2418.04</v>
      </c>
      <c r="S57" s="272">
        <f t="shared" si="37"/>
        <v>2843.9030299999999</v>
      </c>
      <c r="T57" s="272">
        <f t="shared" si="37"/>
        <v>2437.67</v>
      </c>
      <c r="U57" s="272">
        <f t="shared" si="37"/>
        <v>3049.4241499999998</v>
      </c>
      <c r="V57" s="272">
        <f t="shared" si="37"/>
        <v>3439.89</v>
      </c>
      <c r="W57" s="272">
        <f t="shared" si="37"/>
        <v>2682.7259399999998</v>
      </c>
      <c r="X57" s="272">
        <f t="shared" si="37"/>
        <v>4420.92</v>
      </c>
      <c r="Y57" s="272">
        <f t="shared" si="37"/>
        <v>4691.28</v>
      </c>
      <c r="Z57" s="272">
        <f t="shared" si="37"/>
        <v>5985.28</v>
      </c>
      <c r="AA57" s="272">
        <f t="shared" si="37"/>
        <v>6824.99</v>
      </c>
      <c r="AB57" s="272">
        <f t="shared" si="37"/>
        <v>4490.45</v>
      </c>
      <c r="AC57" s="272">
        <f t="shared" si="37"/>
        <v>3693.67</v>
      </c>
      <c r="AD57" s="272">
        <f t="shared" si="37"/>
        <v>3828.1000000000004</v>
      </c>
      <c r="AE57" s="272">
        <f t="shared" si="37"/>
        <v>4705.83</v>
      </c>
      <c r="AF57" s="631" t="s">
        <v>628</v>
      </c>
    </row>
    <row r="58" spans="1:32" s="489" customFormat="1" ht="15.75" x14ac:dyDescent="0.25">
      <c r="A58" s="1007" t="s">
        <v>169</v>
      </c>
      <c r="B58" s="368">
        <f>H58+J58+L58+N58+P58+R58+T58+V58+X58+Z58+AB58+AD58</f>
        <v>0</v>
      </c>
      <c r="C58" s="368">
        <f>V58+T58+R58+H58+J58+L58+N58+P58+X58+Z58+AB58+AD58</f>
        <v>0</v>
      </c>
      <c r="D58" s="368">
        <f>E58</f>
        <v>0</v>
      </c>
      <c r="E58" s="368">
        <f>I58+K58+M58+O58+Q58+S58+U58+W58+Y58+AA58+AC58+AE58</f>
        <v>0</v>
      </c>
      <c r="F58" s="367">
        <f>IFERROR(E58/B58*100,0)</f>
        <v>0</v>
      </c>
      <c r="G58" s="367">
        <f>IFERROR(E58/C58*100,0)</f>
        <v>0</v>
      </c>
      <c r="H58" s="1002">
        <v>0</v>
      </c>
      <c r="I58" s="1002">
        <v>0</v>
      </c>
      <c r="J58" s="1002">
        <v>0</v>
      </c>
      <c r="K58" s="1002">
        <v>0</v>
      </c>
      <c r="L58" s="1002">
        <v>0</v>
      </c>
      <c r="M58" s="1002">
        <v>0</v>
      </c>
      <c r="N58" s="1002">
        <v>0</v>
      </c>
      <c r="O58" s="1002">
        <v>0</v>
      </c>
      <c r="P58" s="1002">
        <v>0</v>
      </c>
      <c r="Q58" s="1002">
        <v>0</v>
      </c>
      <c r="R58" s="1002">
        <v>0</v>
      </c>
      <c r="S58" s="1002">
        <v>0</v>
      </c>
      <c r="T58" s="1002">
        <v>0</v>
      </c>
      <c r="U58" s="1002">
        <v>0</v>
      </c>
      <c r="V58" s="1002">
        <v>0</v>
      </c>
      <c r="W58" s="1002">
        <v>0</v>
      </c>
      <c r="X58" s="1002">
        <v>0</v>
      </c>
      <c r="Y58" s="1002">
        <v>0</v>
      </c>
      <c r="Z58" s="1002">
        <v>0</v>
      </c>
      <c r="AA58" s="1002">
        <v>0</v>
      </c>
      <c r="AB58" s="1002">
        <v>0</v>
      </c>
      <c r="AC58" s="1002">
        <v>0</v>
      </c>
      <c r="AD58" s="1002">
        <v>0</v>
      </c>
      <c r="AE58" s="1002">
        <v>0</v>
      </c>
      <c r="AF58" s="626"/>
    </row>
    <row r="59" spans="1:32" s="489" customFormat="1" ht="15.75" x14ac:dyDescent="0.25">
      <c r="A59" s="1008" t="s">
        <v>32</v>
      </c>
      <c r="B59" s="368">
        <f>H59+J59+L59+N59+P59+R59+T59+V59+X59+Z59+AB59+AD59</f>
        <v>0</v>
      </c>
      <c r="C59" s="368">
        <f t="shared" ref="C59:C62" si="38">V59+T59+R59+H59+J59+L59+N59+P59+X59+Z59+AB59+AD59</f>
        <v>0</v>
      </c>
      <c r="D59" s="368">
        <f>E59</f>
        <v>0</v>
      </c>
      <c r="E59" s="368">
        <f>I59+K59+M59+O59+Q59+S59+U59+W59+Y59+AA59+AC59+AE59</f>
        <v>0</v>
      </c>
      <c r="F59" s="367">
        <f>IFERROR(E59/B59*100,0)</f>
        <v>0</v>
      </c>
      <c r="G59" s="367">
        <f>IFERROR(E59/C59*100,0)</f>
        <v>0</v>
      </c>
      <c r="H59" s="1002">
        <v>0</v>
      </c>
      <c r="I59" s="1002">
        <v>0</v>
      </c>
      <c r="J59" s="1002">
        <v>0</v>
      </c>
      <c r="K59" s="1002">
        <v>0</v>
      </c>
      <c r="L59" s="1002">
        <v>0</v>
      </c>
      <c r="M59" s="1002">
        <v>0</v>
      </c>
      <c r="N59" s="1002">
        <v>0</v>
      </c>
      <c r="O59" s="1002">
        <v>0</v>
      </c>
      <c r="P59" s="1002">
        <v>0</v>
      </c>
      <c r="Q59" s="1002">
        <v>0</v>
      </c>
      <c r="R59" s="1002">
        <v>0</v>
      </c>
      <c r="S59" s="1002">
        <v>0</v>
      </c>
      <c r="T59" s="1002">
        <v>0</v>
      </c>
      <c r="U59" s="1002">
        <v>0</v>
      </c>
      <c r="V59" s="1002">
        <v>0</v>
      </c>
      <c r="W59" s="1002">
        <v>0</v>
      </c>
      <c r="X59" s="1002">
        <v>0</v>
      </c>
      <c r="Y59" s="1002">
        <v>0</v>
      </c>
      <c r="Z59" s="1002">
        <v>0</v>
      </c>
      <c r="AA59" s="1002">
        <v>0</v>
      </c>
      <c r="AB59" s="1002">
        <v>0</v>
      </c>
      <c r="AC59" s="1002">
        <v>0</v>
      </c>
      <c r="AD59" s="1002">
        <v>0</v>
      </c>
      <c r="AE59" s="1002">
        <v>0</v>
      </c>
      <c r="AF59" s="626"/>
    </row>
    <row r="60" spans="1:32" s="486" customFormat="1" ht="15.75" x14ac:dyDescent="0.25">
      <c r="A60" s="487" t="s">
        <v>33</v>
      </c>
      <c r="B60" s="578">
        <f>H60+J60+L60+N60+P60+R60+T60+V60+X60+Z60+AB60+AD60</f>
        <v>45537.899999999994</v>
      </c>
      <c r="C60" s="368">
        <f t="shared" si="38"/>
        <v>45537.899999999994</v>
      </c>
      <c r="D60" s="579">
        <f>E60</f>
        <v>45107.450559999997</v>
      </c>
      <c r="E60" s="578">
        <f>I60+K60+M60+O60+Q60+S60+U60+W60+Y60+AA60+AC60+AE60</f>
        <v>45107.450559999997</v>
      </c>
      <c r="F60" s="367">
        <f>IFERROR(E60/B60*100,0)</f>
        <v>99.054744641276841</v>
      </c>
      <c r="G60" s="367">
        <f>IFERROR(E60/C60*100,0)</f>
        <v>99.054744641276841</v>
      </c>
      <c r="H60" s="579">
        <v>3750.44</v>
      </c>
      <c r="I60" s="579">
        <v>3726.31</v>
      </c>
      <c r="J60" s="579">
        <v>4416.79</v>
      </c>
      <c r="K60" s="579">
        <v>3753.7879400000002</v>
      </c>
      <c r="L60" s="579">
        <v>3914.74</v>
      </c>
      <c r="M60" s="579">
        <v>3423.2320600000003</v>
      </c>
      <c r="N60" s="579">
        <v>3468.84</v>
      </c>
      <c r="O60" s="579">
        <v>3385.5210400000001</v>
      </c>
      <c r="P60" s="579">
        <v>2966.74</v>
      </c>
      <c r="Q60" s="579">
        <v>2326.7763999999997</v>
      </c>
      <c r="R60" s="579">
        <v>2418.04</v>
      </c>
      <c r="S60" s="579">
        <v>2843.9030299999999</v>
      </c>
      <c r="T60" s="579">
        <v>2437.67</v>
      </c>
      <c r="U60" s="579">
        <v>3049.4241499999998</v>
      </c>
      <c r="V60" s="579">
        <v>3439.89</v>
      </c>
      <c r="W60" s="579">
        <v>2682.7259399999998</v>
      </c>
      <c r="X60" s="579">
        <v>4420.92</v>
      </c>
      <c r="Y60" s="579">
        <v>4691.28</v>
      </c>
      <c r="Z60" s="579">
        <v>5985.28</v>
      </c>
      <c r="AA60" s="579">
        <v>6824.99</v>
      </c>
      <c r="AB60" s="579">
        <v>4490.45</v>
      </c>
      <c r="AC60" s="579">
        <v>3693.67</v>
      </c>
      <c r="AD60" s="1009">
        <v>3828.1000000000004</v>
      </c>
      <c r="AE60" s="579">
        <v>4705.83</v>
      </c>
      <c r="AF60" s="626"/>
    </row>
    <row r="61" spans="1:32" s="489" customFormat="1" ht="31.5" x14ac:dyDescent="0.25">
      <c r="A61" s="1003" t="s">
        <v>174</v>
      </c>
      <c r="B61" s="368">
        <f>H61+J61+L61+N61+P61+R61+T61+V61+X61+Z61+AB61+AD61</f>
        <v>0</v>
      </c>
      <c r="C61" s="368">
        <f t="shared" si="38"/>
        <v>0</v>
      </c>
      <c r="D61" s="368">
        <f>E61</f>
        <v>0</v>
      </c>
      <c r="E61" s="368">
        <f>I61+K61+M61+O61+Q61+S61+U61+W61+Y61+AA61+AC61+AE61</f>
        <v>0</v>
      </c>
      <c r="F61" s="367">
        <f>IFERROR(E61/B61*100,0)</f>
        <v>0</v>
      </c>
      <c r="G61" s="367">
        <f>IFERROR(E61/C61*100,0)</f>
        <v>0</v>
      </c>
      <c r="H61" s="1002">
        <v>0</v>
      </c>
      <c r="I61" s="1002">
        <v>0</v>
      </c>
      <c r="J61" s="1002">
        <v>0</v>
      </c>
      <c r="K61" s="1002">
        <v>0</v>
      </c>
      <c r="L61" s="1002">
        <v>0</v>
      </c>
      <c r="M61" s="1002">
        <v>0</v>
      </c>
      <c r="N61" s="1002">
        <v>0</v>
      </c>
      <c r="O61" s="1002">
        <v>0</v>
      </c>
      <c r="P61" s="1002">
        <v>0</v>
      </c>
      <c r="Q61" s="1002">
        <v>0</v>
      </c>
      <c r="R61" s="1002">
        <v>0</v>
      </c>
      <c r="S61" s="1002">
        <v>0</v>
      </c>
      <c r="T61" s="1002">
        <v>0</v>
      </c>
      <c r="U61" s="1002">
        <v>0</v>
      </c>
      <c r="V61" s="1002">
        <v>0</v>
      </c>
      <c r="W61" s="1002">
        <v>0</v>
      </c>
      <c r="X61" s="1002">
        <v>0</v>
      </c>
      <c r="Y61" s="1002">
        <v>0</v>
      </c>
      <c r="Z61" s="1002">
        <v>0</v>
      </c>
      <c r="AA61" s="1002">
        <v>0</v>
      </c>
      <c r="AB61" s="1002">
        <v>0</v>
      </c>
      <c r="AC61" s="1002">
        <v>0</v>
      </c>
      <c r="AD61" s="1002">
        <v>0</v>
      </c>
      <c r="AE61" s="1002">
        <v>0</v>
      </c>
      <c r="AF61" s="626"/>
    </row>
    <row r="62" spans="1:32" s="489" customFormat="1" ht="15.75" x14ac:dyDescent="0.25">
      <c r="A62" s="1008" t="s">
        <v>221</v>
      </c>
      <c r="B62" s="368">
        <f>H62+J62+L62+N62+P62+R62+T62+V62+X62+Z62+AB62+AD62</f>
        <v>0</v>
      </c>
      <c r="C62" s="368">
        <f t="shared" si="38"/>
        <v>0</v>
      </c>
      <c r="D62" s="368">
        <f>E62</f>
        <v>0</v>
      </c>
      <c r="E62" s="368">
        <f>I62+K62+M62+O62+Q62+S62+U62+W62+Y62+AA62+AC62+AE62</f>
        <v>0</v>
      </c>
      <c r="F62" s="367">
        <f>IFERROR(E62/B62*100,0)</f>
        <v>0</v>
      </c>
      <c r="G62" s="367">
        <f>IFERROR(E62/C62*100,0)</f>
        <v>0</v>
      </c>
      <c r="H62" s="1002">
        <v>0</v>
      </c>
      <c r="I62" s="1002">
        <v>0</v>
      </c>
      <c r="J62" s="1002">
        <v>0</v>
      </c>
      <c r="K62" s="1002">
        <v>0</v>
      </c>
      <c r="L62" s="1002">
        <v>0</v>
      </c>
      <c r="M62" s="1002">
        <v>0</v>
      </c>
      <c r="N62" s="1002">
        <v>0</v>
      </c>
      <c r="O62" s="1002">
        <v>0</v>
      </c>
      <c r="P62" s="1002">
        <v>0</v>
      </c>
      <c r="Q62" s="1002">
        <v>0</v>
      </c>
      <c r="R62" s="1002">
        <v>0</v>
      </c>
      <c r="S62" s="1002">
        <v>0</v>
      </c>
      <c r="T62" s="1002">
        <v>0</v>
      </c>
      <c r="U62" s="1002">
        <v>0</v>
      </c>
      <c r="V62" s="1002">
        <v>0</v>
      </c>
      <c r="W62" s="1002">
        <v>0</v>
      </c>
      <c r="X62" s="1002">
        <v>0</v>
      </c>
      <c r="Y62" s="1002">
        <v>0</v>
      </c>
      <c r="Z62" s="1002">
        <v>0</v>
      </c>
      <c r="AA62" s="1002">
        <v>0</v>
      </c>
      <c r="AB62" s="1002">
        <v>0</v>
      </c>
      <c r="AC62" s="1002">
        <v>0</v>
      </c>
      <c r="AD62" s="1002">
        <v>0</v>
      </c>
      <c r="AE62" s="1002">
        <v>0</v>
      </c>
      <c r="AF62" s="627"/>
    </row>
    <row r="63" spans="1:32" s="489" customFormat="1" ht="15.75" x14ac:dyDescent="0.25">
      <c r="A63" s="1017" t="s">
        <v>439</v>
      </c>
      <c r="B63" s="1004"/>
      <c r="C63" s="1004"/>
      <c r="D63" s="1004"/>
      <c r="E63" s="1004"/>
      <c r="F63" s="1004"/>
      <c r="G63" s="1004"/>
      <c r="H63" s="1004"/>
      <c r="I63" s="1004"/>
      <c r="J63" s="1004"/>
      <c r="K63" s="1004"/>
      <c r="L63" s="1004"/>
      <c r="M63" s="1004"/>
      <c r="N63" s="1004"/>
      <c r="O63" s="1004"/>
      <c r="P63" s="1004"/>
      <c r="Q63" s="1004"/>
      <c r="R63" s="1004"/>
      <c r="S63" s="1004"/>
      <c r="T63" s="1004"/>
      <c r="U63" s="1004"/>
      <c r="V63" s="1004"/>
      <c r="W63" s="1004"/>
      <c r="X63" s="1004"/>
      <c r="Y63" s="1004"/>
      <c r="Z63" s="1004"/>
      <c r="AA63" s="1004"/>
      <c r="AB63" s="1004"/>
      <c r="AC63" s="1004"/>
      <c r="AD63" s="1004"/>
      <c r="AE63" s="1005"/>
      <c r="AF63" s="626"/>
    </row>
    <row r="64" spans="1:32" s="489" customFormat="1" ht="56.25" customHeight="1" x14ac:dyDescent="0.25">
      <c r="A64" s="999" t="s">
        <v>31</v>
      </c>
      <c r="B64" s="367">
        <f>B65+B66+B67+B69</f>
        <v>6801.6995699999998</v>
      </c>
      <c r="C64" s="367">
        <f>C65+C66+C67+C69</f>
        <v>6801.6995699999998</v>
      </c>
      <c r="D64" s="367">
        <f>D65+D66+D67+D69</f>
        <v>6648.3963599999997</v>
      </c>
      <c r="E64" s="581">
        <f>E65+E66+E67+E69</f>
        <v>6648.3963599999997</v>
      </c>
      <c r="F64" s="367">
        <f t="shared" ref="F64" si="39">IFERROR(E64/B64*100,0)</f>
        <v>97.746104360795812</v>
      </c>
      <c r="G64" s="367">
        <f t="shared" ref="G64" si="40">IFERROR(E64/C64*100,0)</f>
        <v>97.746104360795812</v>
      </c>
      <c r="H64" s="272">
        <f t="shared" ref="H64:AE64" si="41">H65+H66+H67+H69</f>
        <v>372.65915999999999</v>
      </c>
      <c r="I64" s="272">
        <f t="shared" si="41"/>
        <v>257.2</v>
      </c>
      <c r="J64" s="272">
        <f t="shared" si="41"/>
        <v>649.65456999999992</v>
      </c>
      <c r="K64" s="272">
        <f t="shared" si="41"/>
        <v>673.76</v>
      </c>
      <c r="L64" s="272">
        <f t="shared" si="41"/>
        <v>452.40535999999997</v>
      </c>
      <c r="M64" s="272">
        <f t="shared" si="41"/>
        <v>470</v>
      </c>
      <c r="N64" s="272">
        <f t="shared" si="41"/>
        <v>500.71956</v>
      </c>
      <c r="O64" s="272">
        <f t="shared" si="41"/>
        <v>540.30999999999995</v>
      </c>
      <c r="P64" s="272">
        <f t="shared" si="41"/>
        <v>474.13855999999998</v>
      </c>
      <c r="Q64" s="272">
        <f t="shared" si="41"/>
        <v>414.16</v>
      </c>
      <c r="R64" s="272">
        <f t="shared" si="41"/>
        <v>426.40055999999998</v>
      </c>
      <c r="S64" s="272">
        <f t="shared" si="41"/>
        <v>453.33</v>
      </c>
      <c r="T64" s="272">
        <f t="shared" si="41"/>
        <v>476.18056000000001</v>
      </c>
      <c r="U64" s="272">
        <f t="shared" si="41"/>
        <v>507.9</v>
      </c>
      <c r="V64" s="272">
        <f t="shared" si="41"/>
        <v>518.01955999999996</v>
      </c>
      <c r="W64" s="272">
        <f t="shared" si="41"/>
        <v>445.30635999999998</v>
      </c>
      <c r="X64" s="272">
        <f t="shared" si="41"/>
        <v>1065.8565599999999</v>
      </c>
      <c r="Y64" s="272">
        <f t="shared" si="41"/>
        <v>476.76</v>
      </c>
      <c r="Z64" s="272">
        <f t="shared" si="41"/>
        <v>518.01955999999996</v>
      </c>
      <c r="AA64" s="272">
        <f t="shared" si="41"/>
        <v>1021.46</v>
      </c>
      <c r="AB64" s="272">
        <f t="shared" si="41"/>
        <v>846.51556000000005</v>
      </c>
      <c r="AC64" s="272">
        <f t="shared" si="41"/>
        <v>492.49</v>
      </c>
      <c r="AD64" s="272">
        <f t="shared" si="41"/>
        <v>501.13</v>
      </c>
      <c r="AE64" s="272">
        <f t="shared" si="41"/>
        <v>895.72</v>
      </c>
      <c r="AF64" s="908" t="s">
        <v>623</v>
      </c>
    </row>
    <row r="65" spans="1:32" s="489" customFormat="1" ht="15.75" x14ac:dyDescent="0.25">
      <c r="A65" s="1000" t="s">
        <v>169</v>
      </c>
      <c r="B65" s="581">
        <v>0</v>
      </c>
      <c r="C65" s="1001">
        <v>0</v>
      </c>
      <c r="D65" s="1001">
        <v>0</v>
      </c>
      <c r="E65" s="581">
        <v>0</v>
      </c>
      <c r="F65" s="367">
        <f>IFERROR(E65/B65*100,0)</f>
        <v>0</v>
      </c>
      <c r="G65" s="367">
        <f>IFERROR(E65/C65*100,0)</f>
        <v>0</v>
      </c>
      <c r="H65" s="1002">
        <v>0</v>
      </c>
      <c r="I65" s="1002">
        <v>0</v>
      </c>
      <c r="J65" s="1002">
        <v>0</v>
      </c>
      <c r="K65" s="1002">
        <v>0</v>
      </c>
      <c r="L65" s="1002">
        <v>0</v>
      </c>
      <c r="M65" s="1002">
        <v>0</v>
      </c>
      <c r="N65" s="1002">
        <v>0</v>
      </c>
      <c r="O65" s="1002">
        <v>0</v>
      </c>
      <c r="P65" s="1002">
        <v>0</v>
      </c>
      <c r="Q65" s="1002">
        <v>0</v>
      </c>
      <c r="R65" s="1002">
        <v>0</v>
      </c>
      <c r="S65" s="1002">
        <v>0</v>
      </c>
      <c r="T65" s="1002">
        <v>0</v>
      </c>
      <c r="U65" s="1002">
        <v>0</v>
      </c>
      <c r="V65" s="1002">
        <v>0</v>
      </c>
      <c r="W65" s="1002">
        <v>0</v>
      </c>
      <c r="X65" s="1002">
        <v>0</v>
      </c>
      <c r="Y65" s="1002">
        <v>0</v>
      </c>
      <c r="Z65" s="1002">
        <v>0</v>
      </c>
      <c r="AA65" s="1002">
        <v>0</v>
      </c>
      <c r="AB65" s="1002">
        <v>0</v>
      </c>
      <c r="AC65" s="1002">
        <v>0</v>
      </c>
      <c r="AD65" s="1002">
        <v>0</v>
      </c>
      <c r="AE65" s="1002">
        <v>0</v>
      </c>
      <c r="AF65" s="635"/>
    </row>
    <row r="66" spans="1:32" s="489" customFormat="1" ht="15.75" x14ac:dyDescent="0.25">
      <c r="A66" s="999" t="s">
        <v>32</v>
      </c>
      <c r="B66" s="581">
        <v>0</v>
      </c>
      <c r="C66" s="1001">
        <v>0</v>
      </c>
      <c r="D66" s="1001">
        <v>0</v>
      </c>
      <c r="E66" s="581">
        <v>0</v>
      </c>
      <c r="F66" s="367">
        <f>IFERROR(E66/B66*100,0)</f>
        <v>0</v>
      </c>
      <c r="G66" s="367">
        <f>IFERROR(E66/C66*100,0)</f>
        <v>0</v>
      </c>
      <c r="H66" s="1002">
        <v>0</v>
      </c>
      <c r="I66" s="1002">
        <v>0</v>
      </c>
      <c r="J66" s="1002">
        <v>0</v>
      </c>
      <c r="K66" s="1002">
        <v>0</v>
      </c>
      <c r="L66" s="1002">
        <v>0</v>
      </c>
      <c r="M66" s="1002">
        <v>0</v>
      </c>
      <c r="N66" s="1002">
        <v>0</v>
      </c>
      <c r="O66" s="1002">
        <v>0</v>
      </c>
      <c r="P66" s="1002">
        <v>0</v>
      </c>
      <c r="Q66" s="1002">
        <v>0</v>
      </c>
      <c r="R66" s="1002">
        <v>0</v>
      </c>
      <c r="S66" s="1002">
        <v>0</v>
      </c>
      <c r="T66" s="1002">
        <v>0</v>
      </c>
      <c r="U66" s="1002">
        <v>0</v>
      </c>
      <c r="V66" s="1002">
        <v>0</v>
      </c>
      <c r="W66" s="1002">
        <v>0</v>
      </c>
      <c r="X66" s="1002">
        <v>0</v>
      </c>
      <c r="Y66" s="1002">
        <v>0</v>
      </c>
      <c r="Z66" s="1002">
        <v>0</v>
      </c>
      <c r="AA66" s="1002">
        <v>0</v>
      </c>
      <c r="AB66" s="1002">
        <v>0</v>
      </c>
      <c r="AC66" s="1002">
        <v>0</v>
      </c>
      <c r="AD66" s="1002">
        <v>0</v>
      </c>
      <c r="AE66" s="1002">
        <v>0</v>
      </c>
      <c r="AF66" s="635"/>
    </row>
    <row r="67" spans="1:32" s="486" customFormat="1" ht="15.75" x14ac:dyDescent="0.25">
      <c r="A67" s="487" t="s">
        <v>33</v>
      </c>
      <c r="B67" s="578">
        <v>6801.6995699999998</v>
      </c>
      <c r="C67" s="1001">
        <v>6801.6995699999998</v>
      </c>
      <c r="D67" s="579">
        <v>6648.3963599999997</v>
      </c>
      <c r="E67" s="578">
        <v>6648.3963599999997</v>
      </c>
      <c r="F67" s="367">
        <f>IFERROR(E67/B67*100,0)</f>
        <v>97.746104360795812</v>
      </c>
      <c r="G67" s="367">
        <f>IFERROR(E67/C67*100,0)</f>
        <v>97.746104360795812</v>
      </c>
      <c r="H67" s="579">
        <v>372.65915999999999</v>
      </c>
      <c r="I67" s="579">
        <v>257.2</v>
      </c>
      <c r="J67" s="579">
        <v>649.65456999999992</v>
      </c>
      <c r="K67" s="579">
        <v>673.76</v>
      </c>
      <c r="L67" s="579">
        <v>452.40535999999997</v>
      </c>
      <c r="M67" s="579">
        <v>470</v>
      </c>
      <c r="N67" s="579">
        <v>500.71956</v>
      </c>
      <c r="O67" s="579">
        <v>540.30999999999995</v>
      </c>
      <c r="P67" s="579">
        <v>474.13855999999998</v>
      </c>
      <c r="Q67" s="579">
        <v>414.16</v>
      </c>
      <c r="R67" s="579">
        <v>426.40055999999998</v>
      </c>
      <c r="S67" s="579">
        <v>453.33</v>
      </c>
      <c r="T67" s="579">
        <v>476.18056000000001</v>
      </c>
      <c r="U67" s="579">
        <v>507.9</v>
      </c>
      <c r="V67" s="579">
        <v>518.01955999999996</v>
      </c>
      <c r="W67" s="579">
        <v>445.30635999999998</v>
      </c>
      <c r="X67" s="579">
        <v>1065.8565599999999</v>
      </c>
      <c r="Y67" s="579">
        <v>476.76</v>
      </c>
      <c r="Z67" s="579">
        <v>518.01955999999996</v>
      </c>
      <c r="AA67" s="579">
        <v>1021.46</v>
      </c>
      <c r="AB67" s="579">
        <v>846.51556000000005</v>
      </c>
      <c r="AC67" s="579">
        <v>492.49</v>
      </c>
      <c r="AD67" s="579">
        <v>501.13</v>
      </c>
      <c r="AE67" s="579">
        <v>895.72</v>
      </c>
      <c r="AF67" s="635"/>
    </row>
    <row r="68" spans="1:32" s="489" customFormat="1" ht="31.5" x14ac:dyDescent="0.25">
      <c r="A68" s="1003" t="s">
        <v>174</v>
      </c>
      <c r="B68" s="581">
        <v>0</v>
      </c>
      <c r="C68" s="1001">
        <v>0</v>
      </c>
      <c r="D68" s="1001">
        <v>0</v>
      </c>
      <c r="E68" s="581">
        <v>0</v>
      </c>
      <c r="F68" s="367">
        <f>IFERROR(E68/B68*100,0)</f>
        <v>0</v>
      </c>
      <c r="G68" s="367">
        <f>IFERROR(E68/C68*100,0)</f>
        <v>0</v>
      </c>
      <c r="H68" s="1002">
        <v>0</v>
      </c>
      <c r="I68" s="1002">
        <v>0</v>
      </c>
      <c r="J68" s="1002">
        <v>0</v>
      </c>
      <c r="K68" s="1002">
        <v>0</v>
      </c>
      <c r="L68" s="1002">
        <v>0</v>
      </c>
      <c r="M68" s="1002">
        <v>0</v>
      </c>
      <c r="N68" s="1002">
        <v>0</v>
      </c>
      <c r="O68" s="1002">
        <v>0</v>
      </c>
      <c r="P68" s="1002">
        <v>0</v>
      </c>
      <c r="Q68" s="1002">
        <v>0</v>
      </c>
      <c r="R68" s="1002">
        <v>0</v>
      </c>
      <c r="S68" s="1002">
        <v>0</v>
      </c>
      <c r="T68" s="1002">
        <v>0</v>
      </c>
      <c r="U68" s="1002">
        <v>0</v>
      </c>
      <c r="V68" s="1002">
        <v>0</v>
      </c>
      <c r="W68" s="1002">
        <v>0</v>
      </c>
      <c r="X68" s="1002">
        <v>0</v>
      </c>
      <c r="Y68" s="1002">
        <v>0</v>
      </c>
      <c r="Z68" s="1002">
        <v>0</v>
      </c>
      <c r="AA68" s="1002">
        <v>0</v>
      </c>
      <c r="AB68" s="1002">
        <v>0</v>
      </c>
      <c r="AC68" s="1002">
        <v>0</v>
      </c>
      <c r="AD68" s="1002">
        <v>0</v>
      </c>
      <c r="AE68" s="1002">
        <v>0</v>
      </c>
      <c r="AF68" s="635"/>
    </row>
    <row r="69" spans="1:32" s="489" customFormat="1" ht="15.75" x14ac:dyDescent="0.25">
      <c r="A69" s="999" t="s">
        <v>221</v>
      </c>
      <c r="B69" s="581">
        <v>0</v>
      </c>
      <c r="C69" s="1001">
        <v>0</v>
      </c>
      <c r="D69" s="1001">
        <v>0</v>
      </c>
      <c r="E69" s="581">
        <v>0</v>
      </c>
      <c r="F69" s="367">
        <f>IFERROR(E69/B69*100,0)</f>
        <v>0</v>
      </c>
      <c r="G69" s="367">
        <f>IFERROR(E69/C69*100,0)</f>
        <v>0</v>
      </c>
      <c r="H69" s="1002">
        <v>0</v>
      </c>
      <c r="I69" s="1002">
        <v>0</v>
      </c>
      <c r="J69" s="1002">
        <v>0</v>
      </c>
      <c r="K69" s="1002">
        <v>0</v>
      </c>
      <c r="L69" s="1002">
        <v>0</v>
      </c>
      <c r="M69" s="1002">
        <v>0</v>
      </c>
      <c r="N69" s="1002">
        <v>0</v>
      </c>
      <c r="O69" s="1002">
        <v>0</v>
      </c>
      <c r="P69" s="1002">
        <v>0</v>
      </c>
      <c r="Q69" s="1002">
        <v>0</v>
      </c>
      <c r="R69" s="1002">
        <v>0</v>
      </c>
      <c r="S69" s="1002">
        <v>0</v>
      </c>
      <c r="T69" s="1002">
        <v>0</v>
      </c>
      <c r="U69" s="1002">
        <v>0</v>
      </c>
      <c r="V69" s="1002">
        <v>0</v>
      </c>
      <c r="W69" s="1002">
        <v>0</v>
      </c>
      <c r="X69" s="1002">
        <v>0</v>
      </c>
      <c r="Y69" s="1002">
        <v>0</v>
      </c>
      <c r="Z69" s="1002">
        <v>0</v>
      </c>
      <c r="AA69" s="1002">
        <v>0</v>
      </c>
      <c r="AB69" s="1002">
        <v>0</v>
      </c>
      <c r="AC69" s="1002">
        <v>0</v>
      </c>
      <c r="AD69" s="1002">
        <v>0</v>
      </c>
      <c r="AE69" s="1002">
        <v>0</v>
      </c>
      <c r="AF69" s="753"/>
    </row>
    <row r="70" spans="1:32" s="489" customFormat="1" ht="15.75" x14ac:dyDescent="0.25">
      <c r="A70" s="1018" t="s">
        <v>440</v>
      </c>
      <c r="B70" s="1010"/>
      <c r="C70" s="1010"/>
      <c r="D70" s="1010"/>
      <c r="E70" s="1010"/>
      <c r="F70" s="1010"/>
      <c r="G70" s="1010"/>
      <c r="H70" s="1010"/>
      <c r="I70" s="1010"/>
      <c r="J70" s="1010"/>
      <c r="K70" s="1010"/>
      <c r="L70" s="1010"/>
      <c r="M70" s="1010"/>
      <c r="N70" s="1010"/>
      <c r="O70" s="1010"/>
      <c r="P70" s="1010"/>
      <c r="Q70" s="1010"/>
      <c r="R70" s="1010"/>
      <c r="S70" s="1010"/>
      <c r="T70" s="1010"/>
      <c r="U70" s="1010"/>
      <c r="V70" s="1010"/>
      <c r="W70" s="1010"/>
      <c r="X70" s="1010"/>
      <c r="Y70" s="1010"/>
      <c r="Z70" s="1010"/>
      <c r="AA70" s="1010"/>
      <c r="AB70" s="1010"/>
      <c r="AC70" s="1010"/>
      <c r="AD70" s="1010"/>
      <c r="AE70" s="1011"/>
      <c r="AF70" s="635"/>
    </row>
    <row r="71" spans="1:32" s="489" customFormat="1" ht="45.75" customHeight="1" x14ac:dyDescent="0.25">
      <c r="A71" s="999" t="s">
        <v>31</v>
      </c>
      <c r="B71" s="582">
        <v>992.2</v>
      </c>
      <c r="C71" s="582">
        <v>992.2</v>
      </c>
      <c r="D71" s="582">
        <v>992.17</v>
      </c>
      <c r="E71" s="582">
        <v>992.17</v>
      </c>
      <c r="F71" s="582">
        <v>99.996976416045143</v>
      </c>
      <c r="G71" s="582">
        <v>99.996976416045143</v>
      </c>
      <c r="H71" s="582">
        <v>0</v>
      </c>
      <c r="I71" s="582">
        <v>0</v>
      </c>
      <c r="J71" s="582">
        <v>0</v>
      </c>
      <c r="K71" s="582">
        <v>0</v>
      </c>
      <c r="L71" s="582">
        <v>0</v>
      </c>
      <c r="M71" s="582">
        <v>0</v>
      </c>
      <c r="N71" s="582">
        <v>0</v>
      </c>
      <c r="O71" s="582">
        <v>0</v>
      </c>
      <c r="P71" s="582">
        <v>0</v>
      </c>
      <c r="Q71" s="582">
        <v>0</v>
      </c>
      <c r="R71" s="582">
        <v>0</v>
      </c>
      <c r="S71" s="582">
        <v>0</v>
      </c>
      <c r="T71" s="582">
        <v>0</v>
      </c>
      <c r="U71" s="582">
        <v>0</v>
      </c>
      <c r="V71" s="582">
        <v>0</v>
      </c>
      <c r="W71" s="582">
        <v>0</v>
      </c>
      <c r="X71" s="582">
        <v>0</v>
      </c>
      <c r="Y71" s="582">
        <v>0</v>
      </c>
      <c r="Z71" s="582">
        <v>992.2</v>
      </c>
      <c r="AA71" s="582">
        <v>992.17</v>
      </c>
      <c r="AB71" s="582">
        <v>0</v>
      </c>
      <c r="AC71" s="582">
        <v>0</v>
      </c>
      <c r="AD71" s="582">
        <v>0</v>
      </c>
      <c r="AE71" s="582">
        <v>0</v>
      </c>
      <c r="AF71" s="624" t="s">
        <v>629</v>
      </c>
    </row>
    <row r="72" spans="1:32" s="489" customFormat="1" ht="15.75" x14ac:dyDescent="0.25">
      <c r="A72" s="1000" t="s">
        <v>169</v>
      </c>
      <c r="B72" s="581">
        <v>0</v>
      </c>
      <c r="C72" s="1001">
        <v>0</v>
      </c>
      <c r="D72" s="581">
        <v>0</v>
      </c>
      <c r="E72" s="581">
        <v>0</v>
      </c>
      <c r="F72" s="367">
        <f>IFERROR(E72/B72*100,0)</f>
        <v>0</v>
      </c>
      <c r="G72" s="367">
        <f>IFERROR(E72/C72*100,0)</f>
        <v>0</v>
      </c>
      <c r="H72" s="1002">
        <v>0</v>
      </c>
      <c r="I72" s="1002">
        <v>0</v>
      </c>
      <c r="J72" s="1002">
        <v>0</v>
      </c>
      <c r="K72" s="1002">
        <v>0</v>
      </c>
      <c r="L72" s="1002">
        <v>0</v>
      </c>
      <c r="M72" s="1002">
        <v>0</v>
      </c>
      <c r="N72" s="1002">
        <v>0</v>
      </c>
      <c r="O72" s="1002">
        <v>0</v>
      </c>
      <c r="P72" s="1002">
        <v>0</v>
      </c>
      <c r="Q72" s="1002">
        <v>0</v>
      </c>
      <c r="R72" s="1002">
        <v>0</v>
      </c>
      <c r="S72" s="1002">
        <v>0</v>
      </c>
      <c r="T72" s="1002">
        <v>0</v>
      </c>
      <c r="U72" s="1002">
        <v>0</v>
      </c>
      <c r="V72" s="1002">
        <v>0</v>
      </c>
      <c r="W72" s="1002">
        <v>0</v>
      </c>
      <c r="X72" s="1002">
        <v>0</v>
      </c>
      <c r="Y72" s="1002">
        <v>0</v>
      </c>
      <c r="Z72" s="1002">
        <v>0</v>
      </c>
      <c r="AA72" s="1002">
        <v>0</v>
      </c>
      <c r="AB72" s="1002">
        <v>0</v>
      </c>
      <c r="AC72" s="1002">
        <v>0</v>
      </c>
      <c r="AD72" s="1002">
        <v>0</v>
      </c>
      <c r="AE72" s="1002">
        <v>0</v>
      </c>
      <c r="AF72" s="629"/>
    </row>
    <row r="73" spans="1:32" s="486" customFormat="1" ht="15.75" x14ac:dyDescent="0.25">
      <c r="A73" s="487" t="s">
        <v>32</v>
      </c>
      <c r="B73" s="578">
        <v>992.2</v>
      </c>
      <c r="C73" s="1001">
        <v>992.2</v>
      </c>
      <c r="D73" s="581">
        <v>992.17</v>
      </c>
      <c r="E73" s="581">
        <v>992.17</v>
      </c>
      <c r="F73" s="367">
        <f>IFERROR(E73/B73*100,0)</f>
        <v>99.996976416045143</v>
      </c>
      <c r="G73" s="367">
        <f>IFERROR(E73/C73*100,0)</f>
        <v>99.996976416045143</v>
      </c>
      <c r="H73" s="1002">
        <v>0</v>
      </c>
      <c r="I73" s="1002">
        <v>0</v>
      </c>
      <c r="J73" s="1002">
        <v>0</v>
      </c>
      <c r="K73" s="1002">
        <v>0</v>
      </c>
      <c r="L73" s="1002">
        <v>0</v>
      </c>
      <c r="M73" s="1002">
        <v>0</v>
      </c>
      <c r="N73" s="1002">
        <v>0</v>
      </c>
      <c r="O73" s="1002">
        <v>0</v>
      </c>
      <c r="P73" s="1002">
        <v>0</v>
      </c>
      <c r="Q73" s="1002">
        <v>0</v>
      </c>
      <c r="R73" s="1002">
        <v>0</v>
      </c>
      <c r="S73" s="1002">
        <v>0</v>
      </c>
      <c r="T73" s="1002">
        <v>0</v>
      </c>
      <c r="U73" s="1002">
        <v>0</v>
      </c>
      <c r="V73" s="1002">
        <v>0</v>
      </c>
      <c r="W73" s="1002">
        <v>0</v>
      </c>
      <c r="X73" s="1002">
        <v>0</v>
      </c>
      <c r="Y73" s="1002">
        <v>0</v>
      </c>
      <c r="Z73" s="579">
        <v>992.2</v>
      </c>
      <c r="AA73" s="488">
        <v>992.17</v>
      </c>
      <c r="AB73" s="488">
        <v>0</v>
      </c>
      <c r="AC73" s="488">
        <v>0</v>
      </c>
      <c r="AD73" s="488">
        <v>0</v>
      </c>
      <c r="AE73" s="488">
        <v>0</v>
      </c>
      <c r="AF73" s="629"/>
    </row>
    <row r="74" spans="1:32" s="489" customFormat="1" ht="15.75" x14ac:dyDescent="0.25">
      <c r="A74" s="999" t="s">
        <v>33</v>
      </c>
      <c r="B74" s="581">
        <v>0</v>
      </c>
      <c r="C74" s="1001">
        <v>0</v>
      </c>
      <c r="D74" s="581">
        <v>0</v>
      </c>
      <c r="E74" s="581">
        <v>0</v>
      </c>
      <c r="F74" s="367">
        <f>IFERROR(E74/B74*100,0)</f>
        <v>0</v>
      </c>
      <c r="G74" s="367">
        <f>IFERROR(E74/C74*100,0)</f>
        <v>0</v>
      </c>
      <c r="H74" s="1002">
        <v>0</v>
      </c>
      <c r="I74" s="1002">
        <v>0</v>
      </c>
      <c r="J74" s="1002">
        <v>0</v>
      </c>
      <c r="K74" s="1002">
        <v>0</v>
      </c>
      <c r="L74" s="1002">
        <v>0</v>
      </c>
      <c r="M74" s="1002">
        <v>0</v>
      </c>
      <c r="N74" s="1002">
        <v>0</v>
      </c>
      <c r="O74" s="1002">
        <v>0</v>
      </c>
      <c r="P74" s="1002">
        <v>0</v>
      </c>
      <c r="Q74" s="1002">
        <v>0</v>
      </c>
      <c r="R74" s="1002">
        <v>0</v>
      </c>
      <c r="S74" s="1002">
        <v>0</v>
      </c>
      <c r="T74" s="1002">
        <v>0</v>
      </c>
      <c r="U74" s="1002">
        <v>0</v>
      </c>
      <c r="V74" s="1002">
        <v>0</v>
      </c>
      <c r="W74" s="1002">
        <v>0</v>
      </c>
      <c r="X74" s="1002">
        <v>0</v>
      </c>
      <c r="Y74" s="1002">
        <v>0</v>
      </c>
      <c r="Z74" s="1002">
        <v>0</v>
      </c>
      <c r="AA74" s="1002">
        <v>0</v>
      </c>
      <c r="AB74" s="1002">
        <v>0</v>
      </c>
      <c r="AC74" s="1002">
        <v>0</v>
      </c>
      <c r="AD74" s="1002">
        <v>0</v>
      </c>
      <c r="AE74" s="1002">
        <v>0</v>
      </c>
      <c r="AF74" s="629"/>
    </row>
    <row r="75" spans="1:32" s="489" customFormat="1" ht="31.5" x14ac:dyDescent="0.25">
      <c r="A75" s="1003" t="s">
        <v>174</v>
      </c>
      <c r="B75" s="581">
        <v>0</v>
      </c>
      <c r="C75" s="1001">
        <v>0</v>
      </c>
      <c r="D75" s="581">
        <v>0</v>
      </c>
      <c r="E75" s="581">
        <v>0</v>
      </c>
      <c r="F75" s="367">
        <f>IFERROR(E75/B75*100,0)</f>
        <v>0</v>
      </c>
      <c r="G75" s="367">
        <f>IFERROR(E75/C75*100,0)</f>
        <v>0</v>
      </c>
      <c r="H75" s="1002">
        <v>0</v>
      </c>
      <c r="I75" s="1002">
        <v>0</v>
      </c>
      <c r="J75" s="1002">
        <v>0</v>
      </c>
      <c r="K75" s="1002">
        <v>0</v>
      </c>
      <c r="L75" s="1002">
        <v>0</v>
      </c>
      <c r="M75" s="1002">
        <v>0</v>
      </c>
      <c r="N75" s="1002">
        <v>0</v>
      </c>
      <c r="O75" s="1002">
        <v>0</v>
      </c>
      <c r="P75" s="1002">
        <v>0</v>
      </c>
      <c r="Q75" s="1002">
        <v>0</v>
      </c>
      <c r="R75" s="1002">
        <v>0</v>
      </c>
      <c r="S75" s="1002">
        <v>0</v>
      </c>
      <c r="T75" s="1002">
        <v>0</v>
      </c>
      <c r="U75" s="1002">
        <v>0</v>
      </c>
      <c r="V75" s="1002">
        <v>0</v>
      </c>
      <c r="W75" s="1002">
        <v>0</v>
      </c>
      <c r="X75" s="1002">
        <v>0</v>
      </c>
      <c r="Y75" s="1002">
        <v>0</v>
      </c>
      <c r="Z75" s="1002">
        <v>0</v>
      </c>
      <c r="AA75" s="1002">
        <v>0</v>
      </c>
      <c r="AB75" s="1002">
        <v>0</v>
      </c>
      <c r="AC75" s="1002">
        <v>0</v>
      </c>
      <c r="AD75" s="1002">
        <v>0</v>
      </c>
      <c r="AE75" s="1002">
        <v>0</v>
      </c>
      <c r="AF75" s="629"/>
    </row>
    <row r="76" spans="1:32" s="489" customFormat="1" ht="15.75" x14ac:dyDescent="0.25">
      <c r="A76" s="999" t="s">
        <v>221</v>
      </c>
      <c r="B76" s="581">
        <v>0</v>
      </c>
      <c r="C76" s="1001">
        <v>0</v>
      </c>
      <c r="D76" s="581">
        <v>0</v>
      </c>
      <c r="E76" s="581">
        <v>0</v>
      </c>
      <c r="F76" s="367">
        <f>IFERROR(E76/B76*100,0)</f>
        <v>0</v>
      </c>
      <c r="G76" s="367">
        <f>IFERROR(E76/C76*100,0)</f>
        <v>0</v>
      </c>
      <c r="H76" s="1002">
        <v>0</v>
      </c>
      <c r="I76" s="1002">
        <v>0</v>
      </c>
      <c r="J76" s="1002">
        <v>0</v>
      </c>
      <c r="K76" s="1002">
        <v>0</v>
      </c>
      <c r="L76" s="1002">
        <v>0</v>
      </c>
      <c r="M76" s="1002">
        <v>0</v>
      </c>
      <c r="N76" s="1002">
        <v>0</v>
      </c>
      <c r="O76" s="1002">
        <v>0</v>
      </c>
      <c r="P76" s="1002">
        <v>0</v>
      </c>
      <c r="Q76" s="1002">
        <v>0</v>
      </c>
      <c r="R76" s="1002">
        <v>0</v>
      </c>
      <c r="S76" s="1002">
        <v>0</v>
      </c>
      <c r="T76" s="1002">
        <v>0</v>
      </c>
      <c r="U76" s="1002">
        <v>0</v>
      </c>
      <c r="V76" s="1002">
        <v>0</v>
      </c>
      <c r="W76" s="1002">
        <v>0</v>
      </c>
      <c r="X76" s="1002">
        <v>0</v>
      </c>
      <c r="Y76" s="1002">
        <v>0</v>
      </c>
      <c r="Z76" s="1002">
        <v>0</v>
      </c>
      <c r="AA76" s="1002">
        <v>0</v>
      </c>
      <c r="AB76" s="1002">
        <v>0</v>
      </c>
      <c r="AC76" s="1002">
        <v>0</v>
      </c>
      <c r="AD76" s="1002">
        <v>0</v>
      </c>
      <c r="AE76" s="1002">
        <v>0</v>
      </c>
      <c r="AF76" s="630"/>
    </row>
    <row r="77" spans="1:32" s="489" customFormat="1" ht="15.75" x14ac:dyDescent="0.25">
      <c r="A77" s="1018" t="s">
        <v>589</v>
      </c>
      <c r="B77" s="1010"/>
      <c r="C77" s="1010"/>
      <c r="D77" s="1010"/>
      <c r="E77" s="1010"/>
      <c r="F77" s="1010"/>
      <c r="G77" s="1010"/>
      <c r="H77" s="1010"/>
      <c r="I77" s="1010"/>
      <c r="J77" s="1010"/>
      <c r="K77" s="1010"/>
      <c r="L77" s="1010"/>
      <c r="M77" s="1010"/>
      <c r="N77" s="1010"/>
      <c r="O77" s="1010"/>
      <c r="P77" s="1010"/>
      <c r="Q77" s="1010"/>
      <c r="R77" s="1010"/>
      <c r="S77" s="1010"/>
      <c r="T77" s="1010"/>
      <c r="U77" s="1010"/>
      <c r="V77" s="1010"/>
      <c r="W77" s="1010"/>
      <c r="X77" s="1010"/>
      <c r="Y77" s="1010"/>
      <c r="Z77" s="1010"/>
      <c r="AA77" s="1010"/>
      <c r="AB77" s="1010"/>
      <c r="AC77" s="1010"/>
      <c r="AD77" s="1010"/>
      <c r="AE77" s="1011"/>
      <c r="AF77" s="629"/>
    </row>
    <row r="78" spans="1:32" s="489" customFormat="1" ht="54.75" customHeight="1" x14ac:dyDescent="0.25">
      <c r="A78" s="999" t="s">
        <v>31</v>
      </c>
      <c r="B78" s="367">
        <f>B79+B80+B81+B83</f>
        <v>9852.5999999999985</v>
      </c>
      <c r="C78" s="367">
        <f>C79+C80+C81+C83</f>
        <v>9852.6</v>
      </c>
      <c r="D78" s="367">
        <f>D79+D80+D81+D83</f>
        <v>9149.739999999998</v>
      </c>
      <c r="E78" s="581">
        <f>E79+E80+E81+E83</f>
        <v>9149.739999999998</v>
      </c>
      <c r="F78" s="367">
        <f t="shared" ref="F78" si="42">IFERROR(E78/B78*100,0)</f>
        <v>92.866248502933217</v>
      </c>
      <c r="G78" s="367">
        <f t="shared" ref="G78" si="43">IFERROR(E78/C78*100,0)</f>
        <v>92.866248502933217</v>
      </c>
      <c r="H78" s="272">
        <f t="shared" ref="H78:AE78" si="44">H79+H80+H81+H83</f>
        <v>526.79999999999995</v>
      </c>
      <c r="I78" s="272">
        <f t="shared" si="44"/>
        <v>248.69</v>
      </c>
      <c r="J78" s="272">
        <f t="shared" si="44"/>
        <v>457.8</v>
      </c>
      <c r="K78" s="272">
        <f t="shared" si="44"/>
        <v>457.34000000000003</v>
      </c>
      <c r="L78" s="272">
        <f t="shared" si="44"/>
        <v>735.25</v>
      </c>
      <c r="M78" s="272">
        <f t="shared" si="44"/>
        <v>544.57999999999993</v>
      </c>
      <c r="N78" s="272">
        <f t="shared" si="44"/>
        <v>275.42</v>
      </c>
      <c r="O78" s="272">
        <f t="shared" si="44"/>
        <v>699.64</v>
      </c>
      <c r="P78" s="272">
        <f t="shared" si="44"/>
        <v>11.53</v>
      </c>
      <c r="Q78" s="272">
        <f t="shared" si="44"/>
        <v>56.55</v>
      </c>
      <c r="R78" s="272">
        <f t="shared" si="44"/>
        <v>104.65</v>
      </c>
      <c r="S78" s="272">
        <f t="shared" si="44"/>
        <v>104.65</v>
      </c>
      <c r="T78" s="272">
        <f t="shared" si="44"/>
        <v>1099.72</v>
      </c>
      <c r="U78" s="272">
        <f t="shared" si="44"/>
        <v>1099.72</v>
      </c>
      <c r="V78" s="272">
        <f t="shared" si="44"/>
        <v>711.71</v>
      </c>
      <c r="W78" s="272">
        <f t="shared" si="44"/>
        <v>689.3</v>
      </c>
      <c r="X78" s="272">
        <f t="shared" si="44"/>
        <v>1770.91</v>
      </c>
      <c r="Y78" s="272">
        <f t="shared" si="44"/>
        <v>1793.32</v>
      </c>
      <c r="Z78" s="272">
        <f t="shared" si="44"/>
        <v>1011</v>
      </c>
      <c r="AA78" s="272">
        <f t="shared" si="44"/>
        <v>639.15</v>
      </c>
      <c r="AB78" s="272">
        <f t="shared" si="44"/>
        <v>1584.64</v>
      </c>
      <c r="AC78" s="272">
        <f t="shared" si="44"/>
        <v>713.95</v>
      </c>
      <c r="AD78" s="272">
        <f t="shared" si="44"/>
        <v>1563.17</v>
      </c>
      <c r="AE78" s="272">
        <f t="shared" si="44"/>
        <v>2102.85</v>
      </c>
      <c r="AF78" s="624" t="s">
        <v>630</v>
      </c>
    </row>
    <row r="79" spans="1:32" s="489" customFormat="1" ht="15.75" x14ac:dyDescent="0.25">
      <c r="A79" s="1000" t="s">
        <v>169</v>
      </c>
      <c r="B79" s="581">
        <v>0</v>
      </c>
      <c r="C79" s="1001">
        <v>0</v>
      </c>
      <c r="D79" s="1001">
        <v>0</v>
      </c>
      <c r="E79" s="1001">
        <v>0</v>
      </c>
      <c r="F79" s="367">
        <f>IFERROR(E79/B79*100,0)</f>
        <v>0</v>
      </c>
      <c r="G79" s="367">
        <f>IFERROR(E79/C79*100,0)</f>
        <v>0</v>
      </c>
      <c r="H79" s="1002">
        <v>0</v>
      </c>
      <c r="I79" s="1002">
        <v>0</v>
      </c>
      <c r="J79" s="1002">
        <v>0</v>
      </c>
      <c r="K79" s="1002">
        <v>0</v>
      </c>
      <c r="L79" s="1002">
        <v>0</v>
      </c>
      <c r="M79" s="1002">
        <v>0</v>
      </c>
      <c r="N79" s="1002">
        <v>0</v>
      </c>
      <c r="O79" s="1002">
        <v>0</v>
      </c>
      <c r="P79" s="1002">
        <v>0</v>
      </c>
      <c r="Q79" s="1002">
        <v>0</v>
      </c>
      <c r="R79" s="1002">
        <v>0</v>
      </c>
      <c r="S79" s="1002">
        <v>0</v>
      </c>
      <c r="T79" s="1002">
        <v>0</v>
      </c>
      <c r="U79" s="1002">
        <v>0</v>
      </c>
      <c r="V79" s="1002">
        <v>0</v>
      </c>
      <c r="W79" s="1002">
        <v>0</v>
      </c>
      <c r="X79" s="1002">
        <v>0</v>
      </c>
      <c r="Y79" s="1002">
        <v>0</v>
      </c>
      <c r="Z79" s="1002">
        <v>0</v>
      </c>
      <c r="AA79" s="1002">
        <v>0</v>
      </c>
      <c r="AB79" s="1002">
        <v>0</v>
      </c>
      <c r="AC79" s="1002">
        <v>0</v>
      </c>
      <c r="AD79" s="1002">
        <v>0</v>
      </c>
      <c r="AE79" s="1002">
        <v>0</v>
      </c>
      <c r="AF79" s="625"/>
    </row>
    <row r="80" spans="1:32" s="486" customFormat="1" ht="15.75" x14ac:dyDescent="0.25">
      <c r="A80" s="487" t="s">
        <v>32</v>
      </c>
      <c r="B80" s="578">
        <v>595.29999999999995</v>
      </c>
      <c r="C80" s="1001">
        <v>595.29999999999995</v>
      </c>
      <c r="D80" s="579">
        <v>595.29999999999995</v>
      </c>
      <c r="E80" s="578">
        <v>595.29999999999995</v>
      </c>
      <c r="F80" s="367">
        <f>IFERROR(E80/B80*100,0)</f>
        <v>100</v>
      </c>
      <c r="G80" s="367">
        <f>IFERROR(E80/C80*100,0)</f>
        <v>100</v>
      </c>
      <c r="H80" s="579">
        <v>526.79999999999995</v>
      </c>
      <c r="I80" s="579">
        <v>248.69</v>
      </c>
      <c r="J80" s="579">
        <v>68.5</v>
      </c>
      <c r="K80" s="579">
        <v>129.43</v>
      </c>
      <c r="L80" s="579">
        <v>0</v>
      </c>
      <c r="M80" s="579">
        <v>217.18</v>
      </c>
      <c r="N80" s="579">
        <v>0</v>
      </c>
      <c r="O80" s="579">
        <v>0</v>
      </c>
      <c r="P80" s="579">
        <v>0</v>
      </c>
      <c r="Q80" s="579">
        <v>0</v>
      </c>
      <c r="R80" s="579">
        <v>0</v>
      </c>
      <c r="S80" s="579">
        <v>0</v>
      </c>
      <c r="T80" s="579">
        <v>0</v>
      </c>
      <c r="U80" s="579">
        <v>0</v>
      </c>
      <c r="V80" s="579">
        <v>0</v>
      </c>
      <c r="W80" s="579">
        <v>0</v>
      </c>
      <c r="X80" s="579">
        <v>0</v>
      </c>
      <c r="Y80" s="579">
        <v>0</v>
      </c>
      <c r="Z80" s="579">
        <v>0</v>
      </c>
      <c r="AA80" s="579">
        <v>0</v>
      </c>
      <c r="AB80" s="579">
        <v>0</v>
      </c>
      <c r="AC80" s="579">
        <v>0</v>
      </c>
      <c r="AD80" s="579">
        <v>0</v>
      </c>
      <c r="AE80" s="579">
        <v>0</v>
      </c>
      <c r="AF80" s="625"/>
    </row>
    <row r="81" spans="1:32" s="486" customFormat="1" ht="15.75" x14ac:dyDescent="0.25">
      <c r="A81" s="487" t="s">
        <v>33</v>
      </c>
      <c r="B81" s="578">
        <v>9257.2999999999993</v>
      </c>
      <c r="C81" s="1001">
        <v>9257.3000000000011</v>
      </c>
      <c r="D81" s="579">
        <v>8554.4399999999987</v>
      </c>
      <c r="E81" s="578">
        <v>8554.4399999999987</v>
      </c>
      <c r="F81" s="367">
        <f>IFERROR(E81/B81*100,0)</f>
        <v>92.407505428148582</v>
      </c>
      <c r="G81" s="367">
        <f>IFERROR(E81/C81*100,0)</f>
        <v>92.407505428148568</v>
      </c>
      <c r="H81" s="579">
        <v>0</v>
      </c>
      <c r="I81" s="579">
        <v>0</v>
      </c>
      <c r="J81" s="579">
        <v>389.3</v>
      </c>
      <c r="K81" s="579">
        <v>327.91</v>
      </c>
      <c r="L81" s="579">
        <v>735.25</v>
      </c>
      <c r="M81" s="579">
        <v>327.39999999999998</v>
      </c>
      <c r="N81" s="579">
        <v>275.42</v>
      </c>
      <c r="O81" s="579">
        <v>699.64</v>
      </c>
      <c r="P81" s="579">
        <v>11.53</v>
      </c>
      <c r="Q81" s="579">
        <v>56.55</v>
      </c>
      <c r="R81" s="579">
        <v>104.65</v>
      </c>
      <c r="S81" s="579">
        <v>104.65</v>
      </c>
      <c r="T81" s="579">
        <v>1099.72</v>
      </c>
      <c r="U81" s="579">
        <v>1099.72</v>
      </c>
      <c r="V81" s="579">
        <v>711.71</v>
      </c>
      <c r="W81" s="579">
        <v>689.3</v>
      </c>
      <c r="X81" s="579">
        <v>1770.91</v>
      </c>
      <c r="Y81" s="579">
        <v>1793.32</v>
      </c>
      <c r="Z81" s="579">
        <v>1011</v>
      </c>
      <c r="AA81" s="579">
        <v>639.15</v>
      </c>
      <c r="AB81" s="579">
        <v>1584.64</v>
      </c>
      <c r="AC81" s="579">
        <v>713.95</v>
      </c>
      <c r="AD81" s="579">
        <v>1563.17</v>
      </c>
      <c r="AE81" s="579">
        <v>2102.85</v>
      </c>
      <c r="AF81" s="625"/>
    </row>
    <row r="82" spans="1:32" s="489" customFormat="1" ht="31.5" x14ac:dyDescent="0.25">
      <c r="A82" s="1003" t="s">
        <v>174</v>
      </c>
      <c r="B82" s="581">
        <v>0</v>
      </c>
      <c r="C82" s="1001">
        <v>0</v>
      </c>
      <c r="D82" s="1001">
        <v>0</v>
      </c>
      <c r="E82" s="1001">
        <v>0</v>
      </c>
      <c r="F82" s="367">
        <f>IFERROR(E82/B82*100,0)</f>
        <v>0</v>
      </c>
      <c r="G82" s="367">
        <f>IFERROR(E82/C82*100,0)</f>
        <v>0</v>
      </c>
      <c r="H82" s="1002">
        <v>0</v>
      </c>
      <c r="I82" s="1002">
        <v>0</v>
      </c>
      <c r="J82" s="1002">
        <v>0</v>
      </c>
      <c r="K82" s="1002">
        <v>0</v>
      </c>
      <c r="L82" s="1002">
        <v>0</v>
      </c>
      <c r="M82" s="1002">
        <v>0</v>
      </c>
      <c r="N82" s="1002">
        <v>0</v>
      </c>
      <c r="O82" s="1002">
        <v>0</v>
      </c>
      <c r="P82" s="1002">
        <v>0</v>
      </c>
      <c r="Q82" s="1002">
        <v>0</v>
      </c>
      <c r="R82" s="1002">
        <v>0</v>
      </c>
      <c r="S82" s="1002">
        <v>0</v>
      </c>
      <c r="T82" s="1002">
        <v>0</v>
      </c>
      <c r="U82" s="1002">
        <v>0</v>
      </c>
      <c r="V82" s="1002">
        <v>0</v>
      </c>
      <c r="W82" s="1002">
        <v>0</v>
      </c>
      <c r="X82" s="1002">
        <v>0</v>
      </c>
      <c r="Y82" s="1002">
        <v>0</v>
      </c>
      <c r="Z82" s="1002">
        <v>0</v>
      </c>
      <c r="AA82" s="1002">
        <v>0</v>
      </c>
      <c r="AB82" s="1002">
        <v>0</v>
      </c>
      <c r="AC82" s="1002">
        <v>0</v>
      </c>
      <c r="AD82" s="1002">
        <v>0</v>
      </c>
      <c r="AE82" s="1002">
        <v>0</v>
      </c>
      <c r="AF82" s="625"/>
    </row>
    <row r="83" spans="1:32" s="489" customFormat="1" ht="15.75" x14ac:dyDescent="0.25">
      <c r="A83" s="999" t="s">
        <v>221</v>
      </c>
      <c r="B83" s="581">
        <v>0</v>
      </c>
      <c r="C83" s="1001">
        <v>0</v>
      </c>
      <c r="D83" s="1001">
        <v>0</v>
      </c>
      <c r="E83" s="1001">
        <v>0</v>
      </c>
      <c r="F83" s="367">
        <f>IFERROR(E83/B83*100,0)</f>
        <v>0</v>
      </c>
      <c r="G83" s="367">
        <f>IFERROR(E83/C83*100,0)</f>
        <v>0</v>
      </c>
      <c r="H83" s="1002">
        <v>0</v>
      </c>
      <c r="I83" s="1002">
        <v>0</v>
      </c>
      <c r="J83" s="1002">
        <v>0</v>
      </c>
      <c r="K83" s="1002">
        <v>0</v>
      </c>
      <c r="L83" s="1002">
        <v>0</v>
      </c>
      <c r="M83" s="1002">
        <v>0</v>
      </c>
      <c r="N83" s="1002">
        <v>0</v>
      </c>
      <c r="O83" s="1002">
        <v>0</v>
      </c>
      <c r="P83" s="1002">
        <v>0</v>
      </c>
      <c r="Q83" s="1002">
        <v>0</v>
      </c>
      <c r="R83" s="1002">
        <v>0</v>
      </c>
      <c r="S83" s="1002">
        <v>0</v>
      </c>
      <c r="T83" s="1002">
        <v>0</v>
      </c>
      <c r="U83" s="1002">
        <v>0</v>
      </c>
      <c r="V83" s="1002">
        <v>0</v>
      </c>
      <c r="W83" s="1002">
        <v>0</v>
      </c>
      <c r="X83" s="1002">
        <v>0</v>
      </c>
      <c r="Y83" s="1002">
        <v>0</v>
      </c>
      <c r="Z83" s="1002">
        <v>0</v>
      </c>
      <c r="AA83" s="1002">
        <v>0</v>
      </c>
      <c r="AB83" s="1002">
        <v>0</v>
      </c>
      <c r="AC83" s="1002">
        <v>0</v>
      </c>
      <c r="AD83" s="1002">
        <v>0</v>
      </c>
      <c r="AE83" s="1002">
        <v>0</v>
      </c>
      <c r="AF83" s="750"/>
    </row>
    <row r="84" spans="1:32" s="489" customFormat="1" ht="15.75" x14ac:dyDescent="0.25">
      <c r="A84" s="1018" t="s">
        <v>441</v>
      </c>
      <c r="B84" s="1010"/>
      <c r="C84" s="1010"/>
      <c r="D84" s="1010"/>
      <c r="E84" s="1010"/>
      <c r="F84" s="1010"/>
      <c r="G84" s="1010"/>
      <c r="H84" s="1010"/>
      <c r="I84" s="1010"/>
      <c r="J84" s="1010"/>
      <c r="K84" s="1010"/>
      <c r="L84" s="1010"/>
      <c r="M84" s="1010"/>
      <c r="N84" s="1010"/>
      <c r="O84" s="1010"/>
      <c r="P84" s="1010"/>
      <c r="Q84" s="1010"/>
      <c r="R84" s="1010"/>
      <c r="S84" s="1010"/>
      <c r="T84" s="1010"/>
      <c r="U84" s="1010"/>
      <c r="V84" s="1010"/>
      <c r="W84" s="1010"/>
      <c r="X84" s="1010"/>
      <c r="Y84" s="1010"/>
      <c r="Z84" s="1010"/>
      <c r="AA84" s="1010"/>
      <c r="AB84" s="1010"/>
      <c r="AC84" s="1010"/>
      <c r="AD84" s="1010"/>
      <c r="AE84" s="1011"/>
      <c r="AF84" s="625"/>
    </row>
    <row r="85" spans="1:32" s="489" customFormat="1" ht="78.75" customHeight="1" x14ac:dyDescent="0.25">
      <c r="A85" s="999" t="s">
        <v>31</v>
      </c>
      <c r="B85" s="367">
        <f>B86+B87+B88+B90</f>
        <v>4986.5700000000006</v>
      </c>
      <c r="C85" s="367">
        <f>C86+C87+C88+C90</f>
        <v>4986.5700000000006</v>
      </c>
      <c r="D85" s="367">
        <f>D86+D87+D88+D90</f>
        <v>4986.43</v>
      </c>
      <c r="E85" s="581">
        <f>E86+E87+E88+E90</f>
        <v>4986.43</v>
      </c>
      <c r="F85" s="367">
        <f t="shared" ref="F85:F90" si="45">IFERROR(E85/B85*100,0)</f>
        <v>99.99719245894471</v>
      </c>
      <c r="G85" s="367">
        <f t="shared" ref="G85" si="46">IFERROR(E85/C85*100,0)</f>
        <v>99.99719245894471</v>
      </c>
      <c r="H85" s="272">
        <f t="shared" ref="H85:AE85" si="47">H86+H87+H88+H90</f>
        <v>0</v>
      </c>
      <c r="I85" s="272">
        <f t="shared" si="47"/>
        <v>0</v>
      </c>
      <c r="J85" s="272">
        <f t="shared" si="47"/>
        <v>3592.47</v>
      </c>
      <c r="K85" s="272">
        <f t="shared" si="47"/>
        <v>3460.92</v>
      </c>
      <c r="L85" s="272">
        <f t="shared" si="47"/>
        <v>0</v>
      </c>
      <c r="M85" s="272">
        <f t="shared" si="47"/>
        <v>0</v>
      </c>
      <c r="N85" s="272">
        <f t="shared" si="47"/>
        <v>330.3</v>
      </c>
      <c r="O85" s="272">
        <f t="shared" si="47"/>
        <v>461.81</v>
      </c>
      <c r="P85" s="272">
        <f t="shared" si="47"/>
        <v>0</v>
      </c>
      <c r="Q85" s="272">
        <f t="shared" si="47"/>
        <v>0</v>
      </c>
      <c r="R85" s="272">
        <f t="shared" si="47"/>
        <v>0</v>
      </c>
      <c r="S85" s="272">
        <f t="shared" si="47"/>
        <v>0</v>
      </c>
      <c r="T85" s="272">
        <f t="shared" si="47"/>
        <v>598.20000000000005</v>
      </c>
      <c r="U85" s="272">
        <f t="shared" si="47"/>
        <v>598.14</v>
      </c>
      <c r="V85" s="272">
        <f t="shared" si="47"/>
        <v>0</v>
      </c>
      <c r="W85" s="272">
        <f t="shared" si="47"/>
        <v>0</v>
      </c>
      <c r="X85" s="272">
        <f t="shared" si="47"/>
        <v>465.6</v>
      </c>
      <c r="Y85" s="272">
        <f t="shared" si="47"/>
        <v>465.56</v>
      </c>
      <c r="Z85" s="272">
        <f t="shared" si="47"/>
        <v>0</v>
      </c>
      <c r="AA85" s="272">
        <f t="shared" si="47"/>
        <v>0</v>
      </c>
      <c r="AB85" s="272">
        <f t="shared" si="47"/>
        <v>0</v>
      </c>
      <c r="AC85" s="272">
        <f t="shared" si="47"/>
        <v>0</v>
      </c>
      <c r="AD85" s="272">
        <f t="shared" si="47"/>
        <v>0</v>
      </c>
      <c r="AE85" s="272">
        <f t="shared" si="47"/>
        <v>0</v>
      </c>
      <c r="AF85" s="624" t="s">
        <v>624</v>
      </c>
    </row>
    <row r="86" spans="1:32" s="489" customFormat="1" ht="15.75" x14ac:dyDescent="0.25">
      <c r="A86" s="1000" t="s">
        <v>169</v>
      </c>
      <c r="B86" s="581">
        <v>0</v>
      </c>
      <c r="C86" s="1001">
        <v>0</v>
      </c>
      <c r="D86" s="581">
        <v>0</v>
      </c>
      <c r="E86" s="581">
        <v>0</v>
      </c>
      <c r="F86" s="367">
        <f t="shared" si="45"/>
        <v>0</v>
      </c>
      <c r="G86" s="367">
        <f>IFERROR(E86/C86*100,0)</f>
        <v>0</v>
      </c>
      <c r="H86" s="1002">
        <v>0</v>
      </c>
      <c r="I86" s="1002">
        <v>0</v>
      </c>
      <c r="J86" s="1002">
        <v>0</v>
      </c>
      <c r="K86" s="1002">
        <v>0</v>
      </c>
      <c r="L86" s="1002">
        <v>0</v>
      </c>
      <c r="M86" s="1002">
        <v>0</v>
      </c>
      <c r="N86" s="1002">
        <v>0</v>
      </c>
      <c r="O86" s="1002">
        <v>0</v>
      </c>
      <c r="P86" s="1002">
        <v>0</v>
      </c>
      <c r="Q86" s="1002">
        <v>0</v>
      </c>
      <c r="R86" s="1002">
        <v>0</v>
      </c>
      <c r="S86" s="1002">
        <v>0</v>
      </c>
      <c r="T86" s="1002">
        <v>0</v>
      </c>
      <c r="U86" s="1002">
        <v>0</v>
      </c>
      <c r="V86" s="1002">
        <v>0</v>
      </c>
      <c r="W86" s="1002">
        <v>0</v>
      </c>
      <c r="X86" s="1002">
        <v>0</v>
      </c>
      <c r="Y86" s="1002">
        <v>0</v>
      </c>
      <c r="Z86" s="1002">
        <v>0</v>
      </c>
      <c r="AA86" s="1002">
        <v>0</v>
      </c>
      <c r="AB86" s="1002">
        <v>0</v>
      </c>
      <c r="AC86" s="1002">
        <v>0</v>
      </c>
      <c r="AD86" s="1002">
        <v>0</v>
      </c>
      <c r="AE86" s="1002">
        <v>0</v>
      </c>
      <c r="AF86" s="625"/>
    </row>
    <row r="87" spans="1:32" s="489" customFormat="1" ht="15.75" x14ac:dyDescent="0.25">
      <c r="A87" s="999" t="s">
        <v>32</v>
      </c>
      <c r="B87" s="581">
        <v>0</v>
      </c>
      <c r="C87" s="1001">
        <v>0</v>
      </c>
      <c r="D87" s="581">
        <v>0</v>
      </c>
      <c r="E87" s="581">
        <v>0</v>
      </c>
      <c r="F87" s="367">
        <f t="shared" si="45"/>
        <v>0</v>
      </c>
      <c r="G87" s="367">
        <f>IFERROR(E87/C87*100,0)</f>
        <v>0</v>
      </c>
      <c r="H87" s="1002">
        <v>0</v>
      </c>
      <c r="I87" s="1002">
        <v>0</v>
      </c>
      <c r="J87" s="1002">
        <v>0</v>
      </c>
      <c r="K87" s="1002">
        <v>0</v>
      </c>
      <c r="L87" s="1002">
        <v>0</v>
      </c>
      <c r="M87" s="1002">
        <v>0</v>
      </c>
      <c r="N87" s="1002">
        <v>0</v>
      </c>
      <c r="O87" s="1002">
        <v>0</v>
      </c>
      <c r="P87" s="1002">
        <v>0</v>
      </c>
      <c r="Q87" s="1002">
        <v>0</v>
      </c>
      <c r="R87" s="1002">
        <v>0</v>
      </c>
      <c r="S87" s="1002">
        <v>0</v>
      </c>
      <c r="T87" s="1002">
        <v>0</v>
      </c>
      <c r="U87" s="1002">
        <v>0</v>
      </c>
      <c r="V87" s="1002">
        <v>0</v>
      </c>
      <c r="W87" s="1002">
        <v>0</v>
      </c>
      <c r="X87" s="1002">
        <v>0</v>
      </c>
      <c r="Y87" s="1002">
        <v>0</v>
      </c>
      <c r="Z87" s="1002">
        <v>0</v>
      </c>
      <c r="AA87" s="1002">
        <v>0</v>
      </c>
      <c r="AB87" s="1002">
        <v>0</v>
      </c>
      <c r="AC87" s="1002">
        <v>0</v>
      </c>
      <c r="AD87" s="1002">
        <v>0</v>
      </c>
      <c r="AE87" s="1002">
        <v>0</v>
      </c>
      <c r="AF87" s="625"/>
    </row>
    <row r="88" spans="1:32" s="486" customFormat="1" ht="15.75" x14ac:dyDescent="0.25">
      <c r="A88" s="487" t="s">
        <v>33</v>
      </c>
      <c r="B88" s="578">
        <v>4986.5700000000006</v>
      </c>
      <c r="C88" s="1001">
        <v>4986.5700000000006</v>
      </c>
      <c r="D88" s="577">
        <v>4986.43</v>
      </c>
      <c r="E88" s="577">
        <v>4986.43</v>
      </c>
      <c r="F88" s="367">
        <f t="shared" si="45"/>
        <v>99.99719245894471</v>
      </c>
      <c r="G88" s="367">
        <f>IFERROR(E88/C88*100,0)</f>
        <v>99.99719245894471</v>
      </c>
      <c r="H88" s="1002">
        <v>0</v>
      </c>
      <c r="I88" s="1002">
        <v>0</v>
      </c>
      <c r="J88" s="579">
        <v>3592.47</v>
      </c>
      <c r="K88" s="577">
        <v>3460.92</v>
      </c>
      <c r="L88" s="577">
        <v>0</v>
      </c>
      <c r="M88" s="577">
        <v>0</v>
      </c>
      <c r="N88" s="577">
        <v>330.3</v>
      </c>
      <c r="O88" s="577">
        <v>461.81</v>
      </c>
      <c r="P88" s="577">
        <v>0</v>
      </c>
      <c r="Q88" s="577">
        <v>0</v>
      </c>
      <c r="R88" s="577">
        <v>0</v>
      </c>
      <c r="S88" s="577">
        <v>0</v>
      </c>
      <c r="T88" s="577">
        <v>598.20000000000005</v>
      </c>
      <c r="U88" s="577">
        <v>598.14</v>
      </c>
      <c r="V88" s="577">
        <v>0</v>
      </c>
      <c r="W88" s="577">
        <v>0</v>
      </c>
      <c r="X88" s="577">
        <v>465.6</v>
      </c>
      <c r="Y88" s="577">
        <v>465.56</v>
      </c>
      <c r="Z88" s="577">
        <v>0</v>
      </c>
      <c r="AA88" s="577">
        <v>0</v>
      </c>
      <c r="AB88" s="577">
        <v>0</v>
      </c>
      <c r="AC88" s="577">
        <v>0</v>
      </c>
      <c r="AD88" s="577">
        <v>0</v>
      </c>
      <c r="AE88" s="577">
        <v>0</v>
      </c>
      <c r="AF88" s="625"/>
    </row>
    <row r="89" spans="1:32" s="489" customFormat="1" ht="31.5" x14ac:dyDescent="0.25">
      <c r="A89" s="1003" t="s">
        <v>174</v>
      </c>
      <c r="B89" s="581">
        <v>0</v>
      </c>
      <c r="C89" s="1001">
        <v>0</v>
      </c>
      <c r="D89" s="581">
        <v>0</v>
      </c>
      <c r="E89" s="581">
        <v>0</v>
      </c>
      <c r="F89" s="367">
        <f t="shared" si="45"/>
        <v>0</v>
      </c>
      <c r="G89" s="367">
        <f>IFERROR(E89/C89*100,0)</f>
        <v>0</v>
      </c>
      <c r="H89" s="1002">
        <v>0</v>
      </c>
      <c r="I89" s="1002">
        <v>0</v>
      </c>
      <c r="J89" s="1002">
        <v>0</v>
      </c>
      <c r="K89" s="1002">
        <v>0</v>
      </c>
      <c r="L89" s="1002">
        <v>0</v>
      </c>
      <c r="M89" s="1002">
        <v>0</v>
      </c>
      <c r="N89" s="1002">
        <v>0</v>
      </c>
      <c r="O89" s="1002">
        <v>0</v>
      </c>
      <c r="P89" s="1002">
        <v>0</v>
      </c>
      <c r="Q89" s="1002">
        <v>0</v>
      </c>
      <c r="R89" s="1002">
        <v>0</v>
      </c>
      <c r="S89" s="1002">
        <v>0</v>
      </c>
      <c r="T89" s="1002">
        <v>0</v>
      </c>
      <c r="U89" s="1002">
        <v>0</v>
      </c>
      <c r="V89" s="1002">
        <v>0</v>
      </c>
      <c r="W89" s="1002">
        <v>0</v>
      </c>
      <c r="X89" s="1002">
        <v>0</v>
      </c>
      <c r="Y89" s="1002">
        <v>0</v>
      </c>
      <c r="Z89" s="1002">
        <v>0</v>
      </c>
      <c r="AA89" s="1002">
        <v>0</v>
      </c>
      <c r="AB89" s="1002">
        <v>0</v>
      </c>
      <c r="AC89" s="1002">
        <v>0</v>
      </c>
      <c r="AD89" s="1002">
        <v>0</v>
      </c>
      <c r="AE89" s="1002">
        <v>0</v>
      </c>
      <c r="AF89" s="625"/>
    </row>
    <row r="90" spans="1:32" s="489" customFormat="1" ht="15.75" x14ac:dyDescent="0.25">
      <c r="A90" s="999" t="s">
        <v>221</v>
      </c>
      <c r="B90" s="581">
        <v>0</v>
      </c>
      <c r="C90" s="1001">
        <v>0</v>
      </c>
      <c r="D90" s="581">
        <v>0</v>
      </c>
      <c r="E90" s="581">
        <v>0</v>
      </c>
      <c r="F90" s="367">
        <f t="shared" si="45"/>
        <v>0</v>
      </c>
      <c r="G90" s="367">
        <f>IFERROR(E90/C90*100,0)</f>
        <v>0</v>
      </c>
      <c r="H90" s="1002">
        <v>0</v>
      </c>
      <c r="I90" s="1002">
        <v>0</v>
      </c>
      <c r="J90" s="1002">
        <v>0</v>
      </c>
      <c r="K90" s="1002">
        <v>0</v>
      </c>
      <c r="L90" s="1002">
        <v>0</v>
      </c>
      <c r="M90" s="1002">
        <v>0</v>
      </c>
      <c r="N90" s="1002">
        <v>0</v>
      </c>
      <c r="O90" s="1002">
        <v>0</v>
      </c>
      <c r="P90" s="1002">
        <v>0</v>
      </c>
      <c r="Q90" s="1002">
        <v>0</v>
      </c>
      <c r="R90" s="1002">
        <v>0</v>
      </c>
      <c r="S90" s="1002">
        <v>0</v>
      </c>
      <c r="T90" s="1002">
        <v>0</v>
      </c>
      <c r="U90" s="1002">
        <v>0</v>
      </c>
      <c r="V90" s="1002">
        <v>0</v>
      </c>
      <c r="W90" s="1002">
        <v>0</v>
      </c>
      <c r="X90" s="1002">
        <v>0</v>
      </c>
      <c r="Y90" s="1002">
        <v>0</v>
      </c>
      <c r="Z90" s="1002">
        <v>0</v>
      </c>
      <c r="AA90" s="1002">
        <v>0</v>
      </c>
      <c r="AB90" s="1002">
        <v>0</v>
      </c>
      <c r="AC90" s="1002">
        <v>0</v>
      </c>
      <c r="AD90" s="1002">
        <v>0</v>
      </c>
      <c r="AE90" s="1002">
        <v>0</v>
      </c>
      <c r="AF90" s="750"/>
    </row>
    <row r="91" spans="1:32" s="489" customFormat="1" ht="15.75" x14ac:dyDescent="0.25">
      <c r="A91" s="1018" t="s">
        <v>442</v>
      </c>
      <c r="B91" s="1010"/>
      <c r="C91" s="1010"/>
      <c r="D91" s="1010"/>
      <c r="E91" s="1010"/>
      <c r="F91" s="1010"/>
      <c r="G91" s="1010"/>
      <c r="H91" s="1010"/>
      <c r="I91" s="1010"/>
      <c r="J91" s="1010"/>
      <c r="K91" s="1010"/>
      <c r="L91" s="1010"/>
      <c r="M91" s="1010"/>
      <c r="N91" s="1010"/>
      <c r="O91" s="1010"/>
      <c r="P91" s="1010"/>
      <c r="Q91" s="1010"/>
      <c r="R91" s="1010"/>
      <c r="S91" s="1010"/>
      <c r="T91" s="1010"/>
      <c r="U91" s="1010"/>
      <c r="V91" s="1010"/>
      <c r="W91" s="1010"/>
      <c r="X91" s="1010"/>
      <c r="Y91" s="1010"/>
      <c r="Z91" s="1010"/>
      <c r="AA91" s="1010"/>
      <c r="AB91" s="1010"/>
      <c r="AC91" s="1010"/>
      <c r="AD91" s="1010"/>
      <c r="AE91" s="1011"/>
      <c r="AF91" s="369"/>
    </row>
    <row r="92" spans="1:32" s="489" customFormat="1" ht="43.5" customHeight="1" x14ac:dyDescent="0.25">
      <c r="A92" s="1012" t="s">
        <v>443</v>
      </c>
      <c r="B92" s="367">
        <f>B93+B94+B95+B97</f>
        <v>2461.2999999999997</v>
      </c>
      <c r="C92" s="367">
        <f>C93+C94+C95+C97</f>
        <v>2461.2999999999997</v>
      </c>
      <c r="D92" s="367">
        <f>D93+D94+D95+D97</f>
        <v>2461.2399999999998</v>
      </c>
      <c r="E92" s="581">
        <f>E93+E94+E95+E97</f>
        <v>2461.2399999999998</v>
      </c>
      <c r="F92" s="367">
        <f t="shared" ref="F92:F97" si="48">IFERROR(E92/B92*100,0)</f>
        <v>99.997562263844316</v>
      </c>
      <c r="G92" s="367">
        <f t="shared" ref="G92" si="49">IFERROR(E92/C92*100,0)</f>
        <v>99.997562263844316</v>
      </c>
      <c r="H92" s="272">
        <f t="shared" ref="H92:AE92" si="50">H93+H94+H95+H97</f>
        <v>0</v>
      </c>
      <c r="I92" s="272">
        <f t="shared" si="50"/>
        <v>0</v>
      </c>
      <c r="J92" s="272">
        <f t="shared" si="50"/>
        <v>0</v>
      </c>
      <c r="K92" s="272">
        <f t="shared" si="50"/>
        <v>0</v>
      </c>
      <c r="L92" s="272">
        <f t="shared" si="50"/>
        <v>0</v>
      </c>
      <c r="M92" s="272">
        <f t="shared" si="50"/>
        <v>0</v>
      </c>
      <c r="N92" s="272">
        <f t="shared" si="50"/>
        <v>0</v>
      </c>
      <c r="O92" s="272">
        <f t="shared" si="50"/>
        <v>0</v>
      </c>
      <c r="P92" s="272">
        <f t="shared" si="50"/>
        <v>0</v>
      </c>
      <c r="Q92" s="272">
        <f t="shared" si="50"/>
        <v>0</v>
      </c>
      <c r="R92" s="272">
        <f t="shared" si="50"/>
        <v>0</v>
      </c>
      <c r="S92" s="272">
        <f t="shared" si="50"/>
        <v>0</v>
      </c>
      <c r="T92" s="272">
        <f t="shared" si="50"/>
        <v>0</v>
      </c>
      <c r="U92" s="272">
        <f t="shared" si="50"/>
        <v>0</v>
      </c>
      <c r="V92" s="272">
        <f t="shared" si="50"/>
        <v>0</v>
      </c>
      <c r="W92" s="272">
        <f t="shared" si="50"/>
        <v>0</v>
      </c>
      <c r="X92" s="272">
        <f t="shared" si="50"/>
        <v>2461.2399999999998</v>
      </c>
      <c r="Y92" s="272">
        <f t="shared" si="50"/>
        <v>2461.2399999999998</v>
      </c>
      <c r="Z92" s="272">
        <f t="shared" si="50"/>
        <v>5.999999999994543E-2</v>
      </c>
      <c r="AA92" s="272">
        <f t="shared" si="50"/>
        <v>0</v>
      </c>
      <c r="AB92" s="272">
        <f t="shared" si="50"/>
        <v>0</v>
      </c>
      <c r="AC92" s="272">
        <f t="shared" si="50"/>
        <v>0</v>
      </c>
      <c r="AD92" s="272">
        <f t="shared" si="50"/>
        <v>0</v>
      </c>
      <c r="AE92" s="272">
        <f t="shared" si="50"/>
        <v>0</v>
      </c>
      <c r="AF92" s="631" t="s">
        <v>643</v>
      </c>
    </row>
    <row r="93" spans="1:32" s="489" customFormat="1" ht="15.75" x14ac:dyDescent="0.25">
      <c r="A93" s="1000" t="s">
        <v>169</v>
      </c>
      <c r="B93" s="581">
        <v>0</v>
      </c>
      <c r="C93" s="1001">
        <v>0</v>
      </c>
      <c r="D93" s="1001">
        <v>0</v>
      </c>
      <c r="E93" s="1001">
        <v>0</v>
      </c>
      <c r="F93" s="367">
        <f t="shared" si="48"/>
        <v>0</v>
      </c>
      <c r="G93" s="367">
        <f>IFERROR(E93/C93*100,0)</f>
        <v>0</v>
      </c>
      <c r="H93" s="1002">
        <v>0</v>
      </c>
      <c r="I93" s="1002">
        <v>0</v>
      </c>
      <c r="J93" s="1002">
        <v>0</v>
      </c>
      <c r="K93" s="1002">
        <v>0</v>
      </c>
      <c r="L93" s="1002">
        <v>0</v>
      </c>
      <c r="M93" s="1002">
        <v>0</v>
      </c>
      <c r="N93" s="1002">
        <v>0</v>
      </c>
      <c r="O93" s="1002">
        <v>0</v>
      </c>
      <c r="P93" s="1002">
        <v>0</v>
      </c>
      <c r="Q93" s="1002">
        <v>0</v>
      </c>
      <c r="R93" s="1002">
        <v>0</v>
      </c>
      <c r="S93" s="1002">
        <v>0</v>
      </c>
      <c r="T93" s="1002">
        <v>0</v>
      </c>
      <c r="U93" s="1002">
        <v>0</v>
      </c>
      <c r="V93" s="1002">
        <v>0</v>
      </c>
      <c r="W93" s="1002">
        <v>0</v>
      </c>
      <c r="X93" s="1002">
        <v>0</v>
      </c>
      <c r="Y93" s="1002">
        <v>0</v>
      </c>
      <c r="Z93" s="1002">
        <v>0</v>
      </c>
      <c r="AA93" s="1002">
        <v>0</v>
      </c>
      <c r="AB93" s="1002">
        <v>0</v>
      </c>
      <c r="AC93" s="1002">
        <v>0</v>
      </c>
      <c r="AD93" s="1002">
        <v>0</v>
      </c>
      <c r="AE93" s="1002">
        <v>0</v>
      </c>
      <c r="AF93" s="865"/>
    </row>
    <row r="94" spans="1:32" s="489" customFormat="1" ht="15.75" x14ac:dyDescent="0.25">
      <c r="A94" s="999" t="s">
        <v>32</v>
      </c>
      <c r="B94" s="581">
        <v>0</v>
      </c>
      <c r="C94" s="1001">
        <v>0</v>
      </c>
      <c r="D94" s="1001">
        <v>0</v>
      </c>
      <c r="E94" s="1001">
        <v>0</v>
      </c>
      <c r="F94" s="367">
        <f t="shared" si="48"/>
        <v>0</v>
      </c>
      <c r="G94" s="367">
        <f>IFERROR(E94/C94*100,0)</f>
        <v>0</v>
      </c>
      <c r="H94" s="1002">
        <v>0</v>
      </c>
      <c r="I94" s="1002">
        <v>0</v>
      </c>
      <c r="J94" s="1002">
        <v>0</v>
      </c>
      <c r="K94" s="1002">
        <v>0</v>
      </c>
      <c r="L94" s="1002">
        <v>0</v>
      </c>
      <c r="M94" s="1002">
        <v>0</v>
      </c>
      <c r="N94" s="1002">
        <v>0</v>
      </c>
      <c r="O94" s="1002">
        <v>0</v>
      </c>
      <c r="P94" s="1002">
        <v>0</v>
      </c>
      <c r="Q94" s="1002">
        <v>0</v>
      </c>
      <c r="R94" s="1002">
        <v>0</v>
      </c>
      <c r="S94" s="1002">
        <v>0</v>
      </c>
      <c r="T94" s="1002">
        <v>0</v>
      </c>
      <c r="U94" s="1002">
        <v>0</v>
      </c>
      <c r="V94" s="1002">
        <v>0</v>
      </c>
      <c r="W94" s="1002">
        <v>0</v>
      </c>
      <c r="X94" s="1002">
        <v>0</v>
      </c>
      <c r="Y94" s="1002">
        <v>0</v>
      </c>
      <c r="Z94" s="1002">
        <v>0</v>
      </c>
      <c r="AA94" s="1002">
        <v>0</v>
      </c>
      <c r="AB94" s="1002">
        <v>0</v>
      </c>
      <c r="AC94" s="1002">
        <v>0</v>
      </c>
      <c r="AD94" s="1002">
        <v>0</v>
      </c>
      <c r="AE94" s="1002">
        <v>0</v>
      </c>
      <c r="AF94" s="865"/>
    </row>
    <row r="95" spans="1:32" s="486" customFormat="1" ht="15.75" x14ac:dyDescent="0.25">
      <c r="A95" s="487" t="s">
        <v>33</v>
      </c>
      <c r="B95" s="578">
        <v>2461.2999999999997</v>
      </c>
      <c r="C95" s="1001">
        <v>2461.2999999999997</v>
      </c>
      <c r="D95" s="577">
        <v>2461.2399999999998</v>
      </c>
      <c r="E95" s="577">
        <v>2461.2399999999998</v>
      </c>
      <c r="F95" s="367">
        <f t="shared" si="48"/>
        <v>99.997562263844316</v>
      </c>
      <c r="G95" s="367">
        <f>IFERROR(E95/C95*100,0)</f>
        <v>99.997562263844316</v>
      </c>
      <c r="H95" s="577"/>
      <c r="I95" s="577"/>
      <c r="J95" s="577"/>
      <c r="K95" s="577"/>
      <c r="L95" s="577">
        <v>0</v>
      </c>
      <c r="M95" s="577">
        <v>0</v>
      </c>
      <c r="N95" s="577">
        <v>0</v>
      </c>
      <c r="O95" s="577">
        <v>0</v>
      </c>
      <c r="P95" s="577">
        <v>0</v>
      </c>
      <c r="Q95" s="577">
        <v>0</v>
      </c>
      <c r="R95" s="577">
        <v>0</v>
      </c>
      <c r="S95" s="577">
        <v>0</v>
      </c>
      <c r="T95" s="577">
        <v>0</v>
      </c>
      <c r="U95" s="577">
        <v>0</v>
      </c>
      <c r="V95" s="577">
        <v>0</v>
      </c>
      <c r="W95" s="577">
        <v>0</v>
      </c>
      <c r="X95" s="577">
        <v>2461.2399999999998</v>
      </c>
      <c r="Y95" s="577">
        <v>2461.2399999999998</v>
      </c>
      <c r="Z95" s="577">
        <v>5.999999999994543E-2</v>
      </c>
      <c r="AA95" s="577">
        <v>0</v>
      </c>
      <c r="AB95" s="577">
        <v>0</v>
      </c>
      <c r="AC95" s="577">
        <v>0</v>
      </c>
      <c r="AD95" s="577">
        <v>0</v>
      </c>
      <c r="AE95" s="577">
        <v>0</v>
      </c>
      <c r="AF95" s="865"/>
    </row>
    <row r="96" spans="1:32" s="489" customFormat="1" ht="31.5" x14ac:dyDescent="0.25">
      <c r="A96" s="1003" t="s">
        <v>174</v>
      </c>
      <c r="B96" s="581">
        <v>0</v>
      </c>
      <c r="C96" s="1001">
        <v>0</v>
      </c>
      <c r="D96" s="1001">
        <v>0</v>
      </c>
      <c r="E96" s="1001">
        <v>0</v>
      </c>
      <c r="F96" s="367">
        <f t="shared" si="48"/>
        <v>0</v>
      </c>
      <c r="G96" s="367">
        <f>IFERROR(E96/C96*100,0)</f>
        <v>0</v>
      </c>
      <c r="H96" s="1002">
        <v>0</v>
      </c>
      <c r="I96" s="1002">
        <v>0</v>
      </c>
      <c r="J96" s="1002">
        <v>0</v>
      </c>
      <c r="K96" s="1002">
        <v>0</v>
      </c>
      <c r="L96" s="1002">
        <v>0</v>
      </c>
      <c r="M96" s="1002">
        <v>0</v>
      </c>
      <c r="N96" s="1002">
        <v>0</v>
      </c>
      <c r="O96" s="1002">
        <v>0</v>
      </c>
      <c r="P96" s="1002">
        <v>0</v>
      </c>
      <c r="Q96" s="1002">
        <v>0</v>
      </c>
      <c r="R96" s="1002">
        <v>0</v>
      </c>
      <c r="S96" s="1002">
        <v>0</v>
      </c>
      <c r="T96" s="1002">
        <v>0</v>
      </c>
      <c r="U96" s="1002">
        <v>0</v>
      </c>
      <c r="V96" s="1002">
        <v>0</v>
      </c>
      <c r="W96" s="1002">
        <v>0</v>
      </c>
      <c r="X96" s="1002">
        <v>0</v>
      </c>
      <c r="Y96" s="1002">
        <v>0</v>
      </c>
      <c r="Z96" s="1002">
        <v>0</v>
      </c>
      <c r="AA96" s="1002">
        <v>0</v>
      </c>
      <c r="AB96" s="1002">
        <v>0</v>
      </c>
      <c r="AC96" s="1002">
        <v>0</v>
      </c>
      <c r="AD96" s="1002">
        <v>0</v>
      </c>
      <c r="AE96" s="1002">
        <v>0</v>
      </c>
      <c r="AF96" s="865"/>
    </row>
    <row r="97" spans="1:32" s="489" customFormat="1" ht="15.75" x14ac:dyDescent="0.25">
      <c r="A97" s="999" t="s">
        <v>221</v>
      </c>
      <c r="B97" s="581">
        <v>0</v>
      </c>
      <c r="C97" s="1001">
        <v>0</v>
      </c>
      <c r="D97" s="1001">
        <v>0</v>
      </c>
      <c r="E97" s="1001">
        <v>0</v>
      </c>
      <c r="F97" s="367">
        <f t="shared" si="48"/>
        <v>0</v>
      </c>
      <c r="G97" s="367">
        <f>IFERROR(E97/C97*100,0)</f>
        <v>0</v>
      </c>
      <c r="H97" s="1002">
        <v>0</v>
      </c>
      <c r="I97" s="1002">
        <v>0</v>
      </c>
      <c r="J97" s="1002">
        <v>0</v>
      </c>
      <c r="K97" s="1002">
        <v>0</v>
      </c>
      <c r="L97" s="1002">
        <v>0</v>
      </c>
      <c r="M97" s="1002">
        <v>0</v>
      </c>
      <c r="N97" s="1002">
        <v>0</v>
      </c>
      <c r="O97" s="1002">
        <v>0</v>
      </c>
      <c r="P97" s="1002">
        <v>0</v>
      </c>
      <c r="Q97" s="1002">
        <v>0</v>
      </c>
      <c r="R97" s="1002">
        <v>0</v>
      </c>
      <c r="S97" s="1002">
        <v>0</v>
      </c>
      <c r="T97" s="1002">
        <v>0</v>
      </c>
      <c r="U97" s="1002">
        <v>0</v>
      </c>
      <c r="V97" s="1002">
        <v>0</v>
      </c>
      <c r="W97" s="1002">
        <v>0</v>
      </c>
      <c r="X97" s="1002">
        <v>0</v>
      </c>
      <c r="Y97" s="1002">
        <v>0</v>
      </c>
      <c r="Z97" s="1002">
        <v>0</v>
      </c>
      <c r="AA97" s="1002">
        <v>0</v>
      </c>
      <c r="AB97" s="1002">
        <v>0</v>
      </c>
      <c r="AC97" s="1002">
        <v>0</v>
      </c>
      <c r="AD97" s="1002">
        <v>0</v>
      </c>
      <c r="AE97" s="1002">
        <v>0</v>
      </c>
      <c r="AF97" s="866"/>
    </row>
    <row r="98" spans="1:32" s="489" customFormat="1" ht="27" customHeight="1" x14ac:dyDescent="0.25">
      <c r="A98" s="1018" t="s">
        <v>590</v>
      </c>
      <c r="B98" s="1010"/>
      <c r="C98" s="1010"/>
      <c r="D98" s="1010"/>
      <c r="E98" s="1010"/>
      <c r="F98" s="1010"/>
      <c r="G98" s="1010"/>
      <c r="H98" s="1010"/>
      <c r="I98" s="1010"/>
      <c r="J98" s="1010"/>
      <c r="K98" s="1010"/>
      <c r="L98" s="1010"/>
      <c r="M98" s="1010"/>
      <c r="N98" s="1010"/>
      <c r="O98" s="1010"/>
      <c r="P98" s="1010"/>
      <c r="Q98" s="1010"/>
      <c r="R98" s="1010"/>
      <c r="S98" s="1010"/>
      <c r="T98" s="1010"/>
      <c r="U98" s="1010"/>
      <c r="V98" s="1010"/>
      <c r="W98" s="1010"/>
      <c r="X98" s="1010"/>
      <c r="Y98" s="1010"/>
      <c r="Z98" s="1010"/>
      <c r="AA98" s="1010"/>
      <c r="AB98" s="1010"/>
      <c r="AC98" s="1010"/>
      <c r="AD98" s="1010"/>
      <c r="AE98" s="1011"/>
      <c r="AF98" s="624" t="s">
        <v>644</v>
      </c>
    </row>
    <row r="99" spans="1:32" s="486" customFormat="1" ht="18.75" x14ac:dyDescent="0.25">
      <c r="A99" s="877" t="s">
        <v>31</v>
      </c>
      <c r="B99" s="367">
        <f>B100+B101+B102+B104</f>
        <v>600</v>
      </c>
      <c r="C99" s="367">
        <f>C100+C101+C102+C104</f>
        <v>600</v>
      </c>
      <c r="D99" s="367">
        <f>D100+D101+D102+D104</f>
        <v>600</v>
      </c>
      <c r="E99" s="581">
        <f>E100+E101+E102+E104</f>
        <v>600</v>
      </c>
      <c r="F99" s="367">
        <f t="shared" ref="F99:F116" si="51">IFERROR(E99/B99*100,0)</f>
        <v>100</v>
      </c>
      <c r="G99" s="367">
        <f t="shared" ref="G99" si="52">IFERROR(E99/C99*100,0)</f>
        <v>100</v>
      </c>
      <c r="H99" s="272">
        <f t="shared" ref="H99:AE99" si="53">H100+H101+H102+H104</f>
        <v>0</v>
      </c>
      <c r="I99" s="272">
        <f t="shared" si="53"/>
        <v>0</v>
      </c>
      <c r="J99" s="272">
        <f t="shared" si="53"/>
        <v>0</v>
      </c>
      <c r="K99" s="272">
        <f t="shared" si="53"/>
        <v>0</v>
      </c>
      <c r="L99" s="272">
        <f t="shared" si="53"/>
        <v>0</v>
      </c>
      <c r="M99" s="272">
        <f t="shared" si="53"/>
        <v>0</v>
      </c>
      <c r="N99" s="272">
        <f t="shared" si="53"/>
        <v>0</v>
      </c>
      <c r="O99" s="272">
        <f t="shared" si="53"/>
        <v>0</v>
      </c>
      <c r="P99" s="272">
        <f t="shared" si="53"/>
        <v>0</v>
      </c>
      <c r="Q99" s="272">
        <f t="shared" si="53"/>
        <v>0</v>
      </c>
      <c r="R99" s="272">
        <f t="shared" si="53"/>
        <v>0</v>
      </c>
      <c r="S99" s="272">
        <f t="shared" si="53"/>
        <v>0</v>
      </c>
      <c r="T99" s="272">
        <f t="shared" si="53"/>
        <v>600</v>
      </c>
      <c r="U99" s="272">
        <f t="shared" si="53"/>
        <v>0</v>
      </c>
      <c r="V99" s="272">
        <f t="shared" si="53"/>
        <v>0</v>
      </c>
      <c r="W99" s="272">
        <f t="shared" si="53"/>
        <v>600</v>
      </c>
      <c r="X99" s="272">
        <f t="shared" si="53"/>
        <v>0</v>
      </c>
      <c r="Y99" s="272">
        <f t="shared" si="53"/>
        <v>0</v>
      </c>
      <c r="Z99" s="272">
        <f t="shared" si="53"/>
        <v>0</v>
      </c>
      <c r="AA99" s="272">
        <f t="shared" si="53"/>
        <v>0</v>
      </c>
      <c r="AB99" s="272">
        <f t="shared" si="53"/>
        <v>0</v>
      </c>
      <c r="AC99" s="272">
        <f t="shared" si="53"/>
        <v>0</v>
      </c>
      <c r="AD99" s="272">
        <f t="shared" si="53"/>
        <v>0</v>
      </c>
      <c r="AE99" s="272">
        <f t="shared" si="53"/>
        <v>0</v>
      </c>
      <c r="AF99" s="629"/>
    </row>
    <row r="100" spans="1:32" s="486" customFormat="1" ht="18.75" x14ac:dyDescent="0.25">
      <c r="A100" s="879" t="s">
        <v>169</v>
      </c>
      <c r="B100" s="581">
        <v>0</v>
      </c>
      <c r="C100" s="1001">
        <v>0</v>
      </c>
      <c r="D100" s="1001">
        <v>0</v>
      </c>
      <c r="E100" s="1001">
        <v>0</v>
      </c>
      <c r="F100" s="367">
        <f t="shared" si="51"/>
        <v>0</v>
      </c>
      <c r="G100" s="367">
        <f>IFERROR(E100/C100*100,0)</f>
        <v>0</v>
      </c>
      <c r="H100" s="878">
        <v>0</v>
      </c>
      <c r="I100" s="878">
        <v>0</v>
      </c>
      <c r="J100" s="878">
        <v>0</v>
      </c>
      <c r="K100" s="878">
        <v>0</v>
      </c>
      <c r="L100" s="878">
        <v>0</v>
      </c>
      <c r="M100" s="878">
        <v>0</v>
      </c>
      <c r="N100" s="878">
        <v>0</v>
      </c>
      <c r="O100" s="878">
        <v>0</v>
      </c>
      <c r="P100" s="878">
        <v>0</v>
      </c>
      <c r="Q100" s="878">
        <v>0</v>
      </c>
      <c r="R100" s="878">
        <v>0</v>
      </c>
      <c r="S100" s="878">
        <v>0</v>
      </c>
      <c r="T100" s="577">
        <v>0</v>
      </c>
      <c r="U100" s="577">
        <v>0</v>
      </c>
      <c r="V100" s="577">
        <v>0</v>
      </c>
      <c r="W100" s="577">
        <v>0</v>
      </c>
      <c r="X100" s="878">
        <v>0</v>
      </c>
      <c r="Y100" s="878">
        <v>0</v>
      </c>
      <c r="Z100" s="878">
        <v>0</v>
      </c>
      <c r="AA100" s="878">
        <v>0</v>
      </c>
      <c r="AB100" s="878">
        <v>0</v>
      </c>
      <c r="AC100" s="878">
        <v>0</v>
      </c>
      <c r="AD100" s="878">
        <v>0</v>
      </c>
      <c r="AE100" s="878">
        <v>0</v>
      </c>
      <c r="AF100" s="629"/>
    </row>
    <row r="101" spans="1:32" s="486" customFormat="1" ht="18.75" x14ac:dyDescent="0.25">
      <c r="A101" s="879" t="s">
        <v>32</v>
      </c>
      <c r="B101" s="581">
        <v>0</v>
      </c>
      <c r="C101" s="1001">
        <v>0</v>
      </c>
      <c r="D101" s="1001">
        <v>0</v>
      </c>
      <c r="E101" s="1001">
        <v>0</v>
      </c>
      <c r="F101" s="367">
        <f t="shared" si="51"/>
        <v>0</v>
      </c>
      <c r="G101" s="367">
        <f>IFERROR(E101/C101*100,0)</f>
        <v>0</v>
      </c>
      <c r="H101" s="878">
        <v>0</v>
      </c>
      <c r="I101" s="878">
        <v>0</v>
      </c>
      <c r="J101" s="878">
        <v>0</v>
      </c>
      <c r="K101" s="878">
        <v>0</v>
      </c>
      <c r="L101" s="878">
        <v>0</v>
      </c>
      <c r="M101" s="878">
        <v>0</v>
      </c>
      <c r="N101" s="878">
        <v>0</v>
      </c>
      <c r="O101" s="878">
        <v>0</v>
      </c>
      <c r="P101" s="878">
        <v>0</v>
      </c>
      <c r="Q101" s="878">
        <v>0</v>
      </c>
      <c r="R101" s="878">
        <v>0</v>
      </c>
      <c r="S101" s="878">
        <v>0</v>
      </c>
      <c r="T101" s="878">
        <v>0</v>
      </c>
      <c r="U101" s="878">
        <v>0</v>
      </c>
      <c r="V101" s="878">
        <v>0</v>
      </c>
      <c r="W101" s="878">
        <v>0</v>
      </c>
      <c r="X101" s="878">
        <v>0</v>
      </c>
      <c r="Y101" s="878">
        <v>0</v>
      </c>
      <c r="Z101" s="878">
        <v>0</v>
      </c>
      <c r="AA101" s="878">
        <v>0</v>
      </c>
      <c r="AB101" s="878">
        <v>0</v>
      </c>
      <c r="AC101" s="878">
        <v>0</v>
      </c>
      <c r="AD101" s="878">
        <v>0</v>
      </c>
      <c r="AE101" s="878">
        <v>0</v>
      </c>
      <c r="AF101" s="629"/>
    </row>
    <row r="102" spans="1:32" s="486" customFormat="1" ht="18.75" x14ac:dyDescent="0.25">
      <c r="A102" s="879" t="s">
        <v>33</v>
      </c>
      <c r="B102" s="578">
        <v>600</v>
      </c>
      <c r="C102" s="1001">
        <v>600</v>
      </c>
      <c r="D102" s="577">
        <v>600</v>
      </c>
      <c r="E102" s="577">
        <v>600</v>
      </c>
      <c r="F102" s="367">
        <f t="shared" si="51"/>
        <v>100</v>
      </c>
      <c r="G102" s="367">
        <f>IFERROR(E102/C102*100,0)</f>
        <v>100</v>
      </c>
      <c r="H102" s="878">
        <v>0</v>
      </c>
      <c r="I102" s="878">
        <v>0</v>
      </c>
      <c r="J102" s="878">
        <v>0</v>
      </c>
      <c r="K102" s="878">
        <v>0</v>
      </c>
      <c r="L102" s="878">
        <v>0</v>
      </c>
      <c r="M102" s="878">
        <v>0</v>
      </c>
      <c r="N102" s="878">
        <v>0</v>
      </c>
      <c r="O102" s="878">
        <v>0</v>
      </c>
      <c r="P102" s="878">
        <v>0</v>
      </c>
      <c r="Q102" s="878">
        <v>0</v>
      </c>
      <c r="R102" s="878">
        <v>0</v>
      </c>
      <c r="S102" s="878">
        <v>0</v>
      </c>
      <c r="T102" s="577">
        <v>600</v>
      </c>
      <c r="U102" s="577">
        <v>0</v>
      </c>
      <c r="V102" s="577">
        <v>0</v>
      </c>
      <c r="W102" s="577">
        <v>600</v>
      </c>
      <c r="X102" s="878">
        <v>0</v>
      </c>
      <c r="Y102" s="878">
        <v>0</v>
      </c>
      <c r="Z102" s="878">
        <v>0</v>
      </c>
      <c r="AA102" s="878">
        <v>0</v>
      </c>
      <c r="AB102" s="878">
        <v>0</v>
      </c>
      <c r="AC102" s="878">
        <v>0</v>
      </c>
      <c r="AD102" s="878">
        <v>0</v>
      </c>
      <c r="AE102" s="878">
        <v>0</v>
      </c>
      <c r="AF102" s="629"/>
    </row>
    <row r="103" spans="1:32" s="489" customFormat="1" ht="31.5" x14ac:dyDescent="0.25">
      <c r="A103" s="1003" t="s">
        <v>174</v>
      </c>
      <c r="B103" s="581">
        <v>0</v>
      </c>
      <c r="C103" s="1001">
        <v>0</v>
      </c>
      <c r="D103" s="1001">
        <v>0</v>
      </c>
      <c r="E103" s="1001">
        <v>0</v>
      </c>
      <c r="F103" s="367">
        <f t="shared" si="51"/>
        <v>0</v>
      </c>
      <c r="G103" s="367">
        <f>IFERROR(E103/C103*100,0)</f>
        <v>0</v>
      </c>
      <c r="H103" s="577">
        <v>0</v>
      </c>
      <c r="I103" s="577">
        <v>0</v>
      </c>
      <c r="J103" s="577">
        <v>0</v>
      </c>
      <c r="K103" s="577">
        <v>0</v>
      </c>
      <c r="L103" s="577">
        <v>0</v>
      </c>
      <c r="M103" s="577">
        <v>0</v>
      </c>
      <c r="N103" s="577">
        <v>0</v>
      </c>
      <c r="O103" s="577">
        <v>0</v>
      </c>
      <c r="P103" s="577">
        <v>0</v>
      </c>
      <c r="Q103" s="577">
        <v>0</v>
      </c>
      <c r="R103" s="577">
        <v>0</v>
      </c>
      <c r="S103" s="577">
        <v>0</v>
      </c>
      <c r="T103" s="577">
        <v>0</v>
      </c>
      <c r="U103" s="577">
        <v>0</v>
      </c>
      <c r="V103" s="577">
        <v>0</v>
      </c>
      <c r="W103" s="577">
        <v>0</v>
      </c>
      <c r="X103" s="577">
        <v>0</v>
      </c>
      <c r="Y103" s="577">
        <v>0</v>
      </c>
      <c r="Z103" s="577">
        <v>0</v>
      </c>
      <c r="AA103" s="577">
        <v>0</v>
      </c>
      <c r="AB103" s="577">
        <v>0</v>
      </c>
      <c r="AC103" s="577">
        <v>0</v>
      </c>
      <c r="AD103" s="577">
        <v>0</v>
      </c>
      <c r="AE103" s="577">
        <v>0</v>
      </c>
      <c r="AF103" s="629"/>
    </row>
    <row r="104" spans="1:32" s="486" customFormat="1" ht="18.75" x14ac:dyDescent="0.25">
      <c r="A104" s="880" t="s">
        <v>374</v>
      </c>
      <c r="B104" s="581">
        <v>0</v>
      </c>
      <c r="C104" s="1001">
        <v>0</v>
      </c>
      <c r="D104" s="1001">
        <v>0</v>
      </c>
      <c r="E104" s="1001">
        <v>0</v>
      </c>
      <c r="F104" s="367">
        <f t="shared" si="51"/>
        <v>0</v>
      </c>
      <c r="G104" s="367">
        <f>IFERROR(E104/C104*100,0)</f>
        <v>0</v>
      </c>
      <c r="H104" s="878">
        <v>0</v>
      </c>
      <c r="I104" s="878">
        <v>0</v>
      </c>
      <c r="J104" s="878">
        <v>0</v>
      </c>
      <c r="K104" s="878">
        <v>0</v>
      </c>
      <c r="L104" s="878">
        <v>0</v>
      </c>
      <c r="M104" s="878">
        <v>0</v>
      </c>
      <c r="N104" s="878">
        <v>0</v>
      </c>
      <c r="O104" s="878">
        <v>0</v>
      </c>
      <c r="P104" s="878">
        <v>0</v>
      </c>
      <c r="Q104" s="878">
        <v>0</v>
      </c>
      <c r="R104" s="878">
        <v>0</v>
      </c>
      <c r="S104" s="878">
        <v>0</v>
      </c>
      <c r="T104" s="878">
        <v>0</v>
      </c>
      <c r="U104" s="878">
        <v>0</v>
      </c>
      <c r="V104" s="878">
        <v>0</v>
      </c>
      <c r="W104" s="878">
        <v>0</v>
      </c>
      <c r="X104" s="878">
        <v>0</v>
      </c>
      <c r="Y104" s="878">
        <v>0</v>
      </c>
      <c r="Z104" s="878">
        <v>0</v>
      </c>
      <c r="AA104" s="878">
        <v>0</v>
      </c>
      <c r="AB104" s="878">
        <v>0</v>
      </c>
      <c r="AC104" s="878">
        <v>0</v>
      </c>
      <c r="AD104" s="878">
        <v>0</v>
      </c>
      <c r="AE104" s="878">
        <v>0</v>
      </c>
      <c r="AF104" s="630"/>
    </row>
    <row r="105" spans="1:32" s="489" customFormat="1" ht="15.75" x14ac:dyDescent="0.25">
      <c r="A105" s="1013" t="s">
        <v>63</v>
      </c>
      <c r="B105" s="269">
        <f>B107+B108+B106+B110</f>
        <v>259862.99456999995</v>
      </c>
      <c r="C105" s="269">
        <f>C107+C108+C106+C110</f>
        <v>259862.99456999995</v>
      </c>
      <c r="D105" s="269">
        <f>D107+D108+D106+D110</f>
        <v>246866.33236000003</v>
      </c>
      <c r="E105" s="269">
        <f>E107+E108+E106+E110</f>
        <v>246866.33236000003</v>
      </c>
      <c r="F105" s="269">
        <f t="shared" si="51"/>
        <v>94.998648333324368</v>
      </c>
      <c r="G105" s="269">
        <f t="shared" ref="G105" si="54">IFERROR(E105/C105*100,0)</f>
        <v>94.998648333324368</v>
      </c>
      <c r="H105" s="269">
        <f t="shared" ref="H105:AE105" si="55">H107+H108</f>
        <v>11190.229159999999</v>
      </c>
      <c r="I105" s="269">
        <f t="shared" si="55"/>
        <v>6245.2199999999993</v>
      </c>
      <c r="J105" s="269">
        <f t="shared" si="55"/>
        <v>27238.03457</v>
      </c>
      <c r="K105" s="269">
        <f t="shared" si="55"/>
        <v>24129.487939999999</v>
      </c>
      <c r="L105" s="269">
        <f t="shared" si="55"/>
        <v>26813.345360000003</v>
      </c>
      <c r="M105" s="269">
        <f>M107+M108</f>
        <v>23112.102060000005</v>
      </c>
      <c r="N105" s="269">
        <f t="shared" si="55"/>
        <v>25328.869559999999</v>
      </c>
      <c r="O105" s="269">
        <f t="shared" si="55"/>
        <v>22247.901040000001</v>
      </c>
      <c r="P105" s="269">
        <f t="shared" si="55"/>
        <v>15304.39856</v>
      </c>
      <c r="Q105" s="269">
        <f t="shared" si="55"/>
        <v>12545.2464</v>
      </c>
      <c r="R105" s="269">
        <f t="shared" si="55"/>
        <v>15557.655559999999</v>
      </c>
      <c r="S105" s="269">
        <f t="shared" si="55"/>
        <v>10955.928029999999</v>
      </c>
      <c r="T105" s="269">
        <f t="shared" si="55"/>
        <v>16994.710560000003</v>
      </c>
      <c r="U105" s="269">
        <f t="shared" si="55"/>
        <v>20481.774150000001</v>
      </c>
      <c r="V105" s="269">
        <f t="shared" si="55"/>
        <v>22129.67956</v>
      </c>
      <c r="W105" s="269">
        <f t="shared" si="55"/>
        <v>19172.702739999997</v>
      </c>
      <c r="X105" s="269">
        <f t="shared" si="55"/>
        <v>27098.116560000002</v>
      </c>
      <c r="Y105" s="269">
        <f t="shared" si="55"/>
        <v>25470.97</v>
      </c>
      <c r="Z105" s="269">
        <f t="shared" si="55"/>
        <v>36558.649559999998</v>
      </c>
      <c r="AA105" s="269">
        <f t="shared" si="55"/>
        <v>37313.519999999997</v>
      </c>
      <c r="AB105" s="269">
        <f t="shared" si="55"/>
        <v>14024.725559999999</v>
      </c>
      <c r="AC105" s="269">
        <f t="shared" si="55"/>
        <v>10624.24</v>
      </c>
      <c r="AD105" s="269">
        <f t="shared" si="55"/>
        <v>21624.58</v>
      </c>
      <c r="AE105" s="269">
        <f t="shared" si="55"/>
        <v>34567.24</v>
      </c>
      <c r="AF105" s="621"/>
    </row>
    <row r="106" spans="1:32" s="489" customFormat="1" ht="15.75" x14ac:dyDescent="0.25">
      <c r="A106" s="1000" t="s">
        <v>169</v>
      </c>
      <c r="B106" s="582">
        <v>0</v>
      </c>
      <c r="C106" s="582">
        <v>0</v>
      </c>
      <c r="D106" s="582">
        <v>0</v>
      </c>
      <c r="E106" s="582">
        <v>0</v>
      </c>
      <c r="F106" s="367">
        <f t="shared" si="51"/>
        <v>0</v>
      </c>
      <c r="G106" s="367">
        <f>IFERROR(E106/C106*100,0)</f>
        <v>0</v>
      </c>
      <c r="H106" s="582">
        <v>0</v>
      </c>
      <c r="I106" s="582">
        <v>0</v>
      </c>
      <c r="J106" s="582">
        <v>0</v>
      </c>
      <c r="K106" s="582">
        <v>0</v>
      </c>
      <c r="L106" s="582">
        <v>0</v>
      </c>
      <c r="M106" s="582">
        <v>0</v>
      </c>
      <c r="N106" s="582">
        <v>0</v>
      </c>
      <c r="O106" s="582">
        <v>0</v>
      </c>
      <c r="P106" s="582">
        <v>0</v>
      </c>
      <c r="Q106" s="582">
        <v>0</v>
      </c>
      <c r="R106" s="582">
        <v>0</v>
      </c>
      <c r="S106" s="582">
        <v>0</v>
      </c>
      <c r="T106" s="582">
        <v>0</v>
      </c>
      <c r="U106" s="582">
        <v>0</v>
      </c>
      <c r="V106" s="582">
        <v>0</v>
      </c>
      <c r="W106" s="582">
        <v>0</v>
      </c>
      <c r="X106" s="582">
        <v>0</v>
      </c>
      <c r="Y106" s="582">
        <v>0</v>
      </c>
      <c r="Z106" s="582">
        <v>0</v>
      </c>
      <c r="AA106" s="582">
        <v>0</v>
      </c>
      <c r="AB106" s="582">
        <v>0</v>
      </c>
      <c r="AC106" s="582">
        <v>0</v>
      </c>
      <c r="AD106" s="582">
        <v>0</v>
      </c>
      <c r="AE106" s="582">
        <v>0</v>
      </c>
      <c r="AF106" s="622"/>
    </row>
    <row r="107" spans="1:32" s="489" customFormat="1" ht="15.75" x14ac:dyDescent="0.25">
      <c r="A107" s="1014" t="s">
        <v>32</v>
      </c>
      <c r="B107" s="582">
        <v>1587.5</v>
      </c>
      <c r="C107" s="582">
        <v>1587.5</v>
      </c>
      <c r="D107" s="582">
        <v>1587.4699999999998</v>
      </c>
      <c r="E107" s="582">
        <v>1587.4699999999998</v>
      </c>
      <c r="F107" s="367">
        <f t="shared" si="51"/>
        <v>99.998110236220455</v>
      </c>
      <c r="G107" s="367">
        <f>IFERROR(E107/C107*100,0)</f>
        <v>99.998110236220455</v>
      </c>
      <c r="H107" s="582">
        <v>526.79999999999995</v>
      </c>
      <c r="I107" s="582">
        <v>248.69</v>
      </c>
      <c r="J107" s="582">
        <v>68.5</v>
      </c>
      <c r="K107" s="582">
        <v>129.43</v>
      </c>
      <c r="L107" s="582">
        <v>0</v>
      </c>
      <c r="M107" s="582">
        <v>217.18</v>
      </c>
      <c r="N107" s="582">
        <v>0</v>
      </c>
      <c r="O107" s="582">
        <v>0</v>
      </c>
      <c r="P107" s="582">
        <v>0</v>
      </c>
      <c r="Q107" s="582">
        <v>0</v>
      </c>
      <c r="R107" s="582">
        <v>0</v>
      </c>
      <c r="S107" s="582">
        <v>0</v>
      </c>
      <c r="T107" s="582">
        <v>0</v>
      </c>
      <c r="U107" s="582">
        <v>0</v>
      </c>
      <c r="V107" s="582">
        <v>0</v>
      </c>
      <c r="W107" s="582">
        <v>0</v>
      </c>
      <c r="X107" s="582">
        <v>0</v>
      </c>
      <c r="Y107" s="582">
        <v>0</v>
      </c>
      <c r="Z107" s="582">
        <v>992.2</v>
      </c>
      <c r="AA107" s="582">
        <v>992.17</v>
      </c>
      <c r="AB107" s="582">
        <v>0</v>
      </c>
      <c r="AC107" s="582">
        <v>0</v>
      </c>
      <c r="AD107" s="582">
        <v>0</v>
      </c>
      <c r="AE107" s="582">
        <v>0</v>
      </c>
      <c r="AF107" s="622"/>
    </row>
    <row r="108" spans="1:32" s="489" customFormat="1" ht="15.75" x14ac:dyDescent="0.25">
      <c r="A108" s="1014" t="s">
        <v>33</v>
      </c>
      <c r="B108" s="582">
        <v>258275.49456999995</v>
      </c>
      <c r="C108" s="582">
        <v>258275.49456999995</v>
      </c>
      <c r="D108" s="582">
        <v>245278.86236000003</v>
      </c>
      <c r="E108" s="582">
        <v>245278.86236000003</v>
      </c>
      <c r="F108" s="367">
        <f t="shared" si="51"/>
        <v>94.967918953504324</v>
      </c>
      <c r="G108" s="367">
        <f>IFERROR(E108/C108*100,0)</f>
        <v>94.967918953504324</v>
      </c>
      <c r="H108" s="582">
        <v>10663.42916</v>
      </c>
      <c r="I108" s="582">
        <v>5996.53</v>
      </c>
      <c r="J108" s="582">
        <v>27169.53457</v>
      </c>
      <c r="K108" s="582">
        <v>24000.057939999999</v>
      </c>
      <c r="L108" s="582">
        <v>26813.345360000003</v>
      </c>
      <c r="M108" s="582">
        <v>22894.922060000004</v>
      </c>
      <c r="N108" s="582">
        <v>25328.869559999999</v>
      </c>
      <c r="O108" s="582">
        <v>22247.901040000001</v>
      </c>
      <c r="P108" s="582">
        <v>15304.39856</v>
      </c>
      <c r="Q108" s="582">
        <v>12545.2464</v>
      </c>
      <c r="R108" s="582">
        <v>15557.655559999999</v>
      </c>
      <c r="S108" s="582">
        <v>10955.928029999999</v>
      </c>
      <c r="T108" s="582">
        <v>16994.710560000003</v>
      </c>
      <c r="U108" s="582">
        <v>20481.774150000001</v>
      </c>
      <c r="V108" s="582">
        <v>22129.67956</v>
      </c>
      <c r="W108" s="582">
        <v>19172.702739999997</v>
      </c>
      <c r="X108" s="582">
        <v>27098.116560000002</v>
      </c>
      <c r="Y108" s="582">
        <v>25470.97</v>
      </c>
      <c r="Z108" s="582">
        <v>35566.449560000001</v>
      </c>
      <c r="AA108" s="582">
        <v>36321.35</v>
      </c>
      <c r="AB108" s="582">
        <v>14024.725559999999</v>
      </c>
      <c r="AC108" s="582">
        <v>10624.24</v>
      </c>
      <c r="AD108" s="582">
        <v>21624.58</v>
      </c>
      <c r="AE108" s="582">
        <v>34567.24</v>
      </c>
      <c r="AF108" s="622"/>
    </row>
    <row r="109" spans="1:32" s="489" customFormat="1" ht="31.5" x14ac:dyDescent="0.25">
      <c r="A109" s="1003" t="s">
        <v>174</v>
      </c>
      <c r="B109" s="582">
        <v>0</v>
      </c>
      <c r="C109" s="582">
        <v>0</v>
      </c>
      <c r="D109" s="582">
        <v>0</v>
      </c>
      <c r="E109" s="582">
        <v>0</v>
      </c>
      <c r="F109" s="367">
        <f t="shared" si="51"/>
        <v>0</v>
      </c>
      <c r="G109" s="367">
        <f>IFERROR(E109/C109*100,0)</f>
        <v>0</v>
      </c>
      <c r="H109" s="582">
        <v>0</v>
      </c>
      <c r="I109" s="582">
        <v>0</v>
      </c>
      <c r="J109" s="582">
        <v>0</v>
      </c>
      <c r="K109" s="582">
        <v>0</v>
      </c>
      <c r="L109" s="582">
        <v>0</v>
      </c>
      <c r="M109" s="582">
        <v>0</v>
      </c>
      <c r="N109" s="582">
        <v>0</v>
      </c>
      <c r="O109" s="582">
        <v>0</v>
      </c>
      <c r="P109" s="582">
        <v>0</v>
      </c>
      <c r="Q109" s="582">
        <v>0</v>
      </c>
      <c r="R109" s="582">
        <v>0</v>
      </c>
      <c r="S109" s="582">
        <v>0</v>
      </c>
      <c r="T109" s="582">
        <v>0</v>
      </c>
      <c r="U109" s="582">
        <v>0</v>
      </c>
      <c r="V109" s="582">
        <v>0</v>
      </c>
      <c r="W109" s="582">
        <v>0</v>
      </c>
      <c r="X109" s="582">
        <v>0</v>
      </c>
      <c r="Y109" s="582">
        <v>0</v>
      </c>
      <c r="Z109" s="582">
        <v>0</v>
      </c>
      <c r="AA109" s="582">
        <v>0</v>
      </c>
      <c r="AB109" s="582">
        <v>0</v>
      </c>
      <c r="AC109" s="582">
        <v>0</v>
      </c>
      <c r="AD109" s="582">
        <v>0</v>
      </c>
      <c r="AE109" s="582">
        <v>0</v>
      </c>
      <c r="AF109" s="622"/>
    </row>
    <row r="110" spans="1:32" s="489" customFormat="1" ht="15.75" x14ac:dyDescent="0.25">
      <c r="A110" s="999" t="s">
        <v>221</v>
      </c>
      <c r="B110" s="582">
        <v>0</v>
      </c>
      <c r="C110" s="582">
        <v>0</v>
      </c>
      <c r="D110" s="582">
        <v>0</v>
      </c>
      <c r="E110" s="582">
        <v>0</v>
      </c>
      <c r="F110" s="367">
        <f t="shared" si="51"/>
        <v>0</v>
      </c>
      <c r="G110" s="367">
        <f>IFERROR(E110/C110*100,0)</f>
        <v>0</v>
      </c>
      <c r="H110" s="582">
        <v>0</v>
      </c>
      <c r="I110" s="582">
        <v>0</v>
      </c>
      <c r="J110" s="582">
        <v>0</v>
      </c>
      <c r="K110" s="582">
        <v>0</v>
      </c>
      <c r="L110" s="582">
        <v>0</v>
      </c>
      <c r="M110" s="582">
        <v>0</v>
      </c>
      <c r="N110" s="582">
        <v>0</v>
      </c>
      <c r="O110" s="582">
        <v>0</v>
      </c>
      <c r="P110" s="582">
        <v>0</v>
      </c>
      <c r="Q110" s="582">
        <v>0</v>
      </c>
      <c r="R110" s="582">
        <v>0</v>
      </c>
      <c r="S110" s="582">
        <v>0</v>
      </c>
      <c r="T110" s="582">
        <v>0</v>
      </c>
      <c r="U110" s="582">
        <v>0</v>
      </c>
      <c r="V110" s="582">
        <v>0</v>
      </c>
      <c r="W110" s="582">
        <v>0</v>
      </c>
      <c r="X110" s="582">
        <v>0</v>
      </c>
      <c r="Y110" s="582">
        <v>0</v>
      </c>
      <c r="Z110" s="582">
        <v>0</v>
      </c>
      <c r="AA110" s="582">
        <v>0</v>
      </c>
      <c r="AB110" s="582">
        <v>0</v>
      </c>
      <c r="AC110" s="582">
        <v>0</v>
      </c>
      <c r="AD110" s="582">
        <v>0</v>
      </c>
      <c r="AE110" s="582">
        <v>0</v>
      </c>
      <c r="AF110" s="623"/>
    </row>
    <row r="111" spans="1:32" s="489" customFormat="1" ht="31.5" x14ac:dyDescent="0.25">
      <c r="A111" s="1015" t="s">
        <v>100</v>
      </c>
      <c r="B111" s="371">
        <f>B112+B113+B114+B116</f>
        <v>259862.99456999995</v>
      </c>
      <c r="C111" s="371">
        <f>C112+C113+C114+C116</f>
        <v>259862.99456999995</v>
      </c>
      <c r="D111" s="371">
        <f>D112+D113+D114+D116</f>
        <v>246866.33236000003</v>
      </c>
      <c r="E111" s="371">
        <f>E112+E113+E114+E116</f>
        <v>246866.33236000003</v>
      </c>
      <c r="F111" s="371">
        <f t="shared" si="51"/>
        <v>94.998648333324368</v>
      </c>
      <c r="G111" s="371">
        <f t="shared" ref="G111" si="56">IFERROR(E111/C111*100,0)</f>
        <v>94.998648333324368</v>
      </c>
      <c r="H111" s="371">
        <f t="shared" ref="H111:AE111" si="57">H112+H113+H114+H116</f>
        <v>11190.229159999999</v>
      </c>
      <c r="I111" s="371">
        <f t="shared" si="57"/>
        <v>6245.2199999999993</v>
      </c>
      <c r="J111" s="371">
        <f t="shared" si="57"/>
        <v>27238.03457</v>
      </c>
      <c r="K111" s="371">
        <f t="shared" si="57"/>
        <v>24129.487939999999</v>
      </c>
      <c r="L111" s="371">
        <f>L112+L113+L114+L116</f>
        <v>26813.345360000003</v>
      </c>
      <c r="M111" s="371">
        <f t="shared" si="57"/>
        <v>23112.102060000005</v>
      </c>
      <c r="N111" s="371">
        <f t="shared" si="57"/>
        <v>25328.869559999999</v>
      </c>
      <c r="O111" s="371">
        <f t="shared" si="57"/>
        <v>22247.901040000001</v>
      </c>
      <c r="P111" s="371">
        <f t="shared" si="57"/>
        <v>15304.39856</v>
      </c>
      <c r="Q111" s="371">
        <f t="shared" si="57"/>
        <v>12545.2464</v>
      </c>
      <c r="R111" s="371">
        <f t="shared" si="57"/>
        <v>15557.655559999999</v>
      </c>
      <c r="S111" s="371">
        <f t="shared" si="57"/>
        <v>10955.928029999999</v>
      </c>
      <c r="T111" s="371">
        <f t="shared" si="57"/>
        <v>16994.710560000003</v>
      </c>
      <c r="U111" s="371">
        <f t="shared" si="57"/>
        <v>20481.774150000001</v>
      </c>
      <c r="V111" s="371">
        <f t="shared" si="57"/>
        <v>22129.67956</v>
      </c>
      <c r="W111" s="371">
        <f t="shared" si="57"/>
        <v>19172.702739999997</v>
      </c>
      <c r="X111" s="371">
        <f t="shared" si="57"/>
        <v>27098.116560000002</v>
      </c>
      <c r="Y111" s="371">
        <f t="shared" si="57"/>
        <v>25470.97</v>
      </c>
      <c r="Z111" s="371">
        <f t="shared" si="57"/>
        <v>36558.649559999998</v>
      </c>
      <c r="AA111" s="371">
        <f t="shared" si="57"/>
        <v>37313.519999999997</v>
      </c>
      <c r="AB111" s="371">
        <f t="shared" si="57"/>
        <v>14024.725559999999</v>
      </c>
      <c r="AC111" s="371">
        <f t="shared" si="57"/>
        <v>10624.24</v>
      </c>
      <c r="AD111" s="371">
        <f t="shared" si="57"/>
        <v>21624.58</v>
      </c>
      <c r="AE111" s="371">
        <f t="shared" si="57"/>
        <v>34567.24</v>
      </c>
      <c r="AF111" s="621"/>
    </row>
    <row r="112" spans="1:32" s="489" customFormat="1" ht="15.75" x14ac:dyDescent="0.25">
      <c r="A112" s="1000" t="s">
        <v>169</v>
      </c>
      <c r="B112" s="580">
        <f>B100+B7+B44+B65+B72+B79+B86+B93</f>
        <v>0</v>
      </c>
      <c r="C112" s="582">
        <v>0</v>
      </c>
      <c r="D112" s="582">
        <v>0</v>
      </c>
      <c r="E112" s="582">
        <v>0</v>
      </c>
      <c r="F112" s="367">
        <f t="shared" si="51"/>
        <v>0</v>
      </c>
      <c r="G112" s="367">
        <f>IFERROR(E112/C112*100,0)</f>
        <v>0</v>
      </c>
      <c r="H112" s="582">
        <v>0</v>
      </c>
      <c r="I112" s="582">
        <v>0</v>
      </c>
      <c r="J112" s="582">
        <v>0</v>
      </c>
      <c r="K112" s="582">
        <v>0</v>
      </c>
      <c r="L112" s="582">
        <v>0</v>
      </c>
      <c r="M112" s="582">
        <v>0</v>
      </c>
      <c r="N112" s="582">
        <v>0</v>
      </c>
      <c r="O112" s="582">
        <v>0</v>
      </c>
      <c r="P112" s="582">
        <v>0</v>
      </c>
      <c r="Q112" s="582">
        <v>0</v>
      </c>
      <c r="R112" s="582">
        <v>0</v>
      </c>
      <c r="S112" s="582">
        <v>0</v>
      </c>
      <c r="T112" s="582">
        <v>0</v>
      </c>
      <c r="U112" s="582">
        <v>0</v>
      </c>
      <c r="V112" s="582">
        <v>0</v>
      </c>
      <c r="W112" s="582">
        <v>0</v>
      </c>
      <c r="X112" s="582">
        <v>0</v>
      </c>
      <c r="Y112" s="582">
        <v>0</v>
      </c>
      <c r="Z112" s="582">
        <v>0</v>
      </c>
      <c r="AA112" s="582">
        <v>0</v>
      </c>
      <c r="AB112" s="582">
        <v>0</v>
      </c>
      <c r="AC112" s="582">
        <v>0</v>
      </c>
      <c r="AD112" s="582">
        <v>0</v>
      </c>
      <c r="AE112" s="582">
        <v>0</v>
      </c>
      <c r="AF112" s="622"/>
    </row>
    <row r="113" spans="1:32" s="489" customFormat="1" ht="15.75" x14ac:dyDescent="0.25">
      <c r="A113" s="1014" t="s">
        <v>32</v>
      </c>
      <c r="B113" s="580">
        <f>B101+B10+B45+B66+B73+B80+B87+B94</f>
        <v>1587.5</v>
      </c>
      <c r="C113" s="582">
        <f>C101+C10+C45+C66+C73+C80+C87+C94</f>
        <v>1587.5</v>
      </c>
      <c r="D113" s="582">
        <f t="shared" ref="D113:AE113" si="58">D101+D10+D45+D66+D73+D80+D87+D94</f>
        <v>1587.4699999999998</v>
      </c>
      <c r="E113" s="582">
        <f t="shared" si="58"/>
        <v>1587.4699999999998</v>
      </c>
      <c r="F113" s="367">
        <f t="shared" si="51"/>
        <v>99.998110236220455</v>
      </c>
      <c r="G113" s="367">
        <f>IFERROR(E113/C113*100,0)</f>
        <v>99.998110236220455</v>
      </c>
      <c r="H113" s="582">
        <f t="shared" si="58"/>
        <v>526.79999999999995</v>
      </c>
      <c r="I113" s="582">
        <f t="shared" si="58"/>
        <v>248.69</v>
      </c>
      <c r="J113" s="582">
        <f t="shared" si="58"/>
        <v>68.5</v>
      </c>
      <c r="K113" s="582">
        <f t="shared" si="58"/>
        <v>129.43</v>
      </c>
      <c r="L113" s="582">
        <f t="shared" si="58"/>
        <v>0</v>
      </c>
      <c r="M113" s="582">
        <f t="shared" si="58"/>
        <v>217.18</v>
      </c>
      <c r="N113" s="582">
        <f t="shared" si="58"/>
        <v>0</v>
      </c>
      <c r="O113" s="582">
        <f t="shared" si="58"/>
        <v>0</v>
      </c>
      <c r="P113" s="582">
        <f t="shared" si="58"/>
        <v>0</v>
      </c>
      <c r="Q113" s="582">
        <f t="shared" si="58"/>
        <v>0</v>
      </c>
      <c r="R113" s="582">
        <f t="shared" si="58"/>
        <v>0</v>
      </c>
      <c r="S113" s="582">
        <f t="shared" si="58"/>
        <v>0</v>
      </c>
      <c r="T113" s="582">
        <f t="shared" si="58"/>
        <v>0</v>
      </c>
      <c r="U113" s="582">
        <f t="shared" si="58"/>
        <v>0</v>
      </c>
      <c r="V113" s="582">
        <f t="shared" si="58"/>
        <v>0</v>
      </c>
      <c r="W113" s="582">
        <f t="shared" si="58"/>
        <v>0</v>
      </c>
      <c r="X113" s="582">
        <f t="shared" si="58"/>
        <v>0</v>
      </c>
      <c r="Y113" s="582">
        <f t="shared" si="58"/>
        <v>0</v>
      </c>
      <c r="Z113" s="582">
        <f t="shared" si="58"/>
        <v>992.2</v>
      </c>
      <c r="AA113" s="582">
        <f t="shared" si="58"/>
        <v>992.17</v>
      </c>
      <c r="AB113" s="582">
        <f t="shared" si="58"/>
        <v>0</v>
      </c>
      <c r="AC113" s="582">
        <f t="shared" si="58"/>
        <v>0</v>
      </c>
      <c r="AD113" s="582">
        <f t="shared" si="58"/>
        <v>0</v>
      </c>
      <c r="AE113" s="582">
        <f t="shared" si="58"/>
        <v>0</v>
      </c>
      <c r="AF113" s="622"/>
    </row>
    <row r="114" spans="1:32" s="489" customFormat="1" ht="15.75" x14ac:dyDescent="0.25">
      <c r="A114" s="1014" t="s">
        <v>33</v>
      </c>
      <c r="B114" s="580">
        <f>B102+B11+B46+B67+B74+B81+B88+B95</f>
        <v>258275.49456999995</v>
      </c>
      <c r="C114" s="582">
        <v>258275.49456999995</v>
      </c>
      <c r="D114" s="582">
        <v>245278.86236000003</v>
      </c>
      <c r="E114" s="582">
        <v>245278.86236000003</v>
      </c>
      <c r="F114" s="367">
        <f t="shared" si="51"/>
        <v>94.967918953504324</v>
      </c>
      <c r="G114" s="367">
        <f>IFERROR(E114/C114*100,0)</f>
        <v>94.967918953504324</v>
      </c>
      <c r="H114" s="582">
        <v>10663.42916</v>
      </c>
      <c r="I114" s="582">
        <v>5996.53</v>
      </c>
      <c r="J114" s="582">
        <v>27169.53457</v>
      </c>
      <c r="K114" s="582">
        <v>24000.057939999999</v>
      </c>
      <c r="L114" s="582">
        <v>26813.345360000003</v>
      </c>
      <c r="M114" s="582">
        <v>22894.922060000004</v>
      </c>
      <c r="N114" s="582">
        <v>25328.869559999999</v>
      </c>
      <c r="O114" s="582">
        <v>22247.901040000001</v>
      </c>
      <c r="P114" s="582">
        <v>15304.39856</v>
      </c>
      <c r="Q114" s="582">
        <v>12545.2464</v>
      </c>
      <c r="R114" s="582">
        <v>15557.655559999999</v>
      </c>
      <c r="S114" s="582">
        <v>10955.928029999999</v>
      </c>
      <c r="T114" s="582">
        <v>16994.710560000003</v>
      </c>
      <c r="U114" s="582">
        <v>20481.774150000001</v>
      </c>
      <c r="V114" s="582">
        <v>22129.67956</v>
      </c>
      <c r="W114" s="582">
        <v>19172.702739999997</v>
      </c>
      <c r="X114" s="582">
        <v>27098.116560000002</v>
      </c>
      <c r="Y114" s="582">
        <v>25470.97</v>
      </c>
      <c r="Z114" s="582">
        <v>35566.449560000001</v>
      </c>
      <c r="AA114" s="582">
        <v>36321.35</v>
      </c>
      <c r="AB114" s="582">
        <v>14024.725559999999</v>
      </c>
      <c r="AC114" s="582">
        <v>10624.24</v>
      </c>
      <c r="AD114" s="582">
        <v>21624.58</v>
      </c>
      <c r="AE114" s="582">
        <v>34567.24</v>
      </c>
      <c r="AF114" s="622"/>
    </row>
    <row r="115" spans="1:32" s="489" customFormat="1" ht="31.5" x14ac:dyDescent="0.25">
      <c r="A115" s="1003" t="s">
        <v>174</v>
      </c>
      <c r="B115" s="580">
        <f t="shared" ref="B115:B116" si="59">B103+B12+B47+B68+B75+B82+B89+B96</f>
        <v>0</v>
      </c>
      <c r="C115" s="582">
        <v>0</v>
      </c>
      <c r="D115" s="582">
        <v>0</v>
      </c>
      <c r="E115" s="582">
        <v>0</v>
      </c>
      <c r="F115" s="367">
        <f t="shared" si="51"/>
        <v>0</v>
      </c>
      <c r="G115" s="367">
        <f>IFERROR(E115/C115*100,0)</f>
        <v>0</v>
      </c>
      <c r="H115" s="582">
        <v>0</v>
      </c>
      <c r="I115" s="582">
        <v>0</v>
      </c>
      <c r="J115" s="582">
        <v>0</v>
      </c>
      <c r="K115" s="582">
        <v>0</v>
      </c>
      <c r="L115" s="582">
        <v>0</v>
      </c>
      <c r="M115" s="582">
        <v>0</v>
      </c>
      <c r="N115" s="582">
        <v>0</v>
      </c>
      <c r="O115" s="582">
        <v>0</v>
      </c>
      <c r="P115" s="582">
        <v>0</v>
      </c>
      <c r="Q115" s="582">
        <v>0</v>
      </c>
      <c r="R115" s="582">
        <v>0</v>
      </c>
      <c r="S115" s="582">
        <v>0</v>
      </c>
      <c r="T115" s="582">
        <v>0</v>
      </c>
      <c r="U115" s="582">
        <v>0</v>
      </c>
      <c r="V115" s="582">
        <v>0</v>
      </c>
      <c r="W115" s="582">
        <v>0</v>
      </c>
      <c r="X115" s="582">
        <v>0</v>
      </c>
      <c r="Y115" s="582">
        <v>0</v>
      </c>
      <c r="Z115" s="582">
        <v>0</v>
      </c>
      <c r="AA115" s="582">
        <v>0</v>
      </c>
      <c r="AB115" s="582">
        <v>0</v>
      </c>
      <c r="AC115" s="582">
        <v>0</v>
      </c>
      <c r="AD115" s="582">
        <v>0</v>
      </c>
      <c r="AE115" s="582">
        <v>0</v>
      </c>
      <c r="AF115" s="622"/>
    </row>
    <row r="116" spans="1:32" s="489" customFormat="1" ht="15.75" x14ac:dyDescent="0.25">
      <c r="A116" s="999" t="s">
        <v>221</v>
      </c>
      <c r="B116" s="580">
        <f t="shared" si="59"/>
        <v>0</v>
      </c>
      <c r="C116" s="582">
        <v>0</v>
      </c>
      <c r="D116" s="582">
        <v>0</v>
      </c>
      <c r="E116" s="582">
        <v>0</v>
      </c>
      <c r="F116" s="367">
        <f t="shared" si="51"/>
        <v>0</v>
      </c>
      <c r="G116" s="367">
        <f>IFERROR(E116/C116*100,0)</f>
        <v>0</v>
      </c>
      <c r="H116" s="582">
        <v>0</v>
      </c>
      <c r="I116" s="582">
        <v>0</v>
      </c>
      <c r="J116" s="582">
        <v>0</v>
      </c>
      <c r="K116" s="582">
        <v>0</v>
      </c>
      <c r="L116" s="582">
        <v>0</v>
      </c>
      <c r="M116" s="582">
        <v>0</v>
      </c>
      <c r="N116" s="582">
        <v>0</v>
      </c>
      <c r="O116" s="582">
        <v>0</v>
      </c>
      <c r="P116" s="582">
        <v>0</v>
      </c>
      <c r="Q116" s="582">
        <v>0</v>
      </c>
      <c r="R116" s="582">
        <v>0</v>
      </c>
      <c r="S116" s="582">
        <v>0</v>
      </c>
      <c r="T116" s="582">
        <v>0</v>
      </c>
      <c r="U116" s="582">
        <v>0</v>
      </c>
      <c r="V116" s="582">
        <v>0</v>
      </c>
      <c r="W116" s="582">
        <v>0</v>
      </c>
      <c r="X116" s="582">
        <v>0</v>
      </c>
      <c r="Y116" s="582">
        <v>0</v>
      </c>
      <c r="Z116" s="582">
        <v>0</v>
      </c>
      <c r="AA116" s="582">
        <v>0</v>
      </c>
      <c r="AB116" s="582">
        <v>0</v>
      </c>
      <c r="AC116" s="582">
        <v>0</v>
      </c>
      <c r="AD116" s="582">
        <v>0</v>
      </c>
      <c r="AE116" s="582">
        <v>0</v>
      </c>
      <c r="AF116" s="623"/>
    </row>
    <row r="117" spans="1:32" ht="15.75" x14ac:dyDescent="0.25">
      <c r="A117" s="1016"/>
      <c r="B117" s="1016"/>
      <c r="C117" s="1016"/>
      <c r="D117" s="1016"/>
      <c r="E117" s="1016"/>
      <c r="F117" s="1016"/>
      <c r="G117" s="1016"/>
      <c r="H117" s="1016"/>
      <c r="I117" s="1016"/>
      <c r="J117" s="1016"/>
      <c r="K117" s="1016"/>
      <c r="L117" s="1016"/>
      <c r="M117" s="1016"/>
      <c r="N117" s="1016"/>
      <c r="O117" s="1016"/>
      <c r="P117" s="1016"/>
      <c r="Q117" s="1016"/>
      <c r="R117" s="1016"/>
      <c r="S117" s="1016"/>
      <c r="T117" s="1016"/>
      <c r="U117" s="1016"/>
      <c r="V117" s="1016"/>
      <c r="W117" s="1016"/>
      <c r="X117" s="1016"/>
      <c r="Y117" s="1016"/>
      <c r="Z117" s="1016"/>
      <c r="AA117" s="1016"/>
      <c r="AB117" s="1016"/>
      <c r="AC117" s="1016"/>
      <c r="AD117" s="1016"/>
      <c r="AE117" s="1016"/>
    </row>
  </sheetData>
  <customSheetViews>
    <customSheetView guid="{7C130984-112A-4861-AA43-E2940708E3DC}" scale="55" state="hidden">
      <pane xSplit="7" ySplit="7" topLeftCell="H89" activePane="bottomRight" state="frozen"/>
      <selection pane="bottomRight" activeCell="R129" sqref="R129"/>
      <pageMargins left="0.7" right="0.7" top="0.75" bottom="0.75" header="0.3" footer="0.3"/>
      <pageSetup paperSize="9" orientation="portrait" r:id="rId1"/>
    </customSheetView>
    <customSheetView guid="{533DC55B-6AD4-4674-9488-685EF2039F3E}" scale="55" state="hidden">
      <pane xSplit="7" ySplit="7" topLeftCell="H89" activePane="bottomRight" state="frozen"/>
      <selection pane="bottomRight" activeCell="R129" sqref="R129"/>
      <pageMargins left="0.7" right="0.7" top="0.75" bottom="0.75" header="0.3" footer="0.3"/>
      <pageSetup paperSize="9" orientation="portrait" r:id="rId2"/>
    </customSheetView>
    <customSheetView guid="{09C3E205-981E-4A4E-BE89-8B7044192060}" scale="55">
      <pane xSplit="7" ySplit="7" topLeftCell="H89" activePane="bottomRight" state="frozen"/>
      <selection pane="bottomRight" activeCell="R129" sqref="R129"/>
      <pageMargins left="0.7" right="0.7" top="0.75" bottom="0.75" header="0.3" footer="0.3"/>
      <pageSetup paperSize="9" orientation="portrait" r:id="rId3"/>
    </customSheetView>
    <customSheetView guid="{B1BF08D1-D416-4B47-ADD0-4F59132DC9E8}" scale="55">
      <pane xSplit="7" ySplit="7" topLeftCell="H89" activePane="bottomRight" state="frozen"/>
      <selection pane="bottomRight" activeCell="R129" sqref="R129"/>
      <pageMargins left="0.7" right="0.7" top="0.75" bottom="0.75" header="0.3" footer="0.3"/>
      <pageSetup paperSize="9" orientation="portrait" r:id="rId4"/>
    </customSheetView>
    <customSheetView guid="{4F41B9CC-959D-442C-80B0-1F0DB2C76D27}" scale="55">
      <pane xSplit="7" ySplit="7" topLeftCell="H89" activePane="bottomRight" state="frozen"/>
      <selection pane="bottomRight" activeCell="R129" sqref="R129"/>
      <pageMargins left="0.7" right="0.7" top="0.75" bottom="0.75" header="0.3" footer="0.3"/>
      <pageSetup paperSize="9" orientation="portrait" r:id="rId5"/>
    </customSheetView>
    <customSheetView guid="{84867370-1F3E-4368-AF79-FBCE46FFFE92}" scale="55">
      <pane xSplit="7" ySplit="7" topLeftCell="H89" activePane="bottomRight" state="frozen"/>
      <selection pane="bottomRight" activeCell="R129" sqref="R129"/>
      <pageMargins left="0.7" right="0.7" top="0.75" bottom="0.75" header="0.3" footer="0.3"/>
      <pageSetup paperSize="9" orientation="portrait" r:id="rId6"/>
    </customSheetView>
    <customSheetView guid="{E508E171-4ED9-4B07-84DF-DA28C60E1969}" scale="55">
      <pane xSplit="7" ySplit="7" topLeftCell="H8" activePane="bottomRight" state="frozen"/>
      <selection pane="bottomRight" activeCell="AF78" sqref="AF78"/>
      <pageMargins left="0.7" right="0.7" top="0.75" bottom="0.75" header="0.3" footer="0.3"/>
      <pageSetup paperSize="9" orientation="portrait" r:id="rId7"/>
    </customSheetView>
    <customSheetView guid="{602C8EDB-B9EF-4C85-B0D5-0558C3A0ABAB}" scale="55">
      <pane xSplit="7" ySplit="7" topLeftCell="H8" activePane="bottomRight" state="frozen"/>
      <selection pane="bottomRight" activeCell="I19" sqref="I19"/>
      <pageMargins left="0.7" right="0.7" top="0.75" bottom="0.75" header="0.3" footer="0.3"/>
    </customSheetView>
    <customSheetView guid="{84B3377A-1CDD-4881-99FA-112F8B470D6F}" scale="55">
      <pane xSplit="7" ySplit="7" topLeftCell="H8" activePane="bottomRight" state="frozen"/>
      <selection pane="bottomRight" activeCell="I19" sqref="I19"/>
      <pageMargins left="0.7" right="0.7" top="0.75" bottom="0.75" header="0.3" footer="0.3"/>
    </customSheetView>
    <customSheetView guid="{87218168-6C8E-4D5B-A5E5-DCCC26803AA3}" scale="55">
      <pane xSplit="7" ySplit="7" topLeftCell="H8" activePane="bottomRight" state="frozen"/>
      <selection pane="bottomRight" activeCell="I19" sqref="I19"/>
      <pageMargins left="0.7" right="0.7" top="0.75" bottom="0.75" header="0.3" footer="0.3"/>
    </customSheetView>
    <customSheetView guid="{6A602CB8-B24C-4ED4-B378-B27354BE0A1A}" scale="55">
      <pane xSplit="7" ySplit="7" topLeftCell="H8" activePane="bottomRight" state="frozen"/>
      <selection pane="bottomRight" activeCell="I19" sqref="I19"/>
      <pageMargins left="0.7" right="0.7" top="0.75" bottom="0.75" header="0.3" footer="0.3"/>
    </customSheetView>
    <customSheetView guid="{D01FA037-9AEC-4167-ADB8-2F327C01ECE6}" scale="55">
      <pane xSplit="7" ySplit="7" topLeftCell="H8" activePane="bottomRight" state="frozen"/>
      <selection pane="bottomRight" activeCell="I19" sqref="I19"/>
      <pageMargins left="0.7" right="0.7" top="0.75" bottom="0.75" header="0.3" footer="0.3"/>
    </customSheetView>
    <customSheetView guid="{74870EE6-26B9-40F7-9DC9-260EF16D8959}" scale="55">
      <pane xSplit="7" ySplit="7" topLeftCell="H8" activePane="bottomRight" state="frozen"/>
      <selection pane="bottomRight" activeCell="I19" sqref="I19"/>
      <pageMargins left="0.7" right="0.7" top="0.75" bottom="0.75" header="0.3" footer="0.3"/>
    </customSheetView>
    <customSheetView guid="{7226EA2B-7866-416F-9240-410CC1BF0336}" scale="55">
      <pane xSplit="7" ySplit="7" topLeftCell="H8" activePane="bottomRight" state="frozen"/>
      <selection pane="bottomRight" activeCell="P126" sqref="P126"/>
      <pageMargins left="0.7" right="0.7" top="0.75" bottom="0.75" header="0.3" footer="0.3"/>
    </customSheetView>
    <customSheetView guid="{F8CAB90F-9980-4EC7-B30B-1637EB515304}" scale="55">
      <pane xSplit="7" ySplit="7" topLeftCell="P44" activePane="bottomRight" state="frozen"/>
      <selection pane="bottomRight" activeCell="AF92" sqref="AF92"/>
      <pageMargins left="0.7" right="0.7" top="0.75" bottom="0.75" header="0.3" footer="0.3"/>
    </customSheetView>
    <customSheetView guid="{415078CD-EB99-432D-90BA-2F3D5A746E20}" scale="55">
      <pane xSplit="7" ySplit="7" topLeftCell="P44" activePane="bottomRight" state="frozen"/>
      <selection pane="bottomRight" activeCell="AF92" sqref="AF92"/>
      <pageMargins left="0.7" right="0.7" top="0.75" bottom="0.75" header="0.3" footer="0.3"/>
    </customSheetView>
    <customSheetView guid="{CB4792DB-A624-4844-AEB6-A6ADA80946BB}" scale="80">
      <pane xSplit="7" ySplit="7" topLeftCell="H91" activePane="bottomRight" state="frozen"/>
      <selection pane="bottomRight" activeCell="C108" sqref="C108"/>
      <pageMargins left="0.7" right="0.7" top="0.75" bottom="0.75" header="0.3" footer="0.3"/>
    </customSheetView>
    <customSheetView guid="{0C2B9C2A-7B94-41EF-A2E6-F8AC9A67DE25}" scale="80">
      <pane xSplit="7" ySplit="7" topLeftCell="H91" activePane="bottomRight" state="frozen"/>
      <selection pane="bottomRight" activeCell="C108" sqref="C108"/>
      <pageMargins left="0.7" right="0.7" top="0.75" bottom="0.75" header="0.3" footer="0.3"/>
    </customSheetView>
    <customSheetView guid="{391AB76E-B386-49C1-800F-016A48AA1A46}" scale="80">
      <pane xSplit="7" ySplit="7" topLeftCell="H91" activePane="bottomRight" state="frozen"/>
      <selection pane="bottomRight" activeCell="C108" sqref="C108"/>
      <pageMargins left="0.7" right="0.7" top="0.75" bottom="0.75" header="0.3" footer="0.3"/>
    </customSheetView>
    <customSheetView guid="{959E901C-5DDE-42EE-AE94-AB8976B5E00B}" scale="80">
      <pane xSplit="7" ySplit="7" topLeftCell="AF74" activePane="bottomRight" state="frozen"/>
      <selection pane="bottomRight" activeCell="AF78" sqref="AF78"/>
      <pageMargins left="0.7" right="0.7" top="0.75" bottom="0.75" header="0.3" footer="0.3"/>
    </customSheetView>
    <customSheetView guid="{F679EF4A-C5FD-4B86-B87B-D85968E0F2CA}" scale="80">
      <pane xSplit="7" ySplit="7" topLeftCell="S92" activePane="bottomRight" state="frozen"/>
      <selection pane="bottomRight" activeCell="B101" sqref="B101"/>
      <pageMargins left="0.7" right="0.7" top="0.75" bottom="0.75" header="0.3" footer="0.3"/>
    </customSheetView>
    <customSheetView guid="{009B3074-D8EC-4952-BF50-43CD64449612}" scale="80">
      <pane xSplit="1" ySplit="4" topLeftCell="B11" activePane="bottomRight" state="frozen"/>
      <selection pane="bottomRight" activeCell="H24" sqref="H24"/>
      <pageMargins left="0.7" right="0.7" top="0.75" bottom="0.75" header="0.3" footer="0.3"/>
    </customSheetView>
    <customSheetView guid="{770624BF-07F3-44B6-94C3-4CC447CDD45C}" scale="80">
      <pane xSplit="1" ySplit="4" topLeftCell="C74" activePane="bottomRight" state="frozen"/>
      <selection pane="bottomRight" activeCell="H115" sqref="H115"/>
      <pageMargins left="0.7" right="0.7" top="0.75" bottom="0.75" header="0.3" footer="0.3"/>
    </customSheetView>
    <customSheetView guid="{B82BA08A-1A30-4F4D-A478-74A6BD09EA97}" scale="70">
      <pane xSplit="1" ySplit="4" topLeftCell="B17" activePane="bottomRight" state="frozen"/>
      <selection pane="bottomRight" activeCell="B39" sqref="B39"/>
      <pageMargins left="0.7" right="0.7" top="0.75" bottom="0.75" header="0.3" footer="0.3"/>
    </customSheetView>
    <customSheetView guid="{874882D1-E741-4CCA-BF0D-E72FA60B771D}" scale="70">
      <pane xSplit="1" ySplit="4" topLeftCell="B17" activePane="bottomRight" state="frozen"/>
      <selection pane="bottomRight" activeCell="B39" sqref="B39"/>
      <pageMargins left="0.7" right="0.7" top="0.75" bottom="0.75" header="0.3" footer="0.3"/>
    </customSheetView>
    <customSheetView guid="{C236B307-BD63-48C4-A75F-B3F3717BF55C}" scale="70">
      <pane xSplit="1" ySplit="4" topLeftCell="B17" activePane="bottomRight" state="frozen"/>
      <selection pane="bottomRight" activeCell="B39" sqref="B39"/>
      <pageMargins left="0.7" right="0.7" top="0.75" bottom="0.75" header="0.3" footer="0.3"/>
    </customSheetView>
    <customSheetView guid="{BCD82A82-B724-4763-8580-D765356E09BA}" scale="70">
      <pane ySplit="5" topLeftCell="A6" activePane="bottomLeft" state="frozen"/>
      <selection pane="bottomLeft" sqref="A1:W1"/>
      <pageMargins left="0.7" right="0.7" top="0.75" bottom="0.75" header="0.3" footer="0.3"/>
    </customSheetView>
    <customSheetView guid="{85F4575B-DBC5-482A-9916-255D8F0BC94E}" scale="80">
      <pane xSplit="7" ySplit="7" topLeftCell="AF74" activePane="bottomRight" state="frozen"/>
      <selection pane="bottomRight" activeCell="AF78" sqref="AF78"/>
      <pageMargins left="0.7" right="0.7" top="0.75" bottom="0.75" header="0.3" footer="0.3"/>
    </customSheetView>
    <customSheetView guid="{4D0DFB57-2CBA-42F2-9A97-C453A6851FBA}" scale="80">
      <pane xSplit="7" ySplit="7" topLeftCell="H91" activePane="bottomRight" state="frozen"/>
      <selection pane="bottomRight" activeCell="C108" sqref="C108"/>
      <pageMargins left="0.7" right="0.7" top="0.75" bottom="0.75" header="0.3" footer="0.3"/>
    </customSheetView>
    <customSheetView guid="{CE1CCA00-200D-4EAA-9FBE-F8EE7C5F82FE}" scale="80">
      <pane xSplit="7" ySplit="7" topLeftCell="H91" activePane="bottomRight" state="frozen"/>
      <selection pane="bottomRight" activeCell="C108" sqref="C108"/>
      <pageMargins left="0.7" right="0.7" top="0.75" bottom="0.75" header="0.3" footer="0.3"/>
    </customSheetView>
    <customSheetView guid="{AC2D5927-4079-4C74-AF69-1BFAC505648F}" scale="80">
      <pane xSplit="7" ySplit="7" topLeftCell="H91" activePane="bottomRight" state="frozen"/>
      <selection pane="bottomRight" activeCell="C108" sqref="C108"/>
      <pageMargins left="0.7" right="0.7" top="0.75" bottom="0.75" header="0.3" footer="0.3"/>
    </customSheetView>
    <customSheetView guid="{3C3F523F-5F34-4CF7-831E-F1ABC4278CEB}" scale="80">
      <pane xSplit="7" ySplit="7" topLeftCell="H95" activePane="bottomRight" state="frozen"/>
      <selection pane="bottomRight" activeCell="A6" sqref="A6:AE6"/>
      <pageMargins left="0.7" right="0.7" top="0.75" bottom="0.75" header="0.3" footer="0.3"/>
    </customSheetView>
    <customSheetView guid="{69DABE6F-6182-4403-A4A2-969F10F1C13A}" scale="55">
      <pane xSplit="7" ySplit="7" topLeftCell="H8" activePane="bottomRight" state="frozen"/>
      <selection pane="bottomRight" activeCell="I19" sqref="I19"/>
      <pageMargins left="0.7" right="0.7" top="0.75" bottom="0.75" header="0.3" footer="0.3"/>
    </customSheetView>
    <customSheetView guid="{DAA8A688-7558-4B5B-8DBD-E2629BD9E9A8}" scale="55">
      <pane xSplit="7" ySplit="7" topLeftCell="H8" activePane="bottomRight" state="frozen"/>
      <selection pane="bottomRight" activeCell="I19" sqref="I19"/>
      <pageMargins left="0.7" right="0.7" top="0.75" bottom="0.75" header="0.3" footer="0.3"/>
    </customSheetView>
    <customSheetView guid="{47B983AB-FE5F-4725-860C-A2F29420596D}" scale="55">
      <pane xSplit="7" ySplit="7" topLeftCell="H8" activePane="bottomRight" state="frozen"/>
      <selection pane="bottomRight" activeCell="I19" sqref="I19"/>
      <pageMargins left="0.7" right="0.7" top="0.75" bottom="0.75" header="0.3" footer="0.3"/>
    </customSheetView>
    <customSheetView guid="{442F2C94-DD1B-4A01-8694-513D4D6F3BD9}" scale="55">
      <pane xSplit="7" ySplit="7" topLeftCell="H89" activePane="bottomRight" state="frozen"/>
      <selection pane="bottomRight" activeCell="R129" sqref="R129"/>
      <pageMargins left="0.7" right="0.7" top="0.75" bottom="0.75" header="0.3" footer="0.3"/>
      <pageSetup paperSize="9" orientation="portrait" r:id="rId8"/>
    </customSheetView>
    <customSheetView guid="{472DFAFE-DC7C-463D-92A0-F6A14555FDD6}" scale="55">
      <pane xSplit="7" ySplit="7" topLeftCell="H89" activePane="bottomRight" state="frozen"/>
      <selection pane="bottomRight" activeCell="R129" sqref="R129"/>
      <pageMargins left="0.7" right="0.7" top="0.75" bottom="0.75" header="0.3" footer="0.3"/>
      <pageSetup paperSize="9" orientation="portrait" r:id="rId9"/>
    </customSheetView>
    <customSheetView guid="{B43381A8-767B-4F49-BD2E-0056691293F3}" scale="55">
      <pane xSplit="7" ySplit="7" topLeftCell="H89" activePane="bottomRight" state="frozen"/>
      <selection pane="bottomRight" activeCell="R129" sqref="R129"/>
      <pageMargins left="0.7" right="0.7" top="0.75" bottom="0.75" header="0.3" footer="0.3"/>
      <pageSetup paperSize="9" orientation="portrait" r:id="rId10"/>
    </customSheetView>
  </customSheetViews>
  <mergeCells count="21">
    <mergeCell ref="AB3:AC3"/>
    <mergeCell ref="AD3:AE3"/>
    <mergeCell ref="AF3:AF4"/>
    <mergeCell ref="A6:AE6"/>
    <mergeCell ref="R3:S3"/>
    <mergeCell ref="T3:U3"/>
    <mergeCell ref="V3:W3"/>
    <mergeCell ref="X3:Y3"/>
    <mergeCell ref="Z3:AA3"/>
    <mergeCell ref="A1:W1"/>
    <mergeCell ref="A3:A4"/>
    <mergeCell ref="B3:B4"/>
    <mergeCell ref="C3:C4"/>
    <mergeCell ref="D3:D4"/>
    <mergeCell ref="E3:E4"/>
    <mergeCell ref="F3:G3"/>
    <mergeCell ref="H3:I3"/>
    <mergeCell ref="J3:K3"/>
    <mergeCell ref="L3:M3"/>
    <mergeCell ref="N3:O3"/>
    <mergeCell ref="P3:Q3"/>
  </mergeCells>
  <hyperlinks>
    <hyperlink ref="A1:W1" location="Оглавление!A1" display="Отчет о ходе реализации (сетевой график) муниципальной программы «Содержание объектов городского хозяйства и инженерной инфраструктуры в городе Когалыме» "/>
  </hyperlinks>
  <pageMargins left="0.7" right="0.7" top="0.75" bottom="0.75" header="0.3" footer="0.3"/>
  <pageSetup paperSize="9" orientation="portrait"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7"/>
  <sheetViews>
    <sheetView zoomScale="70" zoomScaleNormal="70" workbookViewId="0">
      <pane xSplit="2" ySplit="7" topLeftCell="W14" activePane="bottomRight" state="frozen"/>
      <selection pane="topRight" activeCell="C1" sqref="C1"/>
      <selection pane="bottomLeft" activeCell="A8" sqref="A8"/>
      <selection pane="bottomRight" activeCell="AF15" sqref="AF15"/>
    </sheetView>
  </sheetViews>
  <sheetFormatPr defaultRowHeight="15" x14ac:dyDescent="0.25"/>
  <cols>
    <col min="1" max="1" width="51.140625" customWidth="1"/>
    <col min="2" max="2" width="17.42578125" customWidth="1"/>
    <col min="3" max="3" width="15.42578125" bestFit="1" customWidth="1"/>
    <col min="4" max="4" width="17" customWidth="1"/>
    <col min="5" max="5" width="15.42578125" bestFit="1" customWidth="1"/>
    <col min="6" max="6" width="16.5703125" bestFit="1" customWidth="1"/>
    <col min="7" max="8" width="13.42578125" bestFit="1" customWidth="1"/>
    <col min="9" max="9" width="13.5703125" bestFit="1" customWidth="1"/>
    <col min="10" max="10" width="17.28515625" bestFit="1" customWidth="1"/>
    <col min="11" max="11" width="13.5703125" bestFit="1" customWidth="1"/>
    <col min="12" max="12" width="14.85546875" bestFit="1" customWidth="1"/>
    <col min="13" max="13" width="13.5703125" bestFit="1" customWidth="1"/>
    <col min="14" max="14" width="17.28515625" bestFit="1" customWidth="1"/>
    <col min="15" max="15" width="13.5703125" bestFit="1" customWidth="1"/>
    <col min="16" max="16" width="17.28515625" bestFit="1" customWidth="1"/>
    <col min="17" max="17" width="13.5703125" bestFit="1" customWidth="1"/>
    <col min="18" max="18" width="17.28515625" bestFit="1" customWidth="1"/>
    <col min="19" max="19" width="13.5703125" bestFit="1" customWidth="1"/>
    <col min="20" max="20" width="17.28515625" bestFit="1" customWidth="1"/>
    <col min="21" max="21" width="13.5703125" bestFit="1" customWidth="1"/>
    <col min="22" max="22" width="17.28515625" bestFit="1" customWidth="1"/>
    <col min="23" max="23" width="13.5703125" bestFit="1" customWidth="1"/>
    <col min="24" max="24" width="13.28515625" customWidth="1"/>
    <col min="25" max="25" width="13.5703125" bestFit="1" customWidth="1"/>
    <col min="26" max="26" width="15.5703125" bestFit="1" customWidth="1"/>
    <col min="27" max="27" width="13.5703125" bestFit="1" customWidth="1"/>
    <col min="28" max="28" width="15.5703125" bestFit="1" customWidth="1"/>
    <col min="29" max="29" width="13.5703125" bestFit="1" customWidth="1"/>
    <col min="30" max="30" width="13.42578125" bestFit="1" customWidth="1"/>
    <col min="31" max="31" width="13.5703125" bestFit="1" customWidth="1"/>
    <col min="32" max="32" width="32.140625" customWidth="1"/>
  </cols>
  <sheetData>
    <row r="1" spans="1:32" ht="18.75" x14ac:dyDescent="0.25">
      <c r="A1" s="1137" t="s">
        <v>0</v>
      </c>
      <c r="B1" s="1137"/>
      <c r="C1" s="1137"/>
      <c r="D1" s="1137"/>
      <c r="E1" s="1137"/>
      <c r="F1" s="1137"/>
      <c r="G1" s="1137"/>
      <c r="H1" s="1137"/>
      <c r="I1" s="1137"/>
      <c r="J1" s="1137"/>
      <c r="K1" s="1137"/>
      <c r="L1" s="1137"/>
      <c r="M1" s="1137"/>
      <c r="N1" s="1137"/>
      <c r="O1" s="1137"/>
      <c r="P1" s="1137"/>
      <c r="Q1" s="1137"/>
      <c r="R1" s="1137"/>
      <c r="S1" s="1137"/>
      <c r="T1" s="1137"/>
      <c r="U1" s="1137"/>
      <c r="V1" s="1137"/>
      <c r="W1" s="1137"/>
      <c r="X1" s="1137"/>
      <c r="Y1" s="1137"/>
      <c r="Z1" s="1137"/>
      <c r="AA1" s="1137"/>
      <c r="AB1" s="1137"/>
      <c r="AC1" s="1137"/>
      <c r="AD1" s="1137"/>
      <c r="AE1" s="1137"/>
      <c r="AF1" s="1137"/>
    </row>
    <row r="2" spans="1:32" ht="18.75" x14ac:dyDescent="0.25">
      <c r="A2" s="1138" t="s">
        <v>47</v>
      </c>
      <c r="B2" s="1138"/>
      <c r="C2" s="1138"/>
      <c r="D2" s="1138"/>
      <c r="E2" s="1138"/>
      <c r="F2" s="1138"/>
      <c r="G2" s="1138"/>
      <c r="H2" s="1138"/>
      <c r="I2" s="1138"/>
      <c r="J2" s="1138"/>
      <c r="K2" s="1138"/>
      <c r="L2" s="1138"/>
      <c r="M2" s="1138"/>
      <c r="N2" s="1138"/>
      <c r="O2" s="1138"/>
      <c r="P2" s="1138"/>
      <c r="Q2" s="1138"/>
      <c r="R2" s="1138"/>
      <c r="S2" s="1138"/>
      <c r="T2" s="1138"/>
      <c r="U2" s="1138"/>
      <c r="V2" s="1138"/>
      <c r="W2" s="1138"/>
      <c r="X2" s="1138"/>
      <c r="Y2" s="1138"/>
      <c r="Z2" s="1138"/>
      <c r="AA2" s="1138"/>
      <c r="AB2" s="1138"/>
      <c r="AC2" s="1138"/>
      <c r="AD2" s="1138"/>
      <c r="AE2" s="1138"/>
      <c r="AF2" s="1" t="s">
        <v>1</v>
      </c>
    </row>
    <row r="3" spans="1:32" ht="75" customHeight="1" x14ac:dyDescent="0.25">
      <c r="A3" s="1139" t="s">
        <v>2</v>
      </c>
      <c r="B3" s="1141" t="s">
        <v>3</v>
      </c>
      <c r="C3" s="1141" t="s">
        <v>3</v>
      </c>
      <c r="D3" s="1141" t="s">
        <v>4</v>
      </c>
      <c r="E3" s="1143" t="s">
        <v>5</v>
      </c>
      <c r="F3" s="1133" t="s">
        <v>6</v>
      </c>
      <c r="G3" s="1134"/>
      <c r="H3" s="1133" t="s">
        <v>7</v>
      </c>
      <c r="I3" s="1134"/>
      <c r="J3" s="1133" t="s">
        <v>8</v>
      </c>
      <c r="K3" s="1134"/>
      <c r="L3" s="1133" t="s">
        <v>9</v>
      </c>
      <c r="M3" s="1134"/>
      <c r="N3" s="1133" t="s">
        <v>10</v>
      </c>
      <c r="O3" s="1134"/>
      <c r="P3" s="1133" t="s">
        <v>11</v>
      </c>
      <c r="Q3" s="1134"/>
      <c r="R3" s="1133" t="s">
        <v>12</v>
      </c>
      <c r="S3" s="1134"/>
      <c r="T3" s="1133" t="s">
        <v>13</v>
      </c>
      <c r="U3" s="1134"/>
      <c r="V3" s="1133" t="s">
        <v>14</v>
      </c>
      <c r="W3" s="1134"/>
      <c r="X3" s="1133" t="s">
        <v>15</v>
      </c>
      <c r="Y3" s="1134"/>
      <c r="Z3" s="1133" t="s">
        <v>16</v>
      </c>
      <c r="AA3" s="1134"/>
      <c r="AB3" s="1133" t="s">
        <v>17</v>
      </c>
      <c r="AC3" s="1134"/>
      <c r="AD3" s="1133" t="s">
        <v>18</v>
      </c>
      <c r="AE3" s="1134"/>
      <c r="AF3" s="1139" t="s">
        <v>19</v>
      </c>
    </row>
    <row r="4" spans="1:32" ht="18.75" customHeight="1" x14ac:dyDescent="0.25">
      <c r="A4" s="1140"/>
      <c r="B4" s="1142"/>
      <c r="C4" s="1142"/>
      <c r="D4" s="1142"/>
      <c r="E4" s="1144"/>
      <c r="F4" s="1135"/>
      <c r="G4" s="1136"/>
      <c r="H4" s="1135"/>
      <c r="I4" s="1136"/>
      <c r="J4" s="1135"/>
      <c r="K4" s="1136"/>
      <c r="L4" s="1135"/>
      <c r="M4" s="1136"/>
      <c r="N4" s="1135"/>
      <c r="O4" s="1136"/>
      <c r="P4" s="1135"/>
      <c r="Q4" s="1136"/>
      <c r="R4" s="1135"/>
      <c r="S4" s="1136"/>
      <c r="T4" s="1135"/>
      <c r="U4" s="1136"/>
      <c r="V4" s="1135"/>
      <c r="W4" s="1136"/>
      <c r="X4" s="1135"/>
      <c r="Y4" s="1136"/>
      <c r="Z4" s="1135"/>
      <c r="AA4" s="1136"/>
      <c r="AB4" s="1135"/>
      <c r="AC4" s="1136"/>
      <c r="AD4" s="1135"/>
      <c r="AE4" s="1136"/>
      <c r="AF4" s="1140"/>
    </row>
    <row r="5" spans="1:32" ht="56.25" x14ac:dyDescent="0.25">
      <c r="A5" s="24"/>
      <c r="B5" s="3">
        <v>2024</v>
      </c>
      <c r="C5" s="4">
        <v>45658</v>
      </c>
      <c r="D5" s="4">
        <v>45658</v>
      </c>
      <c r="E5" s="4">
        <v>45658</v>
      </c>
      <c r="F5" s="5" t="s">
        <v>20</v>
      </c>
      <c r="G5" s="5" t="s">
        <v>21</v>
      </c>
      <c r="H5" s="5" t="s">
        <v>22</v>
      </c>
      <c r="I5" s="5" t="s">
        <v>23</v>
      </c>
      <c r="J5" s="5" t="s">
        <v>22</v>
      </c>
      <c r="K5" s="5" t="s">
        <v>23</v>
      </c>
      <c r="L5" s="5" t="s">
        <v>22</v>
      </c>
      <c r="M5" s="5" t="s">
        <v>23</v>
      </c>
      <c r="N5" s="5" t="s">
        <v>22</v>
      </c>
      <c r="O5" s="5" t="s">
        <v>23</v>
      </c>
      <c r="P5" s="5" t="s">
        <v>22</v>
      </c>
      <c r="Q5" s="5" t="s">
        <v>23</v>
      </c>
      <c r="R5" s="5" t="s">
        <v>22</v>
      </c>
      <c r="S5" s="5" t="s">
        <v>23</v>
      </c>
      <c r="T5" s="5" t="s">
        <v>22</v>
      </c>
      <c r="U5" s="5" t="s">
        <v>23</v>
      </c>
      <c r="V5" s="5" t="s">
        <v>22</v>
      </c>
      <c r="W5" s="5" t="s">
        <v>23</v>
      </c>
      <c r="X5" s="5" t="s">
        <v>22</v>
      </c>
      <c r="Y5" s="5" t="s">
        <v>23</v>
      </c>
      <c r="Z5" s="5" t="s">
        <v>22</v>
      </c>
      <c r="AA5" s="5" t="s">
        <v>23</v>
      </c>
      <c r="AB5" s="5" t="s">
        <v>22</v>
      </c>
      <c r="AC5" s="5" t="s">
        <v>23</v>
      </c>
      <c r="AD5" s="5" t="s">
        <v>22</v>
      </c>
      <c r="AE5" s="5" t="s">
        <v>23</v>
      </c>
      <c r="AF5" s="1145"/>
    </row>
    <row r="6" spans="1:32" ht="18.75" x14ac:dyDescent="0.25">
      <c r="A6" s="6">
        <v>1</v>
      </c>
      <c r="B6" s="6">
        <v>2</v>
      </c>
      <c r="C6" s="6">
        <v>3</v>
      </c>
      <c r="D6" s="6">
        <v>4</v>
      </c>
      <c r="E6" s="6">
        <v>5</v>
      </c>
      <c r="F6" s="6">
        <v>6</v>
      </c>
      <c r="G6" s="6">
        <v>7</v>
      </c>
      <c r="H6" s="6">
        <v>8</v>
      </c>
      <c r="I6" s="6">
        <v>9</v>
      </c>
      <c r="J6" s="6">
        <v>10</v>
      </c>
      <c r="K6" s="6">
        <v>11</v>
      </c>
      <c r="L6" s="6">
        <v>12</v>
      </c>
      <c r="M6" s="6">
        <v>13</v>
      </c>
      <c r="N6" s="6">
        <v>14</v>
      </c>
      <c r="O6" s="6">
        <v>15</v>
      </c>
      <c r="P6" s="6">
        <v>16</v>
      </c>
      <c r="Q6" s="6">
        <v>17</v>
      </c>
      <c r="R6" s="6">
        <v>18</v>
      </c>
      <c r="S6" s="6">
        <v>19</v>
      </c>
      <c r="T6" s="6">
        <v>20</v>
      </c>
      <c r="U6" s="6">
        <v>21</v>
      </c>
      <c r="V6" s="6">
        <v>22</v>
      </c>
      <c r="W6" s="6">
        <v>23</v>
      </c>
      <c r="X6" s="6">
        <v>24</v>
      </c>
      <c r="Y6" s="6">
        <v>25</v>
      </c>
      <c r="Z6" s="6">
        <v>26</v>
      </c>
      <c r="AA6" s="6">
        <v>27</v>
      </c>
      <c r="AB6" s="6">
        <v>28</v>
      </c>
      <c r="AC6" s="6">
        <v>29</v>
      </c>
      <c r="AD6" s="6">
        <v>30</v>
      </c>
      <c r="AE6" s="6">
        <v>31</v>
      </c>
      <c r="AF6" s="2">
        <v>32</v>
      </c>
    </row>
    <row r="7" spans="1:32" ht="18.75" x14ac:dyDescent="0.2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2"/>
    </row>
    <row r="8" spans="1:32" ht="56.25" customHeight="1" x14ac:dyDescent="0.25">
      <c r="A8" s="34" t="s">
        <v>41</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21"/>
    </row>
    <row r="9" spans="1:32" ht="18.75" x14ac:dyDescent="0.25">
      <c r="A9" s="36" t="s">
        <v>54</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21"/>
    </row>
    <row r="10" spans="1:32" ht="75" x14ac:dyDescent="0.3">
      <c r="A10" s="28" t="s">
        <v>42</v>
      </c>
      <c r="B10" s="32"/>
      <c r="C10" s="32"/>
      <c r="D10" s="32"/>
      <c r="E10" s="32"/>
      <c r="F10" s="32"/>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27"/>
    </row>
    <row r="11" spans="1:32" ht="18.75" x14ac:dyDescent="0.3">
      <c r="A11" s="28" t="s">
        <v>65</v>
      </c>
      <c r="B11" s="32">
        <f>B12</f>
        <v>246.5</v>
      </c>
      <c r="C11" s="32">
        <f>C12</f>
        <v>246.5</v>
      </c>
      <c r="D11" s="32">
        <f>D12</f>
        <v>246.5</v>
      </c>
      <c r="E11" s="32">
        <f>E12</f>
        <v>246.5</v>
      </c>
      <c r="F11" s="32">
        <f>IFERROR(E11/B11*100,0)</f>
        <v>100</v>
      </c>
      <c r="G11" s="31">
        <f>IFERROR(E11/C11*100,0)</f>
        <v>100</v>
      </c>
      <c r="H11" s="32">
        <f>H12</f>
        <v>0</v>
      </c>
      <c r="I11" s="32">
        <f t="shared" ref="I11:AE11" si="0">I12</f>
        <v>0</v>
      </c>
      <c r="J11" s="32">
        <f t="shared" si="0"/>
        <v>0</v>
      </c>
      <c r="K11" s="32">
        <f t="shared" si="0"/>
        <v>0</v>
      </c>
      <c r="L11" s="32">
        <f t="shared" si="0"/>
        <v>0</v>
      </c>
      <c r="M11" s="32">
        <f t="shared" si="0"/>
        <v>0</v>
      </c>
      <c r="N11" s="32">
        <f t="shared" si="0"/>
        <v>246.5</v>
      </c>
      <c r="O11" s="32">
        <f t="shared" si="0"/>
        <v>0</v>
      </c>
      <c r="P11" s="32">
        <f t="shared" si="0"/>
        <v>0</v>
      </c>
      <c r="Q11" s="32">
        <f t="shared" si="0"/>
        <v>0</v>
      </c>
      <c r="R11" s="32">
        <f t="shared" si="0"/>
        <v>0</v>
      </c>
      <c r="S11" s="32">
        <f>S12</f>
        <v>246.5</v>
      </c>
      <c r="T11" s="32">
        <f>T12</f>
        <v>0</v>
      </c>
      <c r="U11" s="32">
        <f>U12</f>
        <v>0</v>
      </c>
      <c r="V11" s="32">
        <f t="shared" si="0"/>
        <v>0</v>
      </c>
      <c r="W11" s="32">
        <f t="shared" si="0"/>
        <v>0</v>
      </c>
      <c r="X11" s="32">
        <f t="shared" si="0"/>
        <v>0</v>
      </c>
      <c r="Y11" s="32">
        <f t="shared" si="0"/>
        <v>0</v>
      </c>
      <c r="Z11" s="32">
        <f t="shared" si="0"/>
        <v>-230</v>
      </c>
      <c r="AA11" s="32">
        <f t="shared" si="0"/>
        <v>0</v>
      </c>
      <c r="AB11" s="32">
        <f t="shared" si="0"/>
        <v>0</v>
      </c>
      <c r="AC11" s="32">
        <f t="shared" si="0"/>
        <v>0</v>
      </c>
      <c r="AD11" s="32">
        <f t="shared" si="0"/>
        <v>0</v>
      </c>
      <c r="AE11" s="32">
        <f t="shared" si="0"/>
        <v>0</v>
      </c>
      <c r="AF11" s="27"/>
    </row>
    <row r="12" spans="1:32" ht="18.75" x14ac:dyDescent="0.3">
      <c r="A12" s="7" t="s">
        <v>32</v>
      </c>
      <c r="B12" s="32">
        <f>B15+B18+B21</f>
        <v>246.5</v>
      </c>
      <c r="C12" s="32">
        <f>C15+C18+C21</f>
        <v>246.5</v>
      </c>
      <c r="D12" s="32">
        <f>E12</f>
        <v>246.5</v>
      </c>
      <c r="E12" s="32">
        <f>I12+K12+M12+O12+Q12+S12+U12+W12+Y12+AA12+AC12+AE12</f>
        <v>246.5</v>
      </c>
      <c r="F12" s="32">
        <f>E12/B12*100</f>
        <v>100</v>
      </c>
      <c r="G12" s="31">
        <f>E12/C12*100</f>
        <v>100</v>
      </c>
      <c r="H12" s="31">
        <f>H14</f>
        <v>0</v>
      </c>
      <c r="I12" s="31"/>
      <c r="J12" s="31">
        <f t="shared" ref="J12:Q12" si="1">J14</f>
        <v>0</v>
      </c>
      <c r="K12" s="31">
        <f t="shared" si="1"/>
        <v>0</v>
      </c>
      <c r="L12" s="31">
        <f t="shared" si="1"/>
        <v>0</v>
      </c>
      <c r="M12" s="31">
        <f t="shared" si="1"/>
        <v>0</v>
      </c>
      <c r="N12" s="31">
        <f>N14</f>
        <v>246.5</v>
      </c>
      <c r="O12" s="31">
        <f t="shared" si="1"/>
        <v>0</v>
      </c>
      <c r="P12" s="31">
        <f t="shared" si="1"/>
        <v>0</v>
      </c>
      <c r="Q12" s="31">
        <f t="shared" si="1"/>
        <v>0</v>
      </c>
      <c r="R12" s="31"/>
      <c r="S12" s="31">
        <f>S14</f>
        <v>246.5</v>
      </c>
      <c r="T12" s="31"/>
      <c r="U12" s="31">
        <f>U14</f>
        <v>0</v>
      </c>
      <c r="V12" s="31"/>
      <c r="W12" s="31">
        <f>W14</f>
        <v>0</v>
      </c>
      <c r="X12" s="31"/>
      <c r="Y12" s="31">
        <f>Y14</f>
        <v>0</v>
      </c>
      <c r="Z12" s="31">
        <f>Z14</f>
        <v>-230</v>
      </c>
      <c r="AA12" s="31">
        <f>AA14</f>
        <v>0</v>
      </c>
      <c r="AB12" s="31"/>
      <c r="AC12" s="31">
        <f>AC14</f>
        <v>0</v>
      </c>
      <c r="AD12" s="31"/>
      <c r="AE12" s="31">
        <f>AE14</f>
        <v>0</v>
      </c>
      <c r="AF12" s="27"/>
    </row>
    <row r="13" spans="1:32" ht="56.25" x14ac:dyDescent="0.3">
      <c r="A13" s="7" t="s">
        <v>43</v>
      </c>
      <c r="B13" s="32"/>
      <c r="C13" s="32"/>
      <c r="D13" s="32"/>
      <c r="E13" s="32"/>
      <c r="F13" s="32"/>
      <c r="G13" s="31"/>
      <c r="H13" s="32"/>
      <c r="I13" s="32"/>
      <c r="J13" s="32"/>
      <c r="K13" s="32"/>
      <c r="L13" s="32"/>
      <c r="M13" s="32"/>
      <c r="N13" s="32"/>
      <c r="O13" s="32"/>
      <c r="P13" s="32"/>
      <c r="Q13" s="32"/>
      <c r="R13" s="32"/>
      <c r="S13" s="32"/>
      <c r="T13" s="32"/>
      <c r="U13" s="32"/>
      <c r="V13" s="32"/>
      <c r="W13" s="32"/>
      <c r="X13" s="32"/>
      <c r="Y13" s="32"/>
      <c r="Z13" s="32"/>
      <c r="AA13" s="32"/>
      <c r="AB13" s="32"/>
      <c r="AC13" s="32"/>
      <c r="AD13" s="32"/>
      <c r="AE13" s="32"/>
      <c r="AF13" s="27"/>
    </row>
    <row r="14" spans="1:32" ht="18.75" x14ac:dyDescent="0.3">
      <c r="A14" s="7" t="s">
        <v>65</v>
      </c>
      <c r="B14" s="32">
        <f>B15</f>
        <v>246.5</v>
      </c>
      <c r="C14" s="32">
        <f>C15</f>
        <v>246.5</v>
      </c>
      <c r="D14" s="32">
        <f>D15</f>
        <v>246.5</v>
      </c>
      <c r="E14" s="32">
        <f>E15</f>
        <v>246.5</v>
      </c>
      <c r="F14" s="32">
        <f>E14/B14*100</f>
        <v>100</v>
      </c>
      <c r="G14" s="31">
        <f>E14/C14*100</f>
        <v>100</v>
      </c>
      <c r="H14" s="32">
        <f>H15</f>
        <v>0</v>
      </c>
      <c r="I14" s="32">
        <f t="shared" ref="I14:AE14" si="2">I15</f>
        <v>0</v>
      </c>
      <c r="J14" s="32">
        <f t="shared" si="2"/>
        <v>0</v>
      </c>
      <c r="K14" s="32">
        <f t="shared" si="2"/>
        <v>0</v>
      </c>
      <c r="L14" s="32">
        <f t="shared" si="2"/>
        <v>0</v>
      </c>
      <c r="M14" s="32">
        <f t="shared" si="2"/>
        <v>0</v>
      </c>
      <c r="N14" s="32">
        <f>N15</f>
        <v>246.5</v>
      </c>
      <c r="O14" s="32">
        <f t="shared" si="2"/>
        <v>0</v>
      </c>
      <c r="P14" s="32">
        <f t="shared" si="2"/>
        <v>0</v>
      </c>
      <c r="Q14" s="32">
        <f t="shared" si="2"/>
        <v>0</v>
      </c>
      <c r="R14" s="32">
        <f t="shared" si="2"/>
        <v>0</v>
      </c>
      <c r="S14" s="32">
        <f t="shared" si="2"/>
        <v>246.5</v>
      </c>
      <c r="T14" s="32">
        <f t="shared" si="2"/>
        <v>0</v>
      </c>
      <c r="U14" s="32">
        <f t="shared" si="2"/>
        <v>0</v>
      </c>
      <c r="V14" s="32">
        <f t="shared" si="2"/>
        <v>0</v>
      </c>
      <c r="W14" s="32">
        <f t="shared" si="2"/>
        <v>0</v>
      </c>
      <c r="X14" s="32">
        <f t="shared" si="2"/>
        <v>0</v>
      </c>
      <c r="Y14" s="32">
        <f t="shared" si="2"/>
        <v>0</v>
      </c>
      <c r="Z14" s="32">
        <v>-230</v>
      </c>
      <c r="AA14" s="32">
        <f t="shared" si="2"/>
        <v>0</v>
      </c>
      <c r="AB14" s="32">
        <f t="shared" si="2"/>
        <v>0</v>
      </c>
      <c r="AC14" s="32">
        <f t="shared" si="2"/>
        <v>0</v>
      </c>
      <c r="AD14" s="32">
        <f t="shared" si="2"/>
        <v>0</v>
      </c>
      <c r="AE14" s="32">
        <f t="shared" si="2"/>
        <v>0</v>
      </c>
      <c r="AF14" s="27"/>
    </row>
    <row r="15" spans="1:32" ht="409.5" x14ac:dyDescent="0.3">
      <c r="A15" s="7" t="s">
        <v>32</v>
      </c>
      <c r="B15" s="32">
        <f>H15+J15+L15+N15+P15+R15+T15+V15+X15+Z15+AB15+AD15</f>
        <v>246.5</v>
      </c>
      <c r="C15" s="32">
        <f>H15+J15+L15+N15+P15+R15+T15+V15+X15+Z15+AB15+AD15</f>
        <v>246.5</v>
      </c>
      <c r="D15" s="32">
        <f>E15</f>
        <v>246.5</v>
      </c>
      <c r="E15" s="32">
        <f>I15+K15+M15+O15+Q15+S15+U15+W15+Y15+AA15+AC15+AE15</f>
        <v>246.5</v>
      </c>
      <c r="F15" s="32">
        <f>E15/B15*100</f>
        <v>100</v>
      </c>
      <c r="G15" s="31">
        <f>E15/C15*100</f>
        <v>100</v>
      </c>
      <c r="H15" s="31"/>
      <c r="I15" s="31"/>
      <c r="J15" s="31"/>
      <c r="K15" s="31"/>
      <c r="L15" s="31"/>
      <c r="M15" s="31"/>
      <c r="N15" s="32">
        <v>246.5</v>
      </c>
      <c r="O15" s="31"/>
      <c r="P15" s="31"/>
      <c r="Q15" s="31"/>
      <c r="R15" s="31"/>
      <c r="S15" s="31">
        <v>246.5</v>
      </c>
      <c r="T15" s="31"/>
      <c r="U15" s="31"/>
      <c r="V15" s="31"/>
      <c r="W15" s="31"/>
      <c r="X15" s="31"/>
      <c r="Y15" s="31"/>
      <c r="Z15" s="31">
        <v>0</v>
      </c>
      <c r="AA15" s="31"/>
      <c r="AB15" s="31"/>
      <c r="AC15" s="31"/>
      <c r="AD15" s="31"/>
      <c r="AE15" s="31"/>
      <c r="AF15" s="733" t="s">
        <v>631</v>
      </c>
    </row>
    <row r="16" spans="1:32" ht="56.25" x14ac:dyDescent="0.3">
      <c r="A16" s="7" t="s">
        <v>44</v>
      </c>
      <c r="B16" s="32"/>
      <c r="C16" s="32"/>
      <c r="D16" s="32"/>
      <c r="E16" s="32"/>
      <c r="F16" s="32"/>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27"/>
    </row>
    <row r="17" spans="1:32" ht="18.75" x14ac:dyDescent="0.3">
      <c r="A17" s="7" t="s">
        <v>65</v>
      </c>
      <c r="B17" s="32">
        <f>B18</f>
        <v>0</v>
      </c>
      <c r="C17" s="32">
        <f>C18</f>
        <v>0</v>
      </c>
      <c r="D17" s="32">
        <f>D18</f>
        <v>0</v>
      </c>
      <c r="E17" s="32">
        <f>E18</f>
        <v>0</v>
      </c>
      <c r="F17" s="32" t="e">
        <f>E17/B17*100</f>
        <v>#DIV/0!</v>
      </c>
      <c r="G17" s="31" t="e">
        <f>E17/C17*100</f>
        <v>#DIV/0!</v>
      </c>
      <c r="H17" s="32">
        <f>H18</f>
        <v>0</v>
      </c>
      <c r="I17" s="32">
        <f t="shared" ref="I17:AE17" si="3">I18</f>
        <v>0</v>
      </c>
      <c r="J17" s="32">
        <f t="shared" si="3"/>
        <v>0</v>
      </c>
      <c r="K17" s="32">
        <f t="shared" si="3"/>
        <v>0</v>
      </c>
      <c r="L17" s="32">
        <f t="shared" si="3"/>
        <v>0</v>
      </c>
      <c r="M17" s="32">
        <f t="shared" si="3"/>
        <v>0</v>
      </c>
      <c r="N17" s="32">
        <f t="shared" si="3"/>
        <v>0</v>
      </c>
      <c r="O17" s="32">
        <f t="shared" si="3"/>
        <v>0</v>
      </c>
      <c r="P17" s="32">
        <f t="shared" si="3"/>
        <v>0</v>
      </c>
      <c r="Q17" s="32">
        <f t="shared" si="3"/>
        <v>0</v>
      </c>
      <c r="R17" s="32">
        <f t="shared" si="3"/>
        <v>0</v>
      </c>
      <c r="S17" s="32">
        <f t="shared" si="3"/>
        <v>0</v>
      </c>
      <c r="T17" s="32">
        <f t="shared" si="3"/>
        <v>0</v>
      </c>
      <c r="U17" s="32">
        <f t="shared" si="3"/>
        <v>0</v>
      </c>
      <c r="V17" s="32">
        <f t="shared" si="3"/>
        <v>0</v>
      </c>
      <c r="W17" s="32">
        <f t="shared" si="3"/>
        <v>0</v>
      </c>
      <c r="X17" s="32">
        <f t="shared" si="3"/>
        <v>0</v>
      </c>
      <c r="Y17" s="32">
        <f t="shared" si="3"/>
        <v>0</v>
      </c>
      <c r="Z17" s="32">
        <f t="shared" si="3"/>
        <v>0</v>
      </c>
      <c r="AA17" s="32">
        <f t="shared" si="3"/>
        <v>0</v>
      </c>
      <c r="AB17" s="32">
        <f t="shared" si="3"/>
        <v>0</v>
      </c>
      <c r="AC17" s="32">
        <f t="shared" si="3"/>
        <v>0</v>
      </c>
      <c r="AD17" s="32">
        <f t="shared" si="3"/>
        <v>0</v>
      </c>
      <c r="AE17" s="32">
        <f t="shared" si="3"/>
        <v>0</v>
      </c>
      <c r="AF17" s="27"/>
    </row>
    <row r="18" spans="1:32" ht="18.75" x14ac:dyDescent="0.3">
      <c r="A18" s="7" t="s">
        <v>32</v>
      </c>
      <c r="B18" s="32">
        <f>H18+J18+L18+N18+P18+R18+T18+V18+X18+Z18+AB18+AD18</f>
        <v>0</v>
      </c>
      <c r="C18" s="32">
        <f>H18+J18+L18+N18+P18+R18+T18+V18</f>
        <v>0</v>
      </c>
      <c r="D18" s="32">
        <f>E18</f>
        <v>0</v>
      </c>
      <c r="E18" s="32">
        <f>I18+K18+M18+O18+Q18+S18+U18+W18+Y18+AA18+AC18+AE18</f>
        <v>0</v>
      </c>
      <c r="F18" s="32" t="e">
        <f>E18/B18*100</f>
        <v>#DIV/0!</v>
      </c>
      <c r="G18" s="31" t="e">
        <f>E18/C18*100</f>
        <v>#DIV/0!</v>
      </c>
      <c r="H18" s="31"/>
      <c r="I18" s="31"/>
      <c r="J18" s="31"/>
      <c r="K18" s="31"/>
      <c r="L18" s="31"/>
      <c r="M18" s="31"/>
      <c r="N18" s="31"/>
      <c r="O18" s="31"/>
      <c r="P18" s="31"/>
      <c r="Q18" s="31"/>
      <c r="R18" s="31"/>
      <c r="S18" s="31"/>
      <c r="T18" s="31"/>
      <c r="U18" s="31"/>
      <c r="V18" s="31"/>
      <c r="W18" s="31"/>
      <c r="X18" s="31"/>
      <c r="Y18" s="31"/>
      <c r="Z18" s="31"/>
      <c r="AA18" s="31"/>
      <c r="AB18" s="31"/>
      <c r="AC18" s="31"/>
      <c r="AD18" s="31"/>
      <c r="AE18" s="31"/>
      <c r="AF18" s="27"/>
    </row>
    <row r="19" spans="1:32" ht="37.5" x14ac:dyDescent="0.3">
      <c r="A19" s="7" t="s">
        <v>45</v>
      </c>
      <c r="B19" s="32"/>
      <c r="C19" s="32"/>
      <c r="D19" s="32"/>
      <c r="E19" s="32"/>
      <c r="F19" s="32"/>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27"/>
    </row>
    <row r="20" spans="1:32" ht="18.75" x14ac:dyDescent="0.3">
      <c r="A20" s="7" t="s">
        <v>65</v>
      </c>
      <c r="B20" s="32">
        <f>B21</f>
        <v>0</v>
      </c>
      <c r="C20" s="32">
        <f>C21</f>
        <v>0</v>
      </c>
      <c r="D20" s="32">
        <f>D21</f>
        <v>0</v>
      </c>
      <c r="E20" s="32">
        <f>E21</f>
        <v>0</v>
      </c>
      <c r="F20" s="32" t="e">
        <f>E20/B20*100</f>
        <v>#DIV/0!</v>
      </c>
      <c r="G20" s="31" t="e">
        <f>E20/C20*100</f>
        <v>#DIV/0!</v>
      </c>
      <c r="H20" s="32">
        <f>H21</f>
        <v>0</v>
      </c>
      <c r="I20" s="32">
        <f t="shared" ref="I20:AE20" si="4">I21</f>
        <v>0</v>
      </c>
      <c r="J20" s="32">
        <f t="shared" si="4"/>
        <v>0</v>
      </c>
      <c r="K20" s="32">
        <f t="shared" si="4"/>
        <v>0</v>
      </c>
      <c r="L20" s="32">
        <f t="shared" si="4"/>
        <v>0</v>
      </c>
      <c r="M20" s="32">
        <f t="shared" si="4"/>
        <v>0</v>
      </c>
      <c r="N20" s="32">
        <f t="shared" si="4"/>
        <v>0</v>
      </c>
      <c r="O20" s="32">
        <f t="shared" si="4"/>
        <v>0</v>
      </c>
      <c r="P20" s="32">
        <f t="shared" si="4"/>
        <v>0</v>
      </c>
      <c r="Q20" s="32">
        <f t="shared" si="4"/>
        <v>0</v>
      </c>
      <c r="R20" s="32">
        <f t="shared" si="4"/>
        <v>0</v>
      </c>
      <c r="S20" s="32">
        <f t="shared" si="4"/>
        <v>0</v>
      </c>
      <c r="T20" s="32">
        <f t="shared" si="4"/>
        <v>0</v>
      </c>
      <c r="U20" s="32">
        <f t="shared" si="4"/>
        <v>0</v>
      </c>
      <c r="V20" s="32">
        <f t="shared" si="4"/>
        <v>0</v>
      </c>
      <c r="W20" s="32">
        <f t="shared" si="4"/>
        <v>0</v>
      </c>
      <c r="X20" s="32">
        <f t="shared" si="4"/>
        <v>0</v>
      </c>
      <c r="Y20" s="32">
        <f t="shared" si="4"/>
        <v>0</v>
      </c>
      <c r="Z20" s="32">
        <f t="shared" si="4"/>
        <v>0</v>
      </c>
      <c r="AA20" s="32">
        <f t="shared" si="4"/>
        <v>0</v>
      </c>
      <c r="AB20" s="32">
        <f t="shared" si="4"/>
        <v>0</v>
      </c>
      <c r="AC20" s="32">
        <f t="shared" si="4"/>
        <v>0</v>
      </c>
      <c r="AD20" s="32">
        <f t="shared" si="4"/>
        <v>0</v>
      </c>
      <c r="AE20" s="32">
        <f t="shared" si="4"/>
        <v>0</v>
      </c>
      <c r="AF20" s="27"/>
    </row>
    <row r="21" spans="1:32" ht="18.75" x14ac:dyDescent="0.3">
      <c r="A21" s="7" t="s">
        <v>32</v>
      </c>
      <c r="B21" s="32">
        <f>H21+J21+L21+N21+P21+R21+T21+V21+X21+Z21+AB21+AD21</f>
        <v>0</v>
      </c>
      <c r="C21" s="32">
        <f>H21+J21+L21+N21+P21+R21+T21+V21</f>
        <v>0</v>
      </c>
      <c r="D21" s="32">
        <f>E21</f>
        <v>0</v>
      </c>
      <c r="E21" s="32">
        <f>I21+K21+M21+O21+Q21+S21+U21+W21+Y21+AA21+AC21+AE21</f>
        <v>0</v>
      </c>
      <c r="F21" s="32" t="e">
        <f>E21/B21*100</f>
        <v>#DIV/0!</v>
      </c>
      <c r="G21" s="31" t="e">
        <f>E21/C21*100</f>
        <v>#DIV/0!</v>
      </c>
      <c r="H21" s="31"/>
      <c r="I21" s="31"/>
      <c r="J21" s="31"/>
      <c r="K21" s="31"/>
      <c r="L21" s="31"/>
      <c r="M21" s="31"/>
      <c r="N21" s="31"/>
      <c r="O21" s="31"/>
      <c r="P21" s="31"/>
      <c r="Q21" s="31"/>
      <c r="R21" s="31"/>
      <c r="S21" s="31"/>
      <c r="T21" s="31"/>
      <c r="U21" s="31"/>
      <c r="V21" s="31"/>
      <c r="W21" s="31"/>
      <c r="X21" s="31"/>
      <c r="Y21" s="31"/>
      <c r="Z21" s="31"/>
      <c r="AA21" s="31"/>
      <c r="AB21" s="31"/>
      <c r="AC21" s="31"/>
      <c r="AD21" s="31"/>
      <c r="AE21" s="31"/>
      <c r="AF21" s="27"/>
    </row>
    <row r="22" spans="1:32" ht="131.25" customHeight="1" x14ac:dyDescent="0.3">
      <c r="A22" s="28" t="s">
        <v>46</v>
      </c>
      <c r="B22" s="32"/>
      <c r="C22" s="32"/>
      <c r="D22" s="32"/>
      <c r="E22" s="32"/>
      <c r="F22" s="32"/>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733" t="s">
        <v>660</v>
      </c>
    </row>
    <row r="23" spans="1:32" ht="18.75" x14ac:dyDescent="0.3">
      <c r="A23" s="7" t="s">
        <v>65</v>
      </c>
      <c r="B23" s="32">
        <f>B24</f>
        <v>1080</v>
      </c>
      <c r="C23" s="32">
        <f>C24</f>
        <v>1080</v>
      </c>
      <c r="D23" s="32">
        <f>D24</f>
        <v>1080</v>
      </c>
      <c r="E23" s="32">
        <f>E24</f>
        <v>1080</v>
      </c>
      <c r="F23" s="32">
        <f>E23/B23*100</f>
        <v>100</v>
      </c>
      <c r="G23" s="31">
        <f>E23/C23*100</f>
        <v>100</v>
      </c>
      <c r="H23" s="32">
        <f>H24</f>
        <v>0</v>
      </c>
      <c r="I23" s="32">
        <f t="shared" ref="I23:AE23" si="5">I24</f>
        <v>0</v>
      </c>
      <c r="J23" s="32">
        <f t="shared" si="5"/>
        <v>0</v>
      </c>
      <c r="K23" s="32">
        <f t="shared" si="5"/>
        <v>0</v>
      </c>
      <c r="L23" s="32">
        <f t="shared" si="5"/>
        <v>0</v>
      </c>
      <c r="M23" s="32">
        <f t="shared" si="5"/>
        <v>0</v>
      </c>
      <c r="N23" s="32">
        <f t="shared" si="5"/>
        <v>0</v>
      </c>
      <c r="O23" s="32">
        <f t="shared" si="5"/>
        <v>0</v>
      </c>
      <c r="P23" s="32">
        <f t="shared" si="5"/>
        <v>360</v>
      </c>
      <c r="Q23" s="32">
        <f t="shared" si="5"/>
        <v>360</v>
      </c>
      <c r="R23" s="32">
        <f t="shared" si="5"/>
        <v>0</v>
      </c>
      <c r="S23" s="32">
        <f t="shared" si="5"/>
        <v>0</v>
      </c>
      <c r="T23" s="32">
        <f t="shared" si="5"/>
        <v>270</v>
      </c>
      <c r="U23" s="32">
        <f>U24</f>
        <v>270</v>
      </c>
      <c r="V23" s="32">
        <f t="shared" si="5"/>
        <v>0</v>
      </c>
      <c r="W23" s="32">
        <f t="shared" si="5"/>
        <v>0</v>
      </c>
      <c r="X23" s="32">
        <f t="shared" si="5"/>
        <v>0</v>
      </c>
      <c r="Y23" s="32">
        <f t="shared" si="5"/>
        <v>0</v>
      </c>
      <c r="Z23" s="32">
        <f t="shared" si="5"/>
        <v>270</v>
      </c>
      <c r="AA23" s="32">
        <f t="shared" si="5"/>
        <v>270</v>
      </c>
      <c r="AB23" s="32">
        <f t="shared" si="5"/>
        <v>0</v>
      </c>
      <c r="AC23" s="32">
        <f t="shared" si="5"/>
        <v>0</v>
      </c>
      <c r="AD23" s="32">
        <f t="shared" si="5"/>
        <v>180</v>
      </c>
      <c r="AE23" s="32">
        <f t="shared" si="5"/>
        <v>180</v>
      </c>
      <c r="AF23" s="27"/>
    </row>
    <row r="24" spans="1:32" ht="18.75" x14ac:dyDescent="0.3">
      <c r="A24" s="7" t="s">
        <v>33</v>
      </c>
      <c r="B24" s="32">
        <f>H24+J24+L24+N24+P24+R24+T24+V24+X24+Z24+AB24+AD24</f>
        <v>1080</v>
      </c>
      <c r="C24" s="32">
        <f>H24+J24+L24+N24+P24+R24+T24+V24+X24+Z24+AB24+AD24</f>
        <v>1080</v>
      </c>
      <c r="D24" s="32">
        <f>E24</f>
        <v>1080</v>
      </c>
      <c r="E24" s="32">
        <f>I24+K24+M24+O24+Q24+S24+U24+W24+Y24+AA24+AC24+AE24</f>
        <v>1080</v>
      </c>
      <c r="F24" s="32">
        <f>E24/B24*100</f>
        <v>100</v>
      </c>
      <c r="G24" s="31">
        <f>E24/C24*100</f>
        <v>100</v>
      </c>
      <c r="H24" s="31"/>
      <c r="I24" s="31"/>
      <c r="J24" s="31"/>
      <c r="K24" s="31"/>
      <c r="L24" s="31"/>
      <c r="M24" s="31"/>
      <c r="N24" s="31"/>
      <c r="O24" s="31"/>
      <c r="P24" s="31">
        <v>360</v>
      </c>
      <c r="Q24" s="31">
        <v>360</v>
      </c>
      <c r="R24" s="31">
        <v>0</v>
      </c>
      <c r="S24" s="31"/>
      <c r="T24" s="31">
        <v>270</v>
      </c>
      <c r="U24" s="31">
        <v>270</v>
      </c>
      <c r="V24" s="31">
        <v>0</v>
      </c>
      <c r="W24" s="31"/>
      <c r="X24" s="31">
        <v>0</v>
      </c>
      <c r="Y24" s="31"/>
      <c r="Z24" s="31">
        <v>270</v>
      </c>
      <c r="AA24" s="31">
        <v>270</v>
      </c>
      <c r="AB24" s="31">
        <v>0</v>
      </c>
      <c r="AC24" s="31"/>
      <c r="AD24" s="31">
        <v>180</v>
      </c>
      <c r="AE24" s="31">
        <v>180</v>
      </c>
      <c r="AF24" s="27"/>
    </row>
    <row r="25" spans="1:32" ht="18.75" x14ac:dyDescent="0.3">
      <c r="A25" s="42" t="s">
        <v>53</v>
      </c>
      <c r="B25" s="38"/>
      <c r="C25" s="38"/>
      <c r="D25" s="38"/>
      <c r="E25" s="38"/>
      <c r="F25" s="38"/>
      <c r="G25" s="38"/>
      <c r="H25" s="38"/>
      <c r="I25" s="38"/>
      <c r="J25" s="38"/>
      <c r="K25" s="38"/>
      <c r="L25" s="38"/>
      <c r="M25" s="38"/>
      <c r="N25" s="39"/>
      <c r="O25" s="39"/>
      <c r="P25" s="39"/>
      <c r="Q25" s="39"/>
      <c r="R25" s="39"/>
      <c r="S25" s="39"/>
      <c r="T25" s="39"/>
      <c r="U25" s="39"/>
      <c r="V25" s="39"/>
      <c r="W25" s="39"/>
      <c r="X25" s="39"/>
      <c r="Y25" s="39"/>
      <c r="Z25" s="39"/>
      <c r="AA25" s="39"/>
      <c r="AB25" s="39"/>
      <c r="AC25" s="39"/>
      <c r="AD25" s="39"/>
      <c r="AE25" s="40"/>
      <c r="AF25" s="27"/>
    </row>
    <row r="26" spans="1:32" ht="18.75" x14ac:dyDescent="0.3">
      <c r="A26" s="37" t="s">
        <v>65</v>
      </c>
      <c r="B26" s="32">
        <f>B27+B28</f>
        <v>1326.5</v>
      </c>
      <c r="C26" s="31">
        <f>C27+C28</f>
        <v>1326.5</v>
      </c>
      <c r="D26" s="31">
        <f>D27+D28</f>
        <v>1326.5</v>
      </c>
      <c r="E26" s="31">
        <f>E27+E28</f>
        <v>1326.5</v>
      </c>
      <c r="F26" s="31">
        <f t="shared" ref="F26:F40" si="6">E26/B26*100</f>
        <v>100</v>
      </c>
      <c r="G26" s="31">
        <f t="shared" ref="G26:G40" si="7">E26/C26*100</f>
        <v>100</v>
      </c>
      <c r="H26" s="32">
        <f>H27+H28</f>
        <v>0</v>
      </c>
      <c r="I26" s="32">
        <f t="shared" ref="I26:Q26" si="8">I27+I28</f>
        <v>0</v>
      </c>
      <c r="J26" s="32">
        <f t="shared" si="8"/>
        <v>0</v>
      </c>
      <c r="K26" s="32">
        <f t="shared" si="8"/>
        <v>0</v>
      </c>
      <c r="L26" s="32">
        <f t="shared" si="8"/>
        <v>0</v>
      </c>
      <c r="M26" s="32">
        <f t="shared" si="8"/>
        <v>0</v>
      </c>
      <c r="N26" s="32">
        <f t="shared" si="8"/>
        <v>246.5</v>
      </c>
      <c r="O26" s="32">
        <f t="shared" si="8"/>
        <v>0</v>
      </c>
      <c r="P26" s="32">
        <f t="shared" si="8"/>
        <v>360</v>
      </c>
      <c r="Q26" s="32">
        <f t="shared" si="8"/>
        <v>360</v>
      </c>
      <c r="R26" s="32">
        <f t="shared" ref="R26:AE26" si="9">R27+R28</f>
        <v>0</v>
      </c>
      <c r="S26" s="32">
        <f t="shared" si="9"/>
        <v>246.5</v>
      </c>
      <c r="T26" s="32">
        <f t="shared" si="9"/>
        <v>270</v>
      </c>
      <c r="U26" s="32">
        <f t="shared" si="9"/>
        <v>270</v>
      </c>
      <c r="V26" s="32">
        <f t="shared" si="9"/>
        <v>0</v>
      </c>
      <c r="W26" s="32">
        <f t="shared" si="9"/>
        <v>0</v>
      </c>
      <c r="X26" s="32">
        <f t="shared" si="9"/>
        <v>0</v>
      </c>
      <c r="Y26" s="32">
        <f t="shared" si="9"/>
        <v>0</v>
      </c>
      <c r="Z26" s="32">
        <f>Z27+Z28</f>
        <v>40</v>
      </c>
      <c r="AA26" s="32">
        <f t="shared" si="9"/>
        <v>270</v>
      </c>
      <c r="AB26" s="32">
        <f t="shared" si="9"/>
        <v>0</v>
      </c>
      <c r="AC26" s="32">
        <f t="shared" si="9"/>
        <v>0</v>
      </c>
      <c r="AD26" s="32">
        <f t="shared" si="9"/>
        <v>180</v>
      </c>
      <c r="AE26" s="32">
        <f t="shared" si="9"/>
        <v>180</v>
      </c>
      <c r="AF26" s="27"/>
    </row>
    <row r="27" spans="1:32" ht="18.75" x14ac:dyDescent="0.3">
      <c r="A27" s="7" t="s">
        <v>32</v>
      </c>
      <c r="B27" s="32">
        <f>B12</f>
        <v>246.5</v>
      </c>
      <c r="C27" s="32">
        <f>C12</f>
        <v>246.5</v>
      </c>
      <c r="D27" s="32">
        <f>D12</f>
        <v>246.5</v>
      </c>
      <c r="E27" s="32">
        <f>E12</f>
        <v>246.5</v>
      </c>
      <c r="F27" s="31">
        <f t="shared" si="6"/>
        <v>100</v>
      </c>
      <c r="G27" s="31">
        <f t="shared" si="7"/>
        <v>100</v>
      </c>
      <c r="H27" s="32">
        <f>H12</f>
        <v>0</v>
      </c>
      <c r="I27" s="32">
        <f t="shared" ref="I27:Q27" si="10">I12</f>
        <v>0</v>
      </c>
      <c r="J27" s="32">
        <f t="shared" si="10"/>
        <v>0</v>
      </c>
      <c r="K27" s="32">
        <f t="shared" si="10"/>
        <v>0</v>
      </c>
      <c r="L27" s="32">
        <f t="shared" si="10"/>
        <v>0</v>
      </c>
      <c r="M27" s="32">
        <f t="shared" si="10"/>
        <v>0</v>
      </c>
      <c r="N27" s="32">
        <f t="shared" si="10"/>
        <v>246.5</v>
      </c>
      <c r="O27" s="32">
        <f t="shared" si="10"/>
        <v>0</v>
      </c>
      <c r="P27" s="32">
        <f t="shared" si="10"/>
        <v>0</v>
      </c>
      <c r="Q27" s="32">
        <f t="shared" si="10"/>
        <v>0</v>
      </c>
      <c r="R27" s="32">
        <f t="shared" ref="R27:AE27" si="11">R12</f>
        <v>0</v>
      </c>
      <c r="S27" s="32">
        <f>S12</f>
        <v>246.5</v>
      </c>
      <c r="T27" s="32">
        <f t="shared" si="11"/>
        <v>0</v>
      </c>
      <c r="U27" s="32">
        <f t="shared" si="11"/>
        <v>0</v>
      </c>
      <c r="V27" s="32">
        <f t="shared" si="11"/>
        <v>0</v>
      </c>
      <c r="W27" s="32">
        <f t="shared" si="11"/>
        <v>0</v>
      </c>
      <c r="X27" s="32">
        <f t="shared" si="11"/>
        <v>0</v>
      </c>
      <c r="Y27" s="32">
        <f t="shared" si="11"/>
        <v>0</v>
      </c>
      <c r="Z27" s="32">
        <f>Z12</f>
        <v>-230</v>
      </c>
      <c r="AA27" s="32">
        <f t="shared" si="11"/>
        <v>0</v>
      </c>
      <c r="AB27" s="32">
        <f t="shared" si="11"/>
        <v>0</v>
      </c>
      <c r="AC27" s="32">
        <f t="shared" si="11"/>
        <v>0</v>
      </c>
      <c r="AD27" s="32">
        <f t="shared" si="11"/>
        <v>0</v>
      </c>
      <c r="AE27" s="32">
        <f t="shared" si="11"/>
        <v>0</v>
      </c>
      <c r="AF27" s="27"/>
    </row>
    <row r="28" spans="1:32" ht="18.75" x14ac:dyDescent="0.3">
      <c r="A28" s="7" t="s">
        <v>33</v>
      </c>
      <c r="B28" s="32">
        <f>B24</f>
        <v>1080</v>
      </c>
      <c r="C28" s="32">
        <f>C24</f>
        <v>1080</v>
      </c>
      <c r="D28" s="32">
        <f>D24</f>
        <v>1080</v>
      </c>
      <c r="E28" s="32">
        <f>E24</f>
        <v>1080</v>
      </c>
      <c r="F28" s="31">
        <f t="shared" si="6"/>
        <v>100</v>
      </c>
      <c r="G28" s="31">
        <f t="shared" si="7"/>
        <v>100</v>
      </c>
      <c r="H28" s="32">
        <f>H24</f>
        <v>0</v>
      </c>
      <c r="I28" s="32">
        <f t="shared" ref="I28:Q28" si="12">I24</f>
        <v>0</v>
      </c>
      <c r="J28" s="32">
        <f t="shared" si="12"/>
        <v>0</v>
      </c>
      <c r="K28" s="32">
        <f t="shared" si="12"/>
        <v>0</v>
      </c>
      <c r="L28" s="32">
        <f t="shared" si="12"/>
        <v>0</v>
      </c>
      <c r="M28" s="32">
        <f t="shared" si="12"/>
        <v>0</v>
      </c>
      <c r="N28" s="32">
        <f t="shared" si="12"/>
        <v>0</v>
      </c>
      <c r="O28" s="32">
        <f t="shared" si="12"/>
        <v>0</v>
      </c>
      <c r="P28" s="32">
        <f t="shared" si="12"/>
        <v>360</v>
      </c>
      <c r="Q28" s="32">
        <f t="shared" si="12"/>
        <v>360</v>
      </c>
      <c r="R28" s="32">
        <f t="shared" ref="R28:AE28" si="13">R24</f>
        <v>0</v>
      </c>
      <c r="S28" s="32">
        <f t="shared" si="13"/>
        <v>0</v>
      </c>
      <c r="T28" s="32">
        <f t="shared" si="13"/>
        <v>270</v>
      </c>
      <c r="U28" s="32">
        <f t="shared" si="13"/>
        <v>270</v>
      </c>
      <c r="V28" s="32">
        <f t="shared" si="13"/>
        <v>0</v>
      </c>
      <c r="W28" s="32">
        <f t="shared" si="13"/>
        <v>0</v>
      </c>
      <c r="X28" s="32">
        <f t="shared" si="13"/>
        <v>0</v>
      </c>
      <c r="Y28" s="32">
        <f t="shared" si="13"/>
        <v>0</v>
      </c>
      <c r="Z28" s="32">
        <f t="shared" si="13"/>
        <v>270</v>
      </c>
      <c r="AA28" s="32">
        <f t="shared" si="13"/>
        <v>270</v>
      </c>
      <c r="AB28" s="32">
        <f t="shared" si="13"/>
        <v>0</v>
      </c>
      <c r="AC28" s="32">
        <f t="shared" si="13"/>
        <v>0</v>
      </c>
      <c r="AD28" s="32">
        <f t="shared" si="13"/>
        <v>180</v>
      </c>
      <c r="AE28" s="32">
        <f t="shared" si="13"/>
        <v>180</v>
      </c>
      <c r="AF28" s="27"/>
    </row>
    <row r="29" spans="1:32" ht="18.75" x14ac:dyDescent="0.3">
      <c r="A29" s="28" t="s">
        <v>72</v>
      </c>
      <c r="B29" s="32"/>
      <c r="C29" s="32"/>
      <c r="D29" s="32"/>
      <c r="E29" s="32"/>
      <c r="F29" s="31" t="e">
        <f t="shared" si="6"/>
        <v>#DIV/0!</v>
      </c>
      <c r="G29" s="31" t="e">
        <f t="shared" si="7"/>
        <v>#DIV/0!</v>
      </c>
      <c r="H29" s="32"/>
      <c r="I29" s="32"/>
      <c r="J29" s="32"/>
      <c r="K29" s="32"/>
      <c r="L29" s="32"/>
      <c r="M29" s="32"/>
      <c r="N29" s="32"/>
      <c r="O29" s="32"/>
      <c r="P29" s="32"/>
      <c r="Q29" s="32"/>
      <c r="R29" s="32"/>
      <c r="S29" s="32"/>
      <c r="T29" s="32"/>
      <c r="U29" s="32"/>
      <c r="V29" s="32"/>
      <c r="W29" s="32"/>
      <c r="X29" s="32"/>
      <c r="Y29" s="32"/>
      <c r="Z29" s="32"/>
      <c r="AA29" s="32"/>
      <c r="AB29" s="32"/>
      <c r="AC29" s="32"/>
      <c r="AD29" s="32"/>
      <c r="AE29" s="32"/>
      <c r="AF29" s="27"/>
    </row>
    <row r="30" spans="1:32" ht="18.75" x14ac:dyDescent="0.3">
      <c r="A30" s="8" t="s">
        <v>31</v>
      </c>
      <c r="B30" s="32">
        <f>B31+B32</f>
        <v>1326.5</v>
      </c>
      <c r="C30" s="32">
        <f>C31+C32</f>
        <v>1326.5</v>
      </c>
      <c r="D30" s="32">
        <f>D31+D32</f>
        <v>1326.5</v>
      </c>
      <c r="E30" s="32">
        <f>E31+E32</f>
        <v>1326.5</v>
      </c>
      <c r="F30" s="31">
        <f t="shared" si="6"/>
        <v>100</v>
      </c>
      <c r="G30" s="31">
        <f t="shared" si="7"/>
        <v>100</v>
      </c>
      <c r="H30" s="32">
        <f>H31+H32</f>
        <v>0</v>
      </c>
      <c r="I30" s="32">
        <f t="shared" ref="I30:AE30" si="14">I31+I32</f>
        <v>0</v>
      </c>
      <c r="J30" s="32">
        <f t="shared" si="14"/>
        <v>0</v>
      </c>
      <c r="K30" s="32">
        <f t="shared" si="14"/>
        <v>0</v>
      </c>
      <c r="L30" s="32">
        <f t="shared" si="14"/>
        <v>0</v>
      </c>
      <c r="M30" s="32">
        <f t="shared" si="14"/>
        <v>0</v>
      </c>
      <c r="N30" s="32">
        <f t="shared" si="14"/>
        <v>246.5</v>
      </c>
      <c r="O30" s="32">
        <f t="shared" si="14"/>
        <v>0</v>
      </c>
      <c r="P30" s="32">
        <f t="shared" si="14"/>
        <v>360</v>
      </c>
      <c r="Q30" s="32">
        <f t="shared" si="14"/>
        <v>360</v>
      </c>
      <c r="R30" s="32">
        <f t="shared" si="14"/>
        <v>0</v>
      </c>
      <c r="S30" s="32">
        <f t="shared" si="14"/>
        <v>246.5</v>
      </c>
      <c r="T30" s="32">
        <f t="shared" si="14"/>
        <v>270</v>
      </c>
      <c r="U30" s="32">
        <f t="shared" si="14"/>
        <v>270</v>
      </c>
      <c r="V30" s="32">
        <f t="shared" si="14"/>
        <v>0</v>
      </c>
      <c r="W30" s="32">
        <f t="shared" si="14"/>
        <v>0</v>
      </c>
      <c r="X30" s="32">
        <f t="shared" si="14"/>
        <v>0</v>
      </c>
      <c r="Y30" s="32">
        <f t="shared" si="14"/>
        <v>0</v>
      </c>
      <c r="Z30" s="32">
        <f t="shared" si="14"/>
        <v>40</v>
      </c>
      <c r="AA30" s="32">
        <f t="shared" si="14"/>
        <v>270</v>
      </c>
      <c r="AB30" s="32">
        <f t="shared" si="14"/>
        <v>0</v>
      </c>
      <c r="AC30" s="32">
        <f t="shared" si="14"/>
        <v>0</v>
      </c>
      <c r="AD30" s="32">
        <f t="shared" si="14"/>
        <v>180</v>
      </c>
      <c r="AE30" s="32">
        <f t="shared" si="14"/>
        <v>180</v>
      </c>
      <c r="AF30" s="27"/>
    </row>
    <row r="31" spans="1:32" ht="18.75" x14ac:dyDescent="0.3">
      <c r="A31" s="7" t="s">
        <v>32</v>
      </c>
      <c r="B31" s="32">
        <f t="shared" ref="B31:B32" si="15">B27</f>
        <v>246.5</v>
      </c>
      <c r="C31" s="32">
        <f t="shared" ref="C31:E32" si="16">C27</f>
        <v>246.5</v>
      </c>
      <c r="D31" s="32">
        <f t="shared" si="16"/>
        <v>246.5</v>
      </c>
      <c r="E31" s="32">
        <f t="shared" si="16"/>
        <v>246.5</v>
      </c>
      <c r="F31" s="31">
        <f t="shared" si="6"/>
        <v>100</v>
      </c>
      <c r="G31" s="31">
        <f t="shared" si="7"/>
        <v>100</v>
      </c>
      <c r="H31" s="32">
        <f>H27</f>
        <v>0</v>
      </c>
      <c r="I31" s="32">
        <f t="shared" ref="I31:AE31" si="17">I27</f>
        <v>0</v>
      </c>
      <c r="J31" s="32">
        <f t="shared" si="17"/>
        <v>0</v>
      </c>
      <c r="K31" s="32">
        <f t="shared" si="17"/>
        <v>0</v>
      </c>
      <c r="L31" s="32">
        <f t="shared" si="17"/>
        <v>0</v>
      </c>
      <c r="M31" s="32">
        <f t="shared" si="17"/>
        <v>0</v>
      </c>
      <c r="N31" s="32">
        <f t="shared" si="17"/>
        <v>246.5</v>
      </c>
      <c r="O31" s="32">
        <f t="shared" si="17"/>
        <v>0</v>
      </c>
      <c r="P31" s="32">
        <f t="shared" si="17"/>
        <v>0</v>
      </c>
      <c r="Q31" s="32">
        <f t="shared" si="17"/>
        <v>0</v>
      </c>
      <c r="R31" s="32">
        <f t="shared" si="17"/>
        <v>0</v>
      </c>
      <c r="S31" s="32">
        <f t="shared" si="17"/>
        <v>246.5</v>
      </c>
      <c r="T31" s="32">
        <f t="shared" si="17"/>
        <v>0</v>
      </c>
      <c r="U31" s="32">
        <f t="shared" si="17"/>
        <v>0</v>
      </c>
      <c r="V31" s="32">
        <f t="shared" si="17"/>
        <v>0</v>
      </c>
      <c r="W31" s="32">
        <f t="shared" si="17"/>
        <v>0</v>
      </c>
      <c r="X31" s="32">
        <f t="shared" si="17"/>
        <v>0</v>
      </c>
      <c r="Y31" s="32">
        <f t="shared" si="17"/>
        <v>0</v>
      </c>
      <c r="Z31" s="32">
        <f t="shared" si="17"/>
        <v>-230</v>
      </c>
      <c r="AA31" s="32">
        <f t="shared" si="17"/>
        <v>0</v>
      </c>
      <c r="AB31" s="32">
        <f t="shared" si="17"/>
        <v>0</v>
      </c>
      <c r="AC31" s="32">
        <f t="shared" si="17"/>
        <v>0</v>
      </c>
      <c r="AD31" s="32">
        <f t="shared" si="17"/>
        <v>0</v>
      </c>
      <c r="AE31" s="32">
        <f t="shared" si="17"/>
        <v>0</v>
      </c>
      <c r="AF31" s="27"/>
    </row>
    <row r="32" spans="1:32" ht="18.75" x14ac:dyDescent="0.3">
      <c r="A32" s="7" t="s">
        <v>33</v>
      </c>
      <c r="B32" s="32">
        <f t="shared" si="15"/>
        <v>1080</v>
      </c>
      <c r="C32" s="32">
        <f t="shared" si="16"/>
        <v>1080</v>
      </c>
      <c r="D32" s="32">
        <f t="shared" si="16"/>
        <v>1080</v>
      </c>
      <c r="E32" s="32">
        <f t="shared" si="16"/>
        <v>1080</v>
      </c>
      <c r="F32" s="31">
        <f t="shared" si="6"/>
        <v>100</v>
      </c>
      <c r="G32" s="31">
        <f t="shared" si="7"/>
        <v>100</v>
      </c>
      <c r="H32" s="32">
        <f>H28</f>
        <v>0</v>
      </c>
      <c r="I32" s="32">
        <f t="shared" ref="I32:AE32" si="18">I28</f>
        <v>0</v>
      </c>
      <c r="J32" s="32">
        <f t="shared" si="18"/>
        <v>0</v>
      </c>
      <c r="K32" s="32">
        <f t="shared" si="18"/>
        <v>0</v>
      </c>
      <c r="L32" s="32">
        <f t="shared" si="18"/>
        <v>0</v>
      </c>
      <c r="M32" s="32">
        <f t="shared" si="18"/>
        <v>0</v>
      </c>
      <c r="N32" s="32">
        <f t="shared" si="18"/>
        <v>0</v>
      </c>
      <c r="O32" s="32">
        <f t="shared" si="18"/>
        <v>0</v>
      </c>
      <c r="P32" s="32">
        <f t="shared" si="18"/>
        <v>360</v>
      </c>
      <c r="Q32" s="32">
        <f t="shared" si="18"/>
        <v>360</v>
      </c>
      <c r="R32" s="32">
        <f t="shared" si="18"/>
        <v>0</v>
      </c>
      <c r="S32" s="32">
        <f t="shared" si="18"/>
        <v>0</v>
      </c>
      <c r="T32" s="32">
        <f t="shared" si="18"/>
        <v>270</v>
      </c>
      <c r="U32" s="32">
        <f t="shared" si="18"/>
        <v>270</v>
      </c>
      <c r="V32" s="32">
        <f t="shared" si="18"/>
        <v>0</v>
      </c>
      <c r="W32" s="32">
        <f t="shared" si="18"/>
        <v>0</v>
      </c>
      <c r="X32" s="32">
        <f t="shared" si="18"/>
        <v>0</v>
      </c>
      <c r="Y32" s="32">
        <f t="shared" si="18"/>
        <v>0</v>
      </c>
      <c r="Z32" s="32">
        <f t="shared" si="18"/>
        <v>270</v>
      </c>
      <c r="AA32" s="32">
        <f t="shared" si="18"/>
        <v>270</v>
      </c>
      <c r="AB32" s="32">
        <f t="shared" si="18"/>
        <v>0</v>
      </c>
      <c r="AC32" s="32">
        <f t="shared" si="18"/>
        <v>0</v>
      </c>
      <c r="AD32" s="32">
        <f t="shared" si="18"/>
        <v>180</v>
      </c>
      <c r="AE32" s="32">
        <f t="shared" si="18"/>
        <v>180</v>
      </c>
      <c r="AF32" s="27"/>
    </row>
    <row r="33" spans="1:32" ht="18.75" x14ac:dyDescent="0.3">
      <c r="A33" s="43" t="s">
        <v>66</v>
      </c>
      <c r="B33" s="45"/>
      <c r="C33" s="45"/>
      <c r="D33" s="45"/>
      <c r="E33" s="45"/>
      <c r="F33" s="31" t="e">
        <f t="shared" si="6"/>
        <v>#DIV/0!</v>
      </c>
      <c r="G33" s="31" t="e">
        <f t="shared" si="7"/>
        <v>#DIV/0!</v>
      </c>
      <c r="H33" s="45"/>
      <c r="I33" s="45"/>
      <c r="J33" s="45"/>
      <c r="K33" s="45"/>
      <c r="L33" s="45"/>
      <c r="M33" s="45"/>
      <c r="N33" s="45"/>
      <c r="O33" s="45"/>
      <c r="P33" s="45"/>
      <c r="Q33" s="45"/>
      <c r="R33" s="45"/>
      <c r="S33" s="45"/>
      <c r="T33" s="45"/>
      <c r="U33" s="45"/>
      <c r="V33" s="45"/>
      <c r="W33" s="45"/>
      <c r="X33" s="45"/>
      <c r="Y33" s="45"/>
      <c r="Z33" s="45"/>
      <c r="AA33" s="45"/>
      <c r="AB33" s="45"/>
      <c r="AC33" s="45"/>
      <c r="AD33" s="45"/>
      <c r="AE33" s="45"/>
      <c r="AF33" s="27"/>
    </row>
    <row r="34" spans="1:32" ht="18.75" x14ac:dyDescent="0.3">
      <c r="A34" s="8" t="s">
        <v>31</v>
      </c>
      <c r="B34" s="32">
        <f>B35+B36</f>
        <v>1326.5</v>
      </c>
      <c r="C34" s="32">
        <f>C35+C36</f>
        <v>1326.5</v>
      </c>
      <c r="D34" s="32">
        <f>D35+D36</f>
        <v>1326.5</v>
      </c>
      <c r="E34" s="32">
        <f>E35+E36</f>
        <v>1326.5</v>
      </c>
      <c r="F34" s="31">
        <f t="shared" si="6"/>
        <v>100</v>
      </c>
      <c r="G34" s="31">
        <f t="shared" si="7"/>
        <v>100</v>
      </c>
      <c r="H34" s="32">
        <f t="shared" ref="H34:W34" si="19">H26</f>
        <v>0</v>
      </c>
      <c r="I34" s="32">
        <f t="shared" si="19"/>
        <v>0</v>
      </c>
      <c r="J34" s="32">
        <f t="shared" si="19"/>
        <v>0</v>
      </c>
      <c r="K34" s="32">
        <f t="shared" si="19"/>
        <v>0</v>
      </c>
      <c r="L34" s="32">
        <f t="shared" si="19"/>
        <v>0</v>
      </c>
      <c r="M34" s="32">
        <f t="shared" si="19"/>
        <v>0</v>
      </c>
      <c r="N34" s="32">
        <f t="shared" si="19"/>
        <v>246.5</v>
      </c>
      <c r="O34" s="32">
        <f t="shared" si="19"/>
        <v>0</v>
      </c>
      <c r="P34" s="32">
        <f t="shared" si="19"/>
        <v>360</v>
      </c>
      <c r="Q34" s="32">
        <f t="shared" si="19"/>
        <v>360</v>
      </c>
      <c r="R34" s="32">
        <f t="shared" si="19"/>
        <v>0</v>
      </c>
      <c r="S34" s="32">
        <f t="shared" si="19"/>
        <v>246.5</v>
      </c>
      <c r="T34" s="32">
        <f t="shared" si="19"/>
        <v>270</v>
      </c>
      <c r="U34" s="32">
        <f t="shared" si="19"/>
        <v>270</v>
      </c>
      <c r="V34" s="32">
        <f t="shared" si="19"/>
        <v>0</v>
      </c>
      <c r="W34" s="32">
        <f t="shared" si="19"/>
        <v>0</v>
      </c>
      <c r="X34" s="32">
        <f t="shared" ref="I34:X36" si="20">X26</f>
        <v>0</v>
      </c>
      <c r="Y34" s="32">
        <f t="shared" ref="Y34:AE34" si="21">Y26</f>
        <v>0</v>
      </c>
      <c r="Z34" s="32">
        <f t="shared" si="21"/>
        <v>40</v>
      </c>
      <c r="AA34" s="32">
        <f t="shared" si="21"/>
        <v>270</v>
      </c>
      <c r="AB34" s="32">
        <f t="shared" si="21"/>
        <v>0</v>
      </c>
      <c r="AC34" s="32">
        <f t="shared" si="21"/>
        <v>0</v>
      </c>
      <c r="AD34" s="32">
        <f t="shared" si="21"/>
        <v>180</v>
      </c>
      <c r="AE34" s="32">
        <f t="shared" si="21"/>
        <v>180</v>
      </c>
      <c r="AF34" s="27"/>
    </row>
    <row r="35" spans="1:32" ht="18.75" x14ac:dyDescent="0.3">
      <c r="A35" s="7" t="s">
        <v>32</v>
      </c>
      <c r="B35" s="32">
        <f>B27</f>
        <v>246.5</v>
      </c>
      <c r="C35" s="32">
        <f>C27</f>
        <v>246.5</v>
      </c>
      <c r="D35" s="32">
        <f>D27</f>
        <v>246.5</v>
      </c>
      <c r="E35" s="32">
        <f>E27</f>
        <v>246.5</v>
      </c>
      <c r="F35" s="31">
        <f t="shared" si="6"/>
        <v>100</v>
      </c>
      <c r="G35" s="31">
        <f t="shared" si="7"/>
        <v>100</v>
      </c>
      <c r="H35" s="32">
        <f>H27</f>
        <v>0</v>
      </c>
      <c r="I35" s="32">
        <f t="shared" si="20"/>
        <v>0</v>
      </c>
      <c r="J35" s="32">
        <f t="shared" si="20"/>
        <v>0</v>
      </c>
      <c r="K35" s="32">
        <f t="shared" si="20"/>
        <v>0</v>
      </c>
      <c r="L35" s="32">
        <f t="shared" si="20"/>
        <v>0</v>
      </c>
      <c r="M35" s="32">
        <f t="shared" si="20"/>
        <v>0</v>
      </c>
      <c r="N35" s="32">
        <f t="shared" si="20"/>
        <v>246.5</v>
      </c>
      <c r="O35" s="32">
        <f t="shared" si="20"/>
        <v>0</v>
      </c>
      <c r="P35" s="32">
        <f t="shared" si="20"/>
        <v>0</v>
      </c>
      <c r="Q35" s="32">
        <f t="shared" si="20"/>
        <v>0</v>
      </c>
      <c r="R35" s="32">
        <f t="shared" si="20"/>
        <v>0</v>
      </c>
      <c r="S35" s="32">
        <f t="shared" si="20"/>
        <v>246.5</v>
      </c>
      <c r="T35" s="32">
        <f t="shared" si="20"/>
        <v>0</v>
      </c>
      <c r="U35" s="32">
        <f t="shared" si="20"/>
        <v>0</v>
      </c>
      <c r="V35" s="32">
        <f t="shared" si="20"/>
        <v>0</v>
      </c>
      <c r="W35" s="32">
        <f t="shared" si="20"/>
        <v>0</v>
      </c>
      <c r="X35" s="32">
        <f t="shared" si="20"/>
        <v>0</v>
      </c>
      <c r="Y35" s="32">
        <f t="shared" ref="Y35:AE35" si="22">Y27</f>
        <v>0</v>
      </c>
      <c r="Z35" s="32">
        <f t="shared" si="22"/>
        <v>-230</v>
      </c>
      <c r="AA35" s="32">
        <f t="shared" si="22"/>
        <v>0</v>
      </c>
      <c r="AB35" s="32">
        <f t="shared" si="22"/>
        <v>0</v>
      </c>
      <c r="AC35" s="32">
        <f t="shared" si="22"/>
        <v>0</v>
      </c>
      <c r="AD35" s="32">
        <f t="shared" si="22"/>
        <v>0</v>
      </c>
      <c r="AE35" s="32">
        <f t="shared" si="22"/>
        <v>0</v>
      </c>
      <c r="AF35" s="27"/>
    </row>
    <row r="36" spans="1:32" ht="18.75" x14ac:dyDescent="0.3">
      <c r="A36" s="7" t="s">
        <v>33</v>
      </c>
      <c r="B36" s="32">
        <f t="shared" ref="B36" si="23">B28</f>
        <v>1080</v>
      </c>
      <c r="C36" s="32">
        <f>C28</f>
        <v>1080</v>
      </c>
      <c r="D36" s="32">
        <f>D28</f>
        <v>1080</v>
      </c>
      <c r="E36" s="32">
        <f>E28</f>
        <v>1080</v>
      </c>
      <c r="F36" s="31">
        <f t="shared" si="6"/>
        <v>100</v>
      </c>
      <c r="G36" s="31">
        <f t="shared" si="7"/>
        <v>100</v>
      </c>
      <c r="H36" s="32">
        <f>H28</f>
        <v>0</v>
      </c>
      <c r="I36" s="32">
        <f t="shared" si="20"/>
        <v>0</v>
      </c>
      <c r="J36" s="32">
        <f t="shared" si="20"/>
        <v>0</v>
      </c>
      <c r="K36" s="32">
        <f t="shared" si="20"/>
        <v>0</v>
      </c>
      <c r="L36" s="32">
        <f t="shared" si="20"/>
        <v>0</v>
      </c>
      <c r="M36" s="32">
        <f t="shared" si="20"/>
        <v>0</v>
      </c>
      <c r="N36" s="32">
        <f t="shared" si="20"/>
        <v>0</v>
      </c>
      <c r="O36" s="32">
        <f t="shared" si="20"/>
        <v>0</v>
      </c>
      <c r="P36" s="32">
        <f t="shared" si="20"/>
        <v>360</v>
      </c>
      <c r="Q36" s="32">
        <f t="shared" si="20"/>
        <v>360</v>
      </c>
      <c r="R36" s="32">
        <f t="shared" si="20"/>
        <v>0</v>
      </c>
      <c r="S36" s="32">
        <f t="shared" si="20"/>
        <v>0</v>
      </c>
      <c r="T36" s="32">
        <f t="shared" si="20"/>
        <v>270</v>
      </c>
      <c r="U36" s="32">
        <f t="shared" si="20"/>
        <v>270</v>
      </c>
      <c r="V36" s="32">
        <f t="shared" si="20"/>
        <v>0</v>
      </c>
      <c r="W36" s="32">
        <f t="shared" si="20"/>
        <v>0</v>
      </c>
      <c r="X36" s="32">
        <f t="shared" si="20"/>
        <v>0</v>
      </c>
      <c r="Y36" s="32">
        <f t="shared" ref="Y36:AE36" si="24">Y28</f>
        <v>0</v>
      </c>
      <c r="Z36" s="32">
        <f t="shared" si="24"/>
        <v>270</v>
      </c>
      <c r="AA36" s="32">
        <f t="shared" si="24"/>
        <v>270</v>
      </c>
      <c r="AB36" s="32">
        <f t="shared" si="24"/>
        <v>0</v>
      </c>
      <c r="AC36" s="32">
        <f t="shared" si="24"/>
        <v>0</v>
      </c>
      <c r="AD36" s="32">
        <f t="shared" si="24"/>
        <v>180</v>
      </c>
      <c r="AE36" s="32">
        <f t="shared" si="24"/>
        <v>180</v>
      </c>
      <c r="AF36" s="27"/>
    </row>
    <row r="37" spans="1:32" ht="37.5" x14ac:dyDescent="0.3">
      <c r="A37" s="65" t="s">
        <v>67</v>
      </c>
      <c r="B37" s="587"/>
      <c r="C37" s="29"/>
      <c r="D37" s="29"/>
      <c r="E37" s="29"/>
      <c r="F37" s="31" t="e">
        <f t="shared" si="6"/>
        <v>#DIV/0!</v>
      </c>
      <c r="G37" s="31" t="e">
        <f t="shared" si="7"/>
        <v>#DIV/0!</v>
      </c>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7"/>
    </row>
    <row r="38" spans="1:32" ht="18.75" x14ac:dyDescent="0.3">
      <c r="A38" s="8" t="s">
        <v>31</v>
      </c>
      <c r="B38" s="612">
        <f>B39+B40</f>
        <v>1326.5</v>
      </c>
      <c r="C38" s="41">
        <f t="shared" ref="C38:D38" si="25">C34</f>
        <v>1326.5</v>
      </c>
      <c r="D38" s="41">
        <f t="shared" si="25"/>
        <v>1326.5</v>
      </c>
      <c r="E38" s="41">
        <f>E34</f>
        <v>1326.5</v>
      </c>
      <c r="F38" s="31">
        <f t="shared" si="6"/>
        <v>100</v>
      </c>
      <c r="G38" s="31">
        <f>E38/C38*100</f>
        <v>100</v>
      </c>
      <c r="H38" s="41">
        <f t="shared" ref="H38:AE38" si="26">H34</f>
        <v>0</v>
      </c>
      <c r="I38" s="41">
        <f t="shared" si="26"/>
        <v>0</v>
      </c>
      <c r="J38" s="41">
        <f t="shared" si="26"/>
        <v>0</v>
      </c>
      <c r="K38" s="41">
        <f t="shared" si="26"/>
        <v>0</v>
      </c>
      <c r="L38" s="41">
        <f t="shared" si="26"/>
        <v>0</v>
      </c>
      <c r="M38" s="41">
        <f t="shared" si="26"/>
        <v>0</v>
      </c>
      <c r="N38" s="41">
        <f t="shared" si="26"/>
        <v>246.5</v>
      </c>
      <c r="O38" s="41">
        <f t="shared" si="26"/>
        <v>0</v>
      </c>
      <c r="P38" s="41">
        <f t="shared" si="26"/>
        <v>360</v>
      </c>
      <c r="Q38" s="41">
        <f t="shared" si="26"/>
        <v>360</v>
      </c>
      <c r="R38" s="41">
        <f t="shared" si="26"/>
        <v>0</v>
      </c>
      <c r="S38" s="41">
        <f t="shared" si="26"/>
        <v>246.5</v>
      </c>
      <c r="T38" s="41">
        <f t="shared" si="26"/>
        <v>270</v>
      </c>
      <c r="U38" s="41">
        <f t="shared" si="26"/>
        <v>270</v>
      </c>
      <c r="V38" s="41">
        <f t="shared" si="26"/>
        <v>0</v>
      </c>
      <c r="W38" s="41">
        <f t="shared" si="26"/>
        <v>0</v>
      </c>
      <c r="X38" s="41">
        <f t="shared" si="26"/>
        <v>0</v>
      </c>
      <c r="Y38" s="41">
        <f t="shared" si="26"/>
        <v>0</v>
      </c>
      <c r="Z38" s="41">
        <f t="shared" si="26"/>
        <v>40</v>
      </c>
      <c r="AA38" s="41">
        <f t="shared" si="26"/>
        <v>270</v>
      </c>
      <c r="AB38" s="41">
        <f t="shared" si="26"/>
        <v>0</v>
      </c>
      <c r="AC38" s="41">
        <f t="shared" si="26"/>
        <v>0</v>
      </c>
      <c r="AD38" s="41">
        <f t="shared" si="26"/>
        <v>180</v>
      </c>
      <c r="AE38" s="41">
        <f t="shared" si="26"/>
        <v>180</v>
      </c>
      <c r="AF38" s="27"/>
    </row>
    <row r="39" spans="1:32" ht="18.75" x14ac:dyDescent="0.3">
      <c r="A39" s="7" t="s">
        <v>32</v>
      </c>
      <c r="B39" s="612">
        <f>B35</f>
        <v>246.5</v>
      </c>
      <c r="C39" s="41">
        <f t="shared" ref="C39" si="27">C35</f>
        <v>246.5</v>
      </c>
      <c r="D39" s="41">
        <f>D35</f>
        <v>246.5</v>
      </c>
      <c r="E39" s="41">
        <f>E35</f>
        <v>246.5</v>
      </c>
      <c r="F39" s="31">
        <f>E39/B39*100</f>
        <v>100</v>
      </c>
      <c r="G39" s="31">
        <f t="shared" si="7"/>
        <v>100</v>
      </c>
      <c r="H39" s="41">
        <f t="shared" ref="H39:AE39" si="28">H35</f>
        <v>0</v>
      </c>
      <c r="I39" s="41">
        <f t="shared" si="28"/>
        <v>0</v>
      </c>
      <c r="J39" s="41">
        <f t="shared" si="28"/>
        <v>0</v>
      </c>
      <c r="K39" s="41">
        <f t="shared" si="28"/>
        <v>0</v>
      </c>
      <c r="L39" s="41">
        <f t="shared" si="28"/>
        <v>0</v>
      </c>
      <c r="M39" s="41">
        <f t="shared" si="28"/>
        <v>0</v>
      </c>
      <c r="N39" s="41">
        <f t="shared" si="28"/>
        <v>246.5</v>
      </c>
      <c r="O39" s="41">
        <f t="shared" si="28"/>
        <v>0</v>
      </c>
      <c r="P39" s="41">
        <f t="shared" si="28"/>
        <v>0</v>
      </c>
      <c r="Q39" s="41">
        <f t="shared" si="28"/>
        <v>0</v>
      </c>
      <c r="R39" s="41">
        <f t="shared" si="28"/>
        <v>0</v>
      </c>
      <c r="S39" s="41">
        <f t="shared" si="28"/>
        <v>246.5</v>
      </c>
      <c r="T39" s="41">
        <f t="shared" si="28"/>
        <v>0</v>
      </c>
      <c r="U39" s="41">
        <f t="shared" si="28"/>
        <v>0</v>
      </c>
      <c r="V39" s="41">
        <f t="shared" si="28"/>
        <v>0</v>
      </c>
      <c r="W39" s="41">
        <f t="shared" si="28"/>
        <v>0</v>
      </c>
      <c r="X39" s="41">
        <f t="shared" si="28"/>
        <v>0</v>
      </c>
      <c r="Y39" s="41">
        <f t="shared" si="28"/>
        <v>0</v>
      </c>
      <c r="Z39" s="41">
        <f t="shared" si="28"/>
        <v>-230</v>
      </c>
      <c r="AA39" s="41">
        <f>AA35</f>
        <v>0</v>
      </c>
      <c r="AB39" s="41">
        <f t="shared" si="28"/>
        <v>0</v>
      </c>
      <c r="AC39" s="41">
        <f t="shared" si="28"/>
        <v>0</v>
      </c>
      <c r="AD39" s="41">
        <f t="shared" si="28"/>
        <v>0</v>
      </c>
      <c r="AE39" s="41">
        <f t="shared" si="28"/>
        <v>0</v>
      </c>
      <c r="AF39" s="27"/>
    </row>
    <row r="40" spans="1:32" ht="18.75" x14ac:dyDescent="0.3">
      <c r="A40" s="7" t="s">
        <v>33</v>
      </c>
      <c r="B40" s="612">
        <f>B36</f>
        <v>1080</v>
      </c>
      <c r="C40" s="41">
        <f>C36</f>
        <v>1080</v>
      </c>
      <c r="D40" s="41">
        <f>D36</f>
        <v>1080</v>
      </c>
      <c r="E40" s="41">
        <f>E36</f>
        <v>1080</v>
      </c>
      <c r="F40" s="31">
        <f t="shared" si="6"/>
        <v>100</v>
      </c>
      <c r="G40" s="31">
        <f t="shared" si="7"/>
        <v>100</v>
      </c>
      <c r="H40" s="41">
        <f t="shared" ref="H40:AE40" si="29">H36</f>
        <v>0</v>
      </c>
      <c r="I40" s="41">
        <f t="shared" si="29"/>
        <v>0</v>
      </c>
      <c r="J40" s="41">
        <f t="shared" si="29"/>
        <v>0</v>
      </c>
      <c r="K40" s="41">
        <f t="shared" si="29"/>
        <v>0</v>
      </c>
      <c r="L40" s="41">
        <f t="shared" si="29"/>
        <v>0</v>
      </c>
      <c r="M40" s="41">
        <f t="shared" si="29"/>
        <v>0</v>
      </c>
      <c r="N40" s="41">
        <f>N36</f>
        <v>0</v>
      </c>
      <c r="O40" s="41">
        <f t="shared" si="29"/>
        <v>0</v>
      </c>
      <c r="P40" s="41">
        <f t="shared" si="29"/>
        <v>360</v>
      </c>
      <c r="Q40" s="41">
        <f t="shared" si="29"/>
        <v>360</v>
      </c>
      <c r="R40" s="41">
        <f t="shared" si="29"/>
        <v>0</v>
      </c>
      <c r="S40" s="41">
        <f t="shared" si="29"/>
        <v>0</v>
      </c>
      <c r="T40" s="41">
        <f t="shared" si="29"/>
        <v>270</v>
      </c>
      <c r="U40" s="41">
        <f t="shared" si="29"/>
        <v>270</v>
      </c>
      <c r="V40" s="41">
        <f t="shared" si="29"/>
        <v>0</v>
      </c>
      <c r="W40" s="41">
        <f t="shared" si="29"/>
        <v>0</v>
      </c>
      <c r="X40" s="41">
        <f t="shared" si="29"/>
        <v>0</v>
      </c>
      <c r="Y40" s="41">
        <f t="shared" si="29"/>
        <v>0</v>
      </c>
      <c r="Z40" s="41">
        <f t="shared" si="29"/>
        <v>270</v>
      </c>
      <c r="AA40" s="41">
        <f t="shared" si="29"/>
        <v>270</v>
      </c>
      <c r="AB40" s="41">
        <f t="shared" si="29"/>
        <v>0</v>
      </c>
      <c r="AC40" s="41">
        <f t="shared" si="29"/>
        <v>0</v>
      </c>
      <c r="AD40" s="41">
        <f t="shared" si="29"/>
        <v>180</v>
      </c>
      <c r="AE40" s="41">
        <f t="shared" si="29"/>
        <v>180</v>
      </c>
      <c r="AF40" s="27"/>
    </row>
    <row r="42" spans="1:32" ht="37.5" x14ac:dyDescent="0.3">
      <c r="A42" s="9" t="s">
        <v>486</v>
      </c>
      <c r="B42" s="26"/>
      <c r="C42" s="26"/>
      <c r="D42" s="23" t="s">
        <v>485</v>
      </c>
      <c r="G42" s="16"/>
    </row>
    <row r="43" spans="1:32" ht="18.75" x14ac:dyDescent="0.3">
      <c r="A43" s="9"/>
      <c r="B43" s="20" t="s">
        <v>68</v>
      </c>
      <c r="C43" s="20"/>
      <c r="D43" s="22"/>
      <c r="G43" s="44"/>
    </row>
    <row r="44" spans="1:32" ht="56.25" x14ac:dyDescent="0.3">
      <c r="A44" s="613" t="s">
        <v>487</v>
      </c>
      <c r="B44" s="613"/>
      <c r="C44" s="613"/>
      <c r="D44" s="614"/>
      <c r="G44" s="16"/>
    </row>
    <row r="45" spans="1:32" ht="18.75" x14ac:dyDescent="0.3">
      <c r="A45" s="613"/>
      <c r="B45" s="613"/>
      <c r="C45" s="613"/>
      <c r="D45" s="615"/>
      <c r="G45" s="16"/>
    </row>
    <row r="46" spans="1:32" x14ac:dyDescent="0.25">
      <c r="A46" s="616"/>
      <c r="B46" s="616"/>
      <c r="C46" s="616"/>
      <c r="D46" s="616"/>
    </row>
    <row r="47" spans="1:32" x14ac:dyDescent="0.25">
      <c r="A47" s="616"/>
      <c r="B47" s="616"/>
      <c r="C47" s="616"/>
      <c r="D47" s="616"/>
    </row>
  </sheetData>
  <customSheetViews>
    <customSheetView guid="{7C130984-112A-4861-AA43-E2940708E3DC}" scale="70" state="hidden">
      <pane xSplit="2" ySplit="7" topLeftCell="W14" activePane="bottomRight" state="frozen"/>
      <selection pane="bottomRight" activeCell="AF15" sqref="AF15"/>
      <pageMargins left="0.7" right="0.7" top="0.75" bottom="0.75" header="0.3" footer="0.3"/>
      <pageSetup paperSize="9" orientation="portrait" r:id="rId1"/>
    </customSheetView>
    <customSheetView guid="{533DC55B-6AD4-4674-9488-685EF2039F3E}" scale="70" state="hidden">
      <pane xSplit="2" ySplit="7" topLeftCell="W14" activePane="bottomRight" state="frozen"/>
      <selection pane="bottomRight" activeCell="AF15" sqref="AF15"/>
      <pageMargins left="0.7" right="0.7" top="0.75" bottom="0.75" header="0.3" footer="0.3"/>
      <pageSetup paperSize="9" orientation="portrait" r:id="rId2"/>
    </customSheetView>
    <customSheetView guid="{09C3E205-981E-4A4E-BE89-8B7044192060}" scale="70">
      <pane xSplit="2" ySplit="7" topLeftCell="W14" activePane="bottomRight" state="frozen"/>
      <selection pane="bottomRight" activeCell="AF15" sqref="AF15"/>
      <pageMargins left="0.7" right="0.7" top="0.75" bottom="0.75" header="0.3" footer="0.3"/>
      <pageSetup paperSize="9" orientation="portrait" r:id="rId3"/>
    </customSheetView>
    <customSheetView guid="{B1BF08D1-D416-4B47-ADD0-4F59132DC9E8}" scale="60">
      <pane xSplit="2" ySplit="7" topLeftCell="I21" activePane="bottomRight" state="frozen"/>
      <selection pane="bottomRight" activeCell="X16" sqref="X16"/>
      <pageMargins left="0.7" right="0.7" top="0.75" bottom="0.75" header="0.3" footer="0.3"/>
      <pageSetup paperSize="9" orientation="portrait" r:id="rId4"/>
    </customSheetView>
    <customSheetView guid="{4F41B9CC-959D-442C-80B0-1F0DB2C76D27}" scale="60">
      <pane xSplit="2" ySplit="7" topLeftCell="I21" activePane="bottomRight" state="frozen"/>
      <selection pane="bottomRight" activeCell="X16" sqref="X16"/>
      <pageMargins left="0.7" right="0.7" top="0.75" bottom="0.75" header="0.3" footer="0.3"/>
      <pageSetup paperSize="9" orientation="portrait" r:id="rId5"/>
    </customSheetView>
    <customSheetView guid="{84867370-1F3E-4368-AF79-FBCE46FFFE92}" scale="60">
      <pane xSplit="2" ySplit="7" topLeftCell="C11" activePane="bottomRight" state="frozen"/>
      <selection pane="bottomRight" activeCell="X16" sqref="X16"/>
      <pageMargins left="0.7" right="0.7" top="0.75" bottom="0.75" header="0.3" footer="0.3"/>
      <pageSetup paperSize="9" orientation="portrait" r:id="rId6"/>
    </customSheetView>
    <customSheetView guid="{E508E171-4ED9-4B07-84DF-DA28C60E1969}" scale="60">
      <pane xSplit="2" ySplit="7" topLeftCell="C20" activePane="bottomRight" state="frozen"/>
      <selection pane="bottomRight" activeCell="J62" sqref="J62"/>
      <pageMargins left="0.7" right="0.7" top="0.75" bottom="0.75" header="0.3" footer="0.3"/>
      <pageSetup paperSize="9" orientation="portrait" r:id="rId7"/>
    </customSheetView>
    <customSheetView guid="{602C8EDB-B9EF-4C85-B0D5-0558C3A0ABAB}" scale="60">
      <pane xSplit="2" ySplit="7" topLeftCell="C20" activePane="bottomRight" state="frozen"/>
      <selection pane="bottomRight" activeCell="J62" sqref="J62"/>
      <pageMargins left="0.7" right="0.7" top="0.75" bottom="0.75" header="0.3" footer="0.3"/>
      <pageSetup paperSize="9" orientation="portrait" r:id="rId8"/>
    </customSheetView>
    <customSheetView guid="{84B3377A-1CDD-4881-99FA-112F8B470D6F}" scale="60">
      <pane xSplit="2" ySplit="7" topLeftCell="C14" activePane="bottomRight" state="frozen"/>
      <selection pane="bottomRight" activeCell="C42" sqref="C42"/>
      <pageMargins left="0.7" right="0.7" top="0.75" bottom="0.75" header="0.3" footer="0.3"/>
      <pageSetup paperSize="9" orientation="portrait" r:id="rId9"/>
    </customSheetView>
    <customSheetView guid="{87218168-6C8E-4D5B-A5E5-DCCC26803AA3}" scale="60">
      <pane xSplit="2" ySplit="7" topLeftCell="C14" activePane="bottomRight" state="frozen"/>
      <selection pane="bottomRight" activeCell="C42" sqref="C42"/>
      <pageMargins left="0.7" right="0.7" top="0.75" bottom="0.75" header="0.3" footer="0.3"/>
      <pageSetup paperSize="9" orientation="portrait" r:id="rId10"/>
    </customSheetView>
    <customSheetView guid="{6A602CB8-B24C-4ED4-B378-B27354BE0A1A}" scale="60">
      <pane xSplit="2" ySplit="7" topLeftCell="C8" activePane="bottomRight" state="frozen"/>
      <selection pane="bottomRight" activeCell="F40" sqref="F40"/>
      <pageMargins left="0.7" right="0.7" top="0.75" bottom="0.75" header="0.3" footer="0.3"/>
      <pageSetup paperSize="9" orientation="portrait" r:id="rId11"/>
    </customSheetView>
    <customSheetView guid="{D01FA037-9AEC-4167-ADB8-2F327C01ECE6}" scale="60">
      <pane xSplit="2" ySplit="7" topLeftCell="C8" activePane="bottomRight" state="frozen"/>
      <selection pane="bottomRight" activeCell="F40" sqref="F40"/>
      <pageMargins left="0.7" right="0.7" top="0.75" bottom="0.75" header="0.3" footer="0.3"/>
      <pageSetup paperSize="9" orientation="portrait" r:id="rId12"/>
    </customSheetView>
    <customSheetView guid="{74870EE6-26B9-40F7-9DC9-260EF16D8959}" scale="60">
      <pane xSplit="2" ySplit="7" topLeftCell="I17" activePane="bottomRight" state="frozen"/>
      <selection pane="bottomRight" activeCell="AF26" sqref="AF26"/>
      <pageMargins left="0.7" right="0.7" top="0.75" bottom="0.75" header="0.3" footer="0.3"/>
      <pageSetup paperSize="9" orientation="portrait" r:id="rId13"/>
    </customSheetView>
    <customSheetView guid="{7226EA2B-7866-416F-9240-410CC1BF0336}" scale="60">
      <pane xSplit="2" ySplit="7" topLeftCell="I17" activePane="bottomRight" state="frozen"/>
      <selection pane="bottomRight" activeCell="AF26" sqref="AF26"/>
      <pageMargins left="0.7" right="0.7" top="0.75" bottom="0.75" header="0.3" footer="0.3"/>
      <pageSetup paperSize="9" orientation="portrait" r:id="rId14"/>
    </customSheetView>
    <customSheetView guid="{F8CAB90F-9980-4EC7-B30B-1637EB515304}" scale="60">
      <pane xSplit="2" ySplit="7" topLeftCell="I17" activePane="bottomRight" state="frozen"/>
      <selection pane="bottomRight" activeCell="AF26" sqref="AF26"/>
      <pageMargins left="0.7" right="0.7" top="0.75" bottom="0.75" header="0.3" footer="0.3"/>
      <pageSetup paperSize="9" orientation="portrait" r:id="rId15"/>
    </customSheetView>
    <customSheetView guid="{415078CD-EB99-432D-90BA-2F3D5A746E20}" scale="60">
      <pane xSplit="2" ySplit="7" topLeftCell="I17" activePane="bottomRight" state="frozen"/>
      <selection pane="bottomRight" activeCell="AF26" sqref="AF26"/>
      <pageMargins left="0.7" right="0.7" top="0.75" bottom="0.75" header="0.3" footer="0.3"/>
      <pageSetup paperSize="9" orientation="portrait" r:id="rId16"/>
    </customSheetView>
    <customSheetView guid="{CB4792DB-A624-4844-AEB6-A6ADA80946BB}" scale="60">
      <pane xSplit="1" ySplit="6" topLeftCell="Y7" activePane="bottomRight" state="frozen"/>
      <selection pane="bottomRight" activeCell="F15" sqref="F15"/>
      <pageMargins left="0.7" right="0.7" top="0.75" bottom="0.75" header="0.3" footer="0.3"/>
      <pageSetup paperSize="9" orientation="portrait" r:id="rId17"/>
    </customSheetView>
    <customSheetView guid="{0C2B9C2A-7B94-41EF-A2E6-F8AC9A67DE25}" scale="60">
      <pane xSplit="1" ySplit="6" topLeftCell="Y7" activePane="bottomRight" state="frozen"/>
      <selection pane="bottomRight" activeCell="F15" sqref="F15"/>
      <pageMargins left="0.7" right="0.7" top="0.75" bottom="0.75" header="0.3" footer="0.3"/>
      <pageSetup paperSize="9" orientation="portrait" r:id="rId18"/>
    </customSheetView>
    <customSheetView guid="{391AB76E-B386-49C1-800F-016A48AA1A46}" scale="60">
      <pane xSplit="1" ySplit="6" topLeftCell="B7" activePane="bottomRight" state="frozen"/>
      <selection pane="bottomRight" activeCell="E15" sqref="E15"/>
      <pageMargins left="0.7" right="0.7" top="0.75" bottom="0.75" header="0.3" footer="0.3"/>
      <pageSetup paperSize="9" orientation="portrait" r:id="rId19"/>
    </customSheetView>
    <customSheetView guid="{959E901C-5DDE-42EE-AE94-AB8976B5E00B}" scale="60">
      <pane xSplit="1" ySplit="6" topLeftCell="B7" activePane="bottomRight" state="frozen"/>
      <selection pane="bottomRight" activeCell="C41" sqref="C41"/>
      <pageMargins left="0.7" right="0.7" top="0.75" bottom="0.75" header="0.3" footer="0.3"/>
      <pageSetup paperSize="9" orientation="portrait" r:id="rId20"/>
    </customSheetView>
    <customSheetView guid="{F679EF4A-C5FD-4B86-B87B-D85968E0F2CA}" scale="60">
      <pane xSplit="1" ySplit="6" topLeftCell="B7" activePane="bottomRight" state="frozen"/>
      <selection pane="bottomRight" activeCell="C41" sqref="C41"/>
      <pageMargins left="0.7" right="0.7" top="0.75" bottom="0.75" header="0.3" footer="0.3"/>
      <pageSetup paperSize="9" orientation="portrait" r:id="rId21"/>
    </customSheetView>
    <customSheetView guid="{009B3074-D8EC-4952-BF50-43CD64449612}" scale="60">
      <pane xSplit="1" ySplit="6" topLeftCell="B7" activePane="bottomRight" state="frozen"/>
      <selection pane="bottomRight" activeCell="C41" sqref="C41"/>
      <pageMargins left="0.7" right="0.7" top="0.75" bottom="0.75" header="0.3" footer="0.3"/>
      <pageSetup paperSize="9" orientation="portrait" r:id="rId22"/>
    </customSheetView>
    <customSheetView guid="{770624BF-07F3-44B6-94C3-4CC447CDD45C}" scale="60">
      <pane xSplit="1" ySplit="6" topLeftCell="B7" activePane="bottomRight" state="frozen"/>
      <selection pane="bottomRight" activeCell="F38" sqref="F38"/>
      <pageMargins left="0.7" right="0.7" top="0.75" bottom="0.75" header="0.3" footer="0.3"/>
      <pageSetup paperSize="9" orientation="portrait" r:id="rId23"/>
    </customSheetView>
    <customSheetView guid="{B82BA08A-1A30-4F4D-A478-74A6BD09EA97}" scale="60">
      <pane xSplit="1" ySplit="6" topLeftCell="B7" activePane="bottomRight" state="frozen"/>
      <selection pane="bottomRight" activeCell="H23" sqref="H23"/>
      <pageMargins left="0.7" right="0.7" top="0.75" bottom="0.75" header="0.3" footer="0.3"/>
      <pageSetup paperSize="9" orientation="portrait" r:id="rId24"/>
    </customSheetView>
    <customSheetView guid="{874882D1-E741-4CCA-BF0D-E72FA60B771D}" scale="60">
      <pane xSplit="1" ySplit="6" topLeftCell="B7" activePane="bottomRight" state="frozen"/>
      <selection pane="bottomRight" activeCell="H23" sqref="H23"/>
      <pageMargins left="0.7" right="0.7" top="0.75" bottom="0.75" header="0.3" footer="0.3"/>
      <pageSetup paperSize="9" orientation="portrait" r:id="rId25"/>
    </customSheetView>
    <customSheetView guid="{C236B307-BD63-48C4-A75F-B3F3717BF55C}" scale="60">
      <pane xSplit="1" ySplit="6" topLeftCell="B7" activePane="bottomRight" state="frozen"/>
      <selection pane="bottomRight" activeCell="H23" sqref="H23"/>
      <pageMargins left="0.7" right="0.7" top="0.75" bottom="0.75" header="0.3" footer="0.3"/>
      <pageSetup paperSize="9" orientation="portrait" r:id="rId26"/>
    </customSheetView>
    <customSheetView guid="{BCD82A82-B724-4763-8580-D765356E09BA}" scale="60">
      <pane xSplit="1" ySplit="6" topLeftCell="B7" activePane="bottomRight" state="frozen"/>
      <selection pane="bottomRight" activeCell="E14" sqref="E14"/>
      <pageMargins left="0.7" right="0.7" top="0.75" bottom="0.75" header="0.3" footer="0.3"/>
      <pageSetup paperSize="9" orientation="portrait" r:id="rId27"/>
    </customSheetView>
    <customSheetView guid="{85F4575B-DBC5-482A-9916-255D8F0BC94E}" scale="60">
      <pane xSplit="1" ySplit="6" topLeftCell="B7" activePane="bottomRight" state="frozen"/>
      <selection pane="bottomRight" activeCell="C41" sqref="C41"/>
      <pageMargins left="0.7" right="0.7" top="0.75" bottom="0.75" header="0.3" footer="0.3"/>
      <pageSetup paperSize="9" orientation="portrait" r:id="rId28"/>
    </customSheetView>
    <customSheetView guid="{4D0DFB57-2CBA-42F2-9A97-C453A6851FBA}" scale="60">
      <pane xSplit="1" ySplit="6" topLeftCell="B7" activePane="bottomRight" state="frozen"/>
      <selection pane="bottomRight" activeCell="E15" sqref="E15"/>
      <pageMargins left="0.7" right="0.7" top="0.75" bottom="0.75" header="0.3" footer="0.3"/>
      <pageSetup paperSize="9" orientation="portrait" r:id="rId29"/>
    </customSheetView>
    <customSheetView guid="{CE1CCA00-200D-4EAA-9FBE-F8EE7C5F82FE}" scale="60">
      <pane xSplit="1" ySplit="6" topLeftCell="B7" activePane="bottomRight" state="frozen"/>
      <selection pane="bottomRight" activeCell="E15" sqref="E15"/>
      <pageMargins left="0.7" right="0.7" top="0.75" bottom="0.75" header="0.3" footer="0.3"/>
      <pageSetup paperSize="9" orientation="portrait" r:id="rId30"/>
    </customSheetView>
    <customSheetView guid="{AC2D5927-4079-4C74-AF69-1BFAC505648F}" scale="60">
      <pane xSplit="1" ySplit="6" topLeftCell="B7" activePane="bottomRight" state="frozen"/>
      <selection pane="bottomRight" activeCell="E15" sqref="E15"/>
      <pageMargins left="0.7" right="0.7" top="0.75" bottom="0.75" header="0.3" footer="0.3"/>
      <pageSetup paperSize="9" orientation="portrait" r:id="rId31"/>
    </customSheetView>
    <customSheetView guid="{3C3F523F-5F34-4CF7-831E-F1ABC4278CEB}" scale="60">
      <pane xSplit="1" ySplit="6" topLeftCell="Y7" activePane="bottomRight" state="frozen"/>
      <selection pane="bottomRight" activeCell="F15" sqref="F15"/>
      <pageMargins left="0.7" right="0.7" top="0.75" bottom="0.75" header="0.3" footer="0.3"/>
      <pageSetup paperSize="9" orientation="portrait" r:id="rId32"/>
    </customSheetView>
    <customSheetView guid="{69DABE6F-6182-4403-A4A2-969F10F1C13A}" scale="60">
      <pane xSplit="2" ySplit="7" topLeftCell="C14" activePane="bottomRight" state="frozen"/>
      <selection pane="bottomRight" activeCell="C42" sqref="C42"/>
      <pageMargins left="0.7" right="0.7" top="0.75" bottom="0.75" header="0.3" footer="0.3"/>
      <pageSetup paperSize="9" orientation="portrait" r:id="rId33"/>
    </customSheetView>
    <customSheetView guid="{DAA8A688-7558-4B5B-8DBD-E2629BD9E9A8}" scale="60">
      <pane xSplit="2" ySplit="7" topLeftCell="C14" activePane="bottomRight" state="frozen"/>
      <selection pane="bottomRight" activeCell="C42" sqref="C42"/>
      <pageMargins left="0.7" right="0.7" top="0.75" bottom="0.75" header="0.3" footer="0.3"/>
      <pageSetup paperSize="9" orientation="portrait" r:id="rId34"/>
    </customSheetView>
    <customSheetView guid="{47B983AB-FE5F-4725-860C-A2F29420596D}" scale="60">
      <pane xSplit="2" ySplit="7" topLeftCell="C20" activePane="bottomRight" state="frozen"/>
      <selection pane="bottomRight" activeCell="J62" sqref="J62"/>
      <pageMargins left="0.7" right="0.7" top="0.75" bottom="0.75" header="0.3" footer="0.3"/>
      <pageSetup paperSize="9" orientation="portrait" r:id="rId35"/>
    </customSheetView>
    <customSheetView guid="{442F2C94-DD1B-4A01-8694-513D4D6F3BD9}" scale="60">
      <pane xSplit="2" ySplit="7" topLeftCell="C11" activePane="bottomRight" state="frozen"/>
      <selection pane="bottomRight" activeCell="X16" sqref="X16"/>
      <pageMargins left="0.7" right="0.7" top="0.75" bottom="0.75" header="0.3" footer="0.3"/>
      <pageSetup paperSize="9" orientation="portrait" r:id="rId36"/>
    </customSheetView>
    <customSheetView guid="{472DFAFE-DC7C-463D-92A0-F6A14555FDD6}" scale="60">
      <pane xSplit="2" ySplit="7" topLeftCell="I21" activePane="bottomRight" state="frozen"/>
      <selection pane="bottomRight" activeCell="X16" sqref="X16"/>
      <pageMargins left="0.7" right="0.7" top="0.75" bottom="0.75" header="0.3" footer="0.3"/>
      <pageSetup paperSize="9" orientation="portrait" r:id="rId37"/>
    </customSheetView>
    <customSheetView guid="{B43381A8-767B-4F49-BD2E-0056691293F3}" scale="60">
      <pane xSplit="2" ySplit="7" topLeftCell="I21" activePane="bottomRight" state="frozen"/>
      <selection pane="bottomRight" activeCell="X16" sqref="X16"/>
      <pageMargins left="0.7" right="0.7" top="0.75" bottom="0.75" header="0.3" footer="0.3"/>
      <pageSetup paperSize="9" orientation="portrait" r:id="rId38"/>
    </customSheetView>
  </customSheetViews>
  <mergeCells count="21">
    <mergeCell ref="AF3:AF5"/>
    <mergeCell ref="X3:Y4"/>
    <mergeCell ref="Z3:AA4"/>
    <mergeCell ref="AB3:AC4"/>
    <mergeCell ref="AD3:AE4"/>
    <mergeCell ref="V3:W4"/>
    <mergeCell ref="A1:AF1"/>
    <mergeCell ref="A2:AE2"/>
    <mergeCell ref="A3:A4"/>
    <mergeCell ref="B3:B4"/>
    <mergeCell ref="C3:C4"/>
    <mergeCell ref="D3:D4"/>
    <mergeCell ref="E3:E4"/>
    <mergeCell ref="F3:G4"/>
    <mergeCell ref="H3:I4"/>
    <mergeCell ref="J3:K4"/>
    <mergeCell ref="L3:M4"/>
    <mergeCell ref="N3:O4"/>
    <mergeCell ref="P3:Q4"/>
    <mergeCell ref="R3:S4"/>
    <mergeCell ref="T3:U4"/>
  </mergeCells>
  <hyperlinks>
    <hyperlink ref="A2:AE2" location="Оглавление!A1" display=" &quot;Развитие агропромышленного комплекса в городе Когалыме&quot;"/>
  </hyperlinks>
  <pageMargins left="0.7" right="0.7" top="0.75" bottom="0.75" header="0.3" footer="0.3"/>
  <pageSetup paperSize="9" orientation="portrait" r:id="rId39"/>
  <extLst>
    <ext xmlns:x14="http://schemas.microsoft.com/office/spreadsheetml/2009/9/main" uri="{CCE6A557-97BC-4b89-ADB6-D9C93CAAB3DF}">
      <x14:dataValidations xmlns:xm="http://schemas.microsoft.com/office/excel/2006/main" count="1">
        <x14:dataValidation type="list" allowBlank="1" showInputMessage="1" showErrorMessage="1">
          <x14:formula1>
            <xm:f>Оглавление!$B$22:$B$33</xm:f>
          </x14:formula1>
          <xm:sqref>C5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73"/>
  <sheetViews>
    <sheetView zoomScale="55" zoomScaleNormal="55" workbookViewId="0">
      <pane xSplit="1" ySplit="6" topLeftCell="B52" activePane="bottomRight" state="frozen"/>
      <selection pane="topRight" activeCell="B1" sqref="B1"/>
      <selection pane="bottomLeft" activeCell="A7" sqref="A7"/>
      <selection pane="bottomRight" activeCell="E66" sqref="E66"/>
    </sheetView>
  </sheetViews>
  <sheetFormatPr defaultRowHeight="15" x14ac:dyDescent="0.25"/>
  <cols>
    <col min="1" max="1" width="46.140625" customWidth="1"/>
    <col min="2" max="2" width="18.7109375" bestFit="1" customWidth="1"/>
    <col min="3" max="3" width="19.7109375" customWidth="1"/>
    <col min="4" max="4" width="17" customWidth="1"/>
    <col min="5" max="5" width="16.85546875" customWidth="1"/>
    <col min="6" max="6" width="16.5703125" bestFit="1" customWidth="1"/>
    <col min="7" max="7" width="17" customWidth="1"/>
    <col min="8" max="9" width="15.5703125" bestFit="1" customWidth="1"/>
    <col min="10" max="10" width="17.28515625" bestFit="1" customWidth="1"/>
    <col min="11" max="13" width="15.5703125" bestFit="1" customWidth="1"/>
    <col min="14" max="14" width="17.28515625" bestFit="1" customWidth="1"/>
    <col min="15" max="15" width="15.5703125" bestFit="1" customWidth="1"/>
    <col min="16" max="16" width="17.28515625" bestFit="1" customWidth="1"/>
    <col min="17" max="17" width="15.5703125" bestFit="1" customWidth="1"/>
    <col min="18" max="18" width="17.28515625" bestFit="1" customWidth="1"/>
    <col min="19" max="19" width="15.5703125" bestFit="1" customWidth="1"/>
    <col min="20" max="20" width="17.28515625" bestFit="1" customWidth="1"/>
    <col min="21" max="21" width="15.5703125" bestFit="1" customWidth="1"/>
    <col min="22" max="22" width="17.28515625" bestFit="1" customWidth="1"/>
    <col min="23" max="29" width="15.5703125" bestFit="1" customWidth="1"/>
    <col min="30" max="30" width="17" bestFit="1" customWidth="1"/>
    <col min="31" max="31" width="13.5703125" bestFit="1" customWidth="1"/>
    <col min="32" max="32" width="32.140625" customWidth="1"/>
    <col min="33" max="33" width="15.5703125" customWidth="1"/>
  </cols>
  <sheetData>
    <row r="1" spans="1:33" ht="18.75" x14ac:dyDescent="0.25">
      <c r="A1" s="1137" t="s">
        <v>0</v>
      </c>
      <c r="B1" s="1137"/>
      <c r="C1" s="1137"/>
      <c r="D1" s="1137"/>
      <c r="E1" s="1137"/>
      <c r="F1" s="1137"/>
      <c r="G1" s="1137"/>
      <c r="H1" s="1137"/>
      <c r="I1" s="1137"/>
      <c r="J1" s="1137"/>
      <c r="K1" s="1137"/>
      <c r="L1" s="1137"/>
      <c r="M1" s="1137"/>
      <c r="N1" s="1137"/>
      <c r="O1" s="1137"/>
      <c r="P1" s="1137"/>
      <c r="Q1" s="1137"/>
      <c r="R1" s="1137"/>
      <c r="S1" s="1137"/>
      <c r="T1" s="1137"/>
      <c r="U1" s="1137"/>
      <c r="V1" s="1137"/>
      <c r="W1" s="1137"/>
      <c r="X1" s="1137"/>
      <c r="Y1" s="1137"/>
      <c r="Z1" s="1137"/>
      <c r="AA1" s="1137"/>
      <c r="AB1" s="1137"/>
      <c r="AC1" s="1137"/>
      <c r="AD1" s="1137"/>
      <c r="AE1" s="1137"/>
      <c r="AF1" s="1137"/>
    </row>
    <row r="2" spans="1:33" ht="18.75" x14ac:dyDescent="0.25">
      <c r="A2" s="1138" t="s">
        <v>48</v>
      </c>
      <c r="B2" s="1138"/>
      <c r="C2" s="1138"/>
      <c r="D2" s="1138"/>
      <c r="E2" s="1138"/>
      <c r="F2" s="1138"/>
      <c r="G2" s="1138"/>
      <c r="H2" s="1138"/>
      <c r="I2" s="1138"/>
      <c r="J2" s="1138"/>
      <c r="K2" s="1138"/>
      <c r="L2" s="1138"/>
      <c r="M2" s="1138"/>
      <c r="N2" s="1138"/>
      <c r="O2" s="1138"/>
      <c r="P2" s="1138"/>
      <c r="Q2" s="1138"/>
      <c r="R2" s="1138"/>
      <c r="S2" s="1138"/>
      <c r="T2" s="1138"/>
      <c r="U2" s="1138"/>
      <c r="V2" s="1138"/>
      <c r="W2" s="1138"/>
      <c r="X2" s="1138"/>
      <c r="Y2" s="1138"/>
      <c r="Z2" s="1138"/>
      <c r="AA2" s="1138"/>
      <c r="AB2" s="1138"/>
      <c r="AC2" s="1138"/>
      <c r="AD2" s="1138"/>
      <c r="AE2" s="1138"/>
      <c r="AF2" s="1" t="s">
        <v>1</v>
      </c>
    </row>
    <row r="3" spans="1:33" x14ac:dyDescent="0.25">
      <c r="A3" s="1139" t="s">
        <v>2</v>
      </c>
      <c r="B3" s="1141" t="s">
        <v>3</v>
      </c>
      <c r="C3" s="1141" t="s">
        <v>3</v>
      </c>
      <c r="D3" s="1141" t="s">
        <v>4</v>
      </c>
      <c r="E3" s="1143" t="s">
        <v>5</v>
      </c>
      <c r="F3" s="1133" t="s">
        <v>6</v>
      </c>
      <c r="G3" s="1134"/>
      <c r="H3" s="1133" t="s">
        <v>7</v>
      </c>
      <c r="I3" s="1134"/>
      <c r="J3" s="1133" t="s">
        <v>8</v>
      </c>
      <c r="K3" s="1134"/>
      <c r="L3" s="1133" t="s">
        <v>9</v>
      </c>
      <c r="M3" s="1134"/>
      <c r="N3" s="1133" t="s">
        <v>10</v>
      </c>
      <c r="O3" s="1134"/>
      <c r="P3" s="1133" t="s">
        <v>11</v>
      </c>
      <c r="Q3" s="1134"/>
      <c r="R3" s="1133" t="s">
        <v>12</v>
      </c>
      <c r="S3" s="1134"/>
      <c r="T3" s="1133" t="s">
        <v>13</v>
      </c>
      <c r="U3" s="1134"/>
      <c r="V3" s="1133" t="s">
        <v>14</v>
      </c>
      <c r="W3" s="1134"/>
      <c r="X3" s="1133" t="s">
        <v>15</v>
      </c>
      <c r="Y3" s="1134"/>
      <c r="Z3" s="1133" t="s">
        <v>16</v>
      </c>
      <c r="AA3" s="1134"/>
      <c r="AB3" s="1133" t="s">
        <v>17</v>
      </c>
      <c r="AC3" s="1134"/>
      <c r="AD3" s="1133" t="s">
        <v>18</v>
      </c>
      <c r="AE3" s="1134"/>
      <c r="AF3" s="1139" t="s">
        <v>19</v>
      </c>
    </row>
    <row r="4" spans="1:33" ht="42.75" customHeight="1" x14ac:dyDescent="0.25">
      <c r="A4" s="1140"/>
      <c r="B4" s="1142"/>
      <c r="C4" s="1142"/>
      <c r="D4" s="1142"/>
      <c r="E4" s="1144"/>
      <c r="F4" s="1135"/>
      <c r="G4" s="1136"/>
      <c r="H4" s="1135"/>
      <c r="I4" s="1136"/>
      <c r="J4" s="1135"/>
      <c r="K4" s="1136"/>
      <c r="L4" s="1135"/>
      <c r="M4" s="1136"/>
      <c r="N4" s="1135"/>
      <c r="O4" s="1136"/>
      <c r="P4" s="1135"/>
      <c r="Q4" s="1136"/>
      <c r="R4" s="1135"/>
      <c r="S4" s="1136"/>
      <c r="T4" s="1135"/>
      <c r="U4" s="1136"/>
      <c r="V4" s="1135"/>
      <c r="W4" s="1136"/>
      <c r="X4" s="1135"/>
      <c r="Y4" s="1136"/>
      <c r="Z4" s="1135"/>
      <c r="AA4" s="1136"/>
      <c r="AB4" s="1135"/>
      <c r="AC4" s="1136"/>
      <c r="AD4" s="1135"/>
      <c r="AE4" s="1136"/>
      <c r="AF4" s="1140"/>
    </row>
    <row r="5" spans="1:33" ht="56.25" x14ac:dyDescent="0.25">
      <c r="A5" s="24"/>
      <c r="B5" s="3">
        <v>2024</v>
      </c>
      <c r="C5" s="4">
        <v>45597</v>
      </c>
      <c r="D5" s="4">
        <v>45597</v>
      </c>
      <c r="E5" s="4">
        <v>45597</v>
      </c>
      <c r="F5" s="5" t="s">
        <v>20</v>
      </c>
      <c r="G5" s="5" t="s">
        <v>21</v>
      </c>
      <c r="H5" s="5" t="s">
        <v>22</v>
      </c>
      <c r="I5" s="5" t="s">
        <v>23</v>
      </c>
      <c r="J5" s="5" t="s">
        <v>22</v>
      </c>
      <c r="K5" s="5" t="s">
        <v>23</v>
      </c>
      <c r="L5" s="5" t="s">
        <v>22</v>
      </c>
      <c r="M5" s="5" t="s">
        <v>23</v>
      </c>
      <c r="N5" s="5" t="s">
        <v>22</v>
      </c>
      <c r="O5" s="5" t="s">
        <v>23</v>
      </c>
      <c r="P5" s="5" t="s">
        <v>22</v>
      </c>
      <c r="Q5" s="5" t="s">
        <v>23</v>
      </c>
      <c r="R5" s="5" t="s">
        <v>22</v>
      </c>
      <c r="S5" s="5" t="s">
        <v>23</v>
      </c>
      <c r="T5" s="5" t="s">
        <v>22</v>
      </c>
      <c r="U5" s="5" t="s">
        <v>23</v>
      </c>
      <c r="V5" s="5" t="s">
        <v>22</v>
      </c>
      <c r="W5" s="5" t="s">
        <v>23</v>
      </c>
      <c r="X5" s="5" t="s">
        <v>22</v>
      </c>
      <c r="Y5" s="5" t="s">
        <v>23</v>
      </c>
      <c r="Z5" s="5" t="s">
        <v>22</v>
      </c>
      <c r="AA5" s="5" t="s">
        <v>23</v>
      </c>
      <c r="AB5" s="5" t="s">
        <v>22</v>
      </c>
      <c r="AC5" s="5" t="s">
        <v>23</v>
      </c>
      <c r="AD5" s="5" t="s">
        <v>22</v>
      </c>
      <c r="AE5" s="5" t="s">
        <v>23</v>
      </c>
      <c r="AF5" s="1145"/>
    </row>
    <row r="6" spans="1:33" ht="18.75" x14ac:dyDescent="0.25">
      <c r="A6" s="6">
        <v>1</v>
      </c>
      <c r="B6" s="6">
        <v>2</v>
      </c>
      <c r="C6" s="6">
        <v>3</v>
      </c>
      <c r="D6" s="6">
        <v>4</v>
      </c>
      <c r="E6" s="6">
        <v>5</v>
      </c>
      <c r="F6" s="6">
        <v>6</v>
      </c>
      <c r="G6" s="6">
        <v>7</v>
      </c>
      <c r="H6" s="6">
        <v>8</v>
      </c>
      <c r="I6" s="6">
        <v>9</v>
      </c>
      <c r="J6" s="6">
        <v>10</v>
      </c>
      <c r="K6" s="6">
        <v>11</v>
      </c>
      <c r="L6" s="6">
        <v>12</v>
      </c>
      <c r="M6" s="6">
        <v>13</v>
      </c>
      <c r="N6" s="6">
        <v>14</v>
      </c>
      <c r="O6" s="6">
        <v>15</v>
      </c>
      <c r="P6" s="6">
        <v>16</v>
      </c>
      <c r="Q6" s="6">
        <v>17</v>
      </c>
      <c r="R6" s="6">
        <v>18</v>
      </c>
      <c r="S6" s="6">
        <v>19</v>
      </c>
      <c r="T6" s="6">
        <v>20</v>
      </c>
      <c r="U6" s="6">
        <v>21</v>
      </c>
      <c r="V6" s="6">
        <v>22</v>
      </c>
      <c r="W6" s="6">
        <v>23</v>
      </c>
      <c r="X6" s="6">
        <v>24</v>
      </c>
      <c r="Y6" s="6">
        <v>25</v>
      </c>
      <c r="Z6" s="6">
        <v>26</v>
      </c>
      <c r="AA6" s="6">
        <v>27</v>
      </c>
      <c r="AB6" s="6">
        <v>28</v>
      </c>
      <c r="AC6" s="6">
        <v>29</v>
      </c>
      <c r="AD6" s="6">
        <v>30</v>
      </c>
      <c r="AE6" s="6">
        <v>31</v>
      </c>
      <c r="AF6" s="2">
        <v>32</v>
      </c>
    </row>
    <row r="7" spans="1:33" ht="112.5" x14ac:dyDescent="0.25">
      <c r="A7" s="49" t="s">
        <v>75</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2"/>
    </row>
    <row r="8" spans="1:33" ht="18.75" x14ac:dyDescent="0.25">
      <c r="A8" s="6" t="s">
        <v>54</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2"/>
    </row>
    <row r="9" spans="1:33" ht="56.25" customHeight="1" x14ac:dyDescent="0.25">
      <c r="A9" s="50" t="s">
        <v>49</v>
      </c>
      <c r="B9" s="30">
        <f t="shared" ref="B9:E10" si="0">B10</f>
        <v>853.42</v>
      </c>
      <c r="C9" s="30">
        <f>C10</f>
        <v>849.02</v>
      </c>
      <c r="D9" s="30">
        <f t="shared" si="0"/>
        <v>853.42</v>
      </c>
      <c r="E9" s="30">
        <f t="shared" si="0"/>
        <v>822.59999999999991</v>
      </c>
      <c r="F9" s="30"/>
      <c r="G9" s="30"/>
      <c r="H9" s="30">
        <f t="shared" ref="H9:Q10" si="1">H10</f>
        <v>0</v>
      </c>
      <c r="I9" s="30">
        <f t="shared" si="1"/>
        <v>0</v>
      </c>
      <c r="J9" s="30">
        <f t="shared" si="1"/>
        <v>0</v>
      </c>
      <c r="K9" s="30">
        <f t="shared" si="1"/>
        <v>0</v>
      </c>
      <c r="L9" s="30">
        <f t="shared" si="1"/>
        <v>0</v>
      </c>
      <c r="M9" s="30">
        <f t="shared" si="1"/>
        <v>0</v>
      </c>
      <c r="N9" s="30">
        <f t="shared" si="1"/>
        <v>2.7</v>
      </c>
      <c r="O9" s="30">
        <f t="shared" si="1"/>
        <v>0</v>
      </c>
      <c r="P9" s="30">
        <f t="shared" si="1"/>
        <v>4.4000000000000004</v>
      </c>
      <c r="Q9" s="30">
        <f t="shared" si="1"/>
        <v>3.36</v>
      </c>
      <c r="R9" s="30">
        <f t="shared" ref="R9:AA10" si="2">R10</f>
        <v>68.3</v>
      </c>
      <c r="S9" s="30">
        <f t="shared" si="2"/>
        <v>5.04</v>
      </c>
      <c r="T9" s="30">
        <f t="shared" si="2"/>
        <v>242.3</v>
      </c>
      <c r="U9" s="30">
        <f t="shared" si="2"/>
        <v>200.95</v>
      </c>
      <c r="V9" s="30">
        <f t="shared" si="2"/>
        <v>248.9</v>
      </c>
      <c r="W9" s="30">
        <f t="shared" si="2"/>
        <v>283.5</v>
      </c>
      <c r="X9" s="30">
        <f t="shared" si="2"/>
        <v>282.42</v>
      </c>
      <c r="Y9" s="30">
        <f t="shared" si="2"/>
        <v>321.01</v>
      </c>
      <c r="Z9" s="30">
        <f t="shared" si="2"/>
        <v>4.4000000000000004</v>
      </c>
      <c r="AA9" s="30">
        <f t="shared" si="2"/>
        <v>1.68</v>
      </c>
      <c r="AB9" s="30">
        <f t="shared" ref="AB9:AE10" si="3">AB10</f>
        <v>0</v>
      </c>
      <c r="AC9" s="30">
        <f t="shared" si="3"/>
        <v>7.06</v>
      </c>
      <c r="AD9" s="30">
        <f t="shared" si="3"/>
        <v>0</v>
      </c>
      <c r="AE9" s="30">
        <f t="shared" si="3"/>
        <v>0</v>
      </c>
      <c r="AF9" s="21"/>
    </row>
    <row r="10" spans="1:33" ht="18.75" x14ac:dyDescent="0.3">
      <c r="A10" s="13" t="s">
        <v>31</v>
      </c>
      <c r="B10" s="47">
        <f t="shared" si="0"/>
        <v>853.42</v>
      </c>
      <c r="C10" s="47">
        <f t="shared" si="0"/>
        <v>849.02</v>
      </c>
      <c r="D10" s="47">
        <f t="shared" si="0"/>
        <v>853.42</v>
      </c>
      <c r="E10" s="47">
        <f t="shared" si="0"/>
        <v>822.59999999999991</v>
      </c>
      <c r="F10" s="32">
        <f>E10/B10*100</f>
        <v>96.38864802793465</v>
      </c>
      <c r="G10" s="32">
        <f>E10/C10*100</f>
        <v>96.888176956962141</v>
      </c>
      <c r="H10" s="47">
        <f t="shared" si="1"/>
        <v>0</v>
      </c>
      <c r="I10" s="47">
        <f t="shared" si="1"/>
        <v>0</v>
      </c>
      <c r="J10" s="47">
        <f t="shared" si="1"/>
        <v>0</v>
      </c>
      <c r="K10" s="47">
        <f t="shared" si="1"/>
        <v>0</v>
      </c>
      <c r="L10" s="47">
        <f t="shared" si="1"/>
        <v>0</v>
      </c>
      <c r="M10" s="47">
        <f t="shared" si="1"/>
        <v>0</v>
      </c>
      <c r="N10" s="47">
        <f t="shared" si="1"/>
        <v>2.7</v>
      </c>
      <c r="O10" s="47">
        <f t="shared" si="1"/>
        <v>0</v>
      </c>
      <c r="P10" s="47">
        <f t="shared" si="1"/>
        <v>4.4000000000000004</v>
      </c>
      <c r="Q10" s="47">
        <f t="shared" si="1"/>
        <v>3.36</v>
      </c>
      <c r="R10" s="47">
        <f t="shared" si="2"/>
        <v>68.3</v>
      </c>
      <c r="S10" s="47">
        <f t="shared" si="2"/>
        <v>5.04</v>
      </c>
      <c r="T10" s="47">
        <f t="shared" si="2"/>
        <v>242.3</v>
      </c>
      <c r="U10" s="47">
        <f t="shared" si="2"/>
        <v>200.95</v>
      </c>
      <c r="V10" s="47">
        <f t="shared" si="2"/>
        <v>248.9</v>
      </c>
      <c r="W10" s="47">
        <f t="shared" si="2"/>
        <v>283.5</v>
      </c>
      <c r="X10" s="47">
        <f t="shared" si="2"/>
        <v>282.42</v>
      </c>
      <c r="Y10" s="47">
        <f t="shared" si="2"/>
        <v>321.01</v>
      </c>
      <c r="Z10" s="47">
        <f t="shared" si="2"/>
        <v>4.4000000000000004</v>
      </c>
      <c r="AA10" s="47">
        <f t="shared" si="2"/>
        <v>1.68</v>
      </c>
      <c r="AB10" s="47">
        <f t="shared" si="3"/>
        <v>0</v>
      </c>
      <c r="AC10" s="47">
        <f t="shared" si="3"/>
        <v>7.06</v>
      </c>
      <c r="AD10" s="47">
        <f t="shared" si="3"/>
        <v>0</v>
      </c>
      <c r="AE10" s="47">
        <f t="shared" si="3"/>
        <v>0</v>
      </c>
      <c r="AF10" s="29"/>
    </row>
    <row r="11" spans="1:33" ht="18.75" x14ac:dyDescent="0.3">
      <c r="A11" s="17" t="s">
        <v>33</v>
      </c>
      <c r="B11" s="47">
        <f>H11+J11+L11+N11+P11+R11+T11+V11+X11+Z11+AB11+AD11</f>
        <v>853.42</v>
      </c>
      <c r="C11" s="47">
        <f>N11+P11+R11+T11+V11+X11</f>
        <v>849.02</v>
      </c>
      <c r="D11" s="47">
        <f>N11+P11+R11+T11+V11+X11+Z11</f>
        <v>853.42</v>
      </c>
      <c r="E11" s="32">
        <f>Q11+S11+U11+W11+Y11+AA11+AC11</f>
        <v>822.59999999999991</v>
      </c>
      <c r="F11" s="32">
        <f t="shared" ref="F11:F17" si="4">E11/B11*100</f>
        <v>96.38864802793465</v>
      </c>
      <c r="G11" s="32">
        <f t="shared" ref="G11:G17" si="5">E11/C11*100</f>
        <v>96.888176956962141</v>
      </c>
      <c r="H11" s="32">
        <v>0</v>
      </c>
      <c r="I11" s="32"/>
      <c r="J11" s="32">
        <v>0</v>
      </c>
      <c r="K11" s="32"/>
      <c r="L11" s="32">
        <v>0</v>
      </c>
      <c r="M11" s="32"/>
      <c r="N11" s="32">
        <v>2.7</v>
      </c>
      <c r="O11" s="32"/>
      <c r="P11" s="32">
        <v>4.4000000000000004</v>
      </c>
      <c r="Q11" s="32">
        <v>3.36</v>
      </c>
      <c r="R11" s="32">
        <v>68.3</v>
      </c>
      <c r="S11" s="32">
        <v>5.04</v>
      </c>
      <c r="T11" s="32">
        <v>242.3</v>
      </c>
      <c r="U11" s="32">
        <v>200.95</v>
      </c>
      <c r="V11" s="32">
        <v>248.9</v>
      </c>
      <c r="W11" s="32">
        <v>283.5</v>
      </c>
      <c r="X11" s="32">
        <v>282.42</v>
      </c>
      <c r="Y11" s="32">
        <v>321.01</v>
      </c>
      <c r="Z11" s="32">
        <v>4.4000000000000004</v>
      </c>
      <c r="AA11" s="32">
        <v>1.68</v>
      </c>
      <c r="AB11" s="32">
        <v>0</v>
      </c>
      <c r="AC11" s="32">
        <v>7.06</v>
      </c>
      <c r="AD11" s="32">
        <v>0</v>
      </c>
      <c r="AE11" s="32"/>
      <c r="AF11" s="29"/>
      <c r="AG11" s="69">
        <f>C11-E11</f>
        <v>26.420000000000073</v>
      </c>
    </row>
    <row r="12" spans="1:33" ht="112.5" x14ac:dyDescent="0.3">
      <c r="A12" s="51" t="s">
        <v>50</v>
      </c>
      <c r="B12" s="47">
        <f t="shared" ref="B12:E13" si="6">B13</f>
        <v>5317.1</v>
      </c>
      <c r="C12" s="47">
        <f t="shared" si="6"/>
        <v>5084.6100000000006</v>
      </c>
      <c r="D12" s="47">
        <f>D13</f>
        <v>5084.6100000000006</v>
      </c>
      <c r="E12" s="47">
        <f t="shared" si="6"/>
        <v>5084.6000000000004</v>
      </c>
      <c r="F12" s="32">
        <f t="shared" si="4"/>
        <v>95.627315641985291</v>
      </c>
      <c r="G12" s="32">
        <f t="shared" si="5"/>
        <v>99.999803328082194</v>
      </c>
      <c r="H12" s="47">
        <f>H13</f>
        <v>441.3</v>
      </c>
      <c r="I12" s="47">
        <f t="shared" ref="I12:AE13" si="7">I13</f>
        <v>441.3</v>
      </c>
      <c r="J12" s="47">
        <f t="shared" si="7"/>
        <v>232.47</v>
      </c>
      <c r="K12" s="47">
        <f t="shared" si="7"/>
        <v>232.47</v>
      </c>
      <c r="L12" s="47">
        <f t="shared" si="7"/>
        <v>232.48</v>
      </c>
      <c r="M12" s="47">
        <f t="shared" si="7"/>
        <v>232.48</v>
      </c>
      <c r="N12" s="47">
        <f t="shared" si="7"/>
        <v>232.48</v>
      </c>
      <c r="O12" s="47">
        <f t="shared" si="7"/>
        <v>232.48</v>
      </c>
      <c r="P12" s="47">
        <f t="shared" si="7"/>
        <v>232.47</v>
      </c>
      <c r="Q12" s="47">
        <f t="shared" si="7"/>
        <v>232.47</v>
      </c>
      <c r="R12" s="47">
        <f t="shared" si="7"/>
        <v>232.48</v>
      </c>
      <c r="S12" s="47">
        <f t="shared" si="7"/>
        <v>232.48</v>
      </c>
      <c r="T12" s="47">
        <f t="shared" si="7"/>
        <v>1606.79</v>
      </c>
      <c r="U12" s="47">
        <f t="shared" si="7"/>
        <v>1606.79</v>
      </c>
      <c r="V12" s="47">
        <f t="shared" si="7"/>
        <v>232.48</v>
      </c>
      <c r="W12" s="47">
        <f t="shared" si="7"/>
        <v>232.48</v>
      </c>
      <c r="X12" s="47">
        <f t="shared" si="7"/>
        <v>232.48</v>
      </c>
      <c r="Y12" s="47">
        <f t="shared" si="7"/>
        <v>1176.7</v>
      </c>
      <c r="Z12" s="47">
        <f t="shared" si="7"/>
        <v>1176.71</v>
      </c>
      <c r="AA12" s="47">
        <f t="shared" si="7"/>
        <v>232.48</v>
      </c>
      <c r="AB12" s="47">
        <f t="shared" si="7"/>
        <v>232.47</v>
      </c>
      <c r="AC12" s="47">
        <f t="shared" si="7"/>
        <v>232.47</v>
      </c>
      <c r="AD12" s="47">
        <f t="shared" si="7"/>
        <v>232.49</v>
      </c>
      <c r="AE12" s="47">
        <f t="shared" si="7"/>
        <v>0</v>
      </c>
      <c r="AF12" s="29"/>
      <c r="AG12" s="69">
        <f t="shared" ref="AG12:AG68" si="8">C12-E12</f>
        <v>1.0000000000218279E-2</v>
      </c>
    </row>
    <row r="13" spans="1:33" ht="18.75" x14ac:dyDescent="0.3">
      <c r="A13" s="13" t="s">
        <v>31</v>
      </c>
      <c r="B13" s="47">
        <f t="shared" si="6"/>
        <v>5317.1</v>
      </c>
      <c r="C13" s="47">
        <f t="shared" si="6"/>
        <v>5084.6100000000006</v>
      </c>
      <c r="D13" s="47">
        <f t="shared" si="6"/>
        <v>5084.6100000000006</v>
      </c>
      <c r="E13" s="47">
        <f t="shared" si="6"/>
        <v>5084.6000000000004</v>
      </c>
      <c r="F13" s="32">
        <f>E13/B13*100</f>
        <v>95.627315641985291</v>
      </c>
      <c r="G13" s="32">
        <f t="shared" si="5"/>
        <v>99.999803328082194</v>
      </c>
      <c r="H13" s="32">
        <f>H14</f>
        <v>441.3</v>
      </c>
      <c r="I13" s="32">
        <f t="shared" si="7"/>
        <v>441.3</v>
      </c>
      <c r="J13" s="32">
        <f t="shared" si="7"/>
        <v>232.47</v>
      </c>
      <c r="K13" s="32">
        <f t="shared" si="7"/>
        <v>232.47</v>
      </c>
      <c r="L13" s="32">
        <f t="shared" si="7"/>
        <v>232.48</v>
      </c>
      <c r="M13" s="32">
        <f t="shared" si="7"/>
        <v>232.48</v>
      </c>
      <c r="N13" s="32">
        <f t="shared" si="7"/>
        <v>232.48</v>
      </c>
      <c r="O13" s="32">
        <f t="shared" si="7"/>
        <v>232.48</v>
      </c>
      <c r="P13" s="32">
        <f t="shared" si="7"/>
        <v>232.47</v>
      </c>
      <c r="Q13" s="32">
        <f t="shared" si="7"/>
        <v>232.47</v>
      </c>
      <c r="R13" s="32">
        <f t="shared" si="7"/>
        <v>232.48</v>
      </c>
      <c r="S13" s="32">
        <f t="shared" si="7"/>
        <v>232.48</v>
      </c>
      <c r="T13" s="32">
        <f t="shared" si="7"/>
        <v>1606.79</v>
      </c>
      <c r="U13" s="32">
        <f>U14</f>
        <v>1606.79</v>
      </c>
      <c r="V13" s="32">
        <f t="shared" si="7"/>
        <v>232.48</v>
      </c>
      <c r="W13" s="32">
        <f t="shared" si="7"/>
        <v>232.48</v>
      </c>
      <c r="X13" s="32">
        <f t="shared" si="7"/>
        <v>232.48</v>
      </c>
      <c r="Y13" s="32">
        <f t="shared" si="7"/>
        <v>1176.7</v>
      </c>
      <c r="Z13" s="32">
        <f t="shared" si="7"/>
        <v>1176.71</v>
      </c>
      <c r="AA13" s="32">
        <f t="shared" si="7"/>
        <v>232.48</v>
      </c>
      <c r="AB13" s="32">
        <f t="shared" si="7"/>
        <v>232.47</v>
      </c>
      <c r="AC13" s="32">
        <f t="shared" si="7"/>
        <v>232.47</v>
      </c>
      <c r="AD13" s="32">
        <f t="shared" si="7"/>
        <v>232.49</v>
      </c>
      <c r="AE13" s="32">
        <f t="shared" si="7"/>
        <v>0</v>
      </c>
      <c r="AF13" s="29"/>
      <c r="AG13" s="69">
        <f t="shared" si="8"/>
        <v>1.0000000000218279E-2</v>
      </c>
    </row>
    <row r="14" spans="1:33" ht="93.75" x14ac:dyDescent="0.3">
      <c r="A14" s="13" t="s">
        <v>33</v>
      </c>
      <c r="B14" s="47">
        <f>H14+J14+L14+N14+P14+R14+T14+V14+X14+Z14+AB14+AD14</f>
        <v>5317.1</v>
      </c>
      <c r="C14" s="47">
        <f>H14+J14+L14+N14+P14+R14+T14+V14+X14+Z14+AB14</f>
        <v>5084.6100000000006</v>
      </c>
      <c r="D14" s="47">
        <f>H14+J14+L14+N14+P14+R14+T14+V14+X14+Z14+AB14</f>
        <v>5084.6100000000006</v>
      </c>
      <c r="E14" s="32">
        <f>I14+K14+M14+O14+Q14+S14+U14+W14+Y14+AA14+AC14</f>
        <v>5084.6000000000004</v>
      </c>
      <c r="F14" s="32">
        <f>E14/B14*100</f>
        <v>95.627315641985291</v>
      </c>
      <c r="G14" s="32">
        <f t="shared" si="5"/>
        <v>99.999803328082194</v>
      </c>
      <c r="H14" s="32">
        <v>441.3</v>
      </c>
      <c r="I14" s="32">
        <v>441.3</v>
      </c>
      <c r="J14" s="32">
        <v>232.47</v>
      </c>
      <c r="K14" s="32">
        <v>232.47</v>
      </c>
      <c r="L14" s="32">
        <v>232.48</v>
      </c>
      <c r="M14" s="32">
        <v>232.48</v>
      </c>
      <c r="N14" s="32">
        <v>232.48</v>
      </c>
      <c r="O14" s="32">
        <v>232.48</v>
      </c>
      <c r="P14" s="32">
        <v>232.47</v>
      </c>
      <c r="Q14" s="32">
        <v>232.47</v>
      </c>
      <c r="R14" s="32">
        <v>232.48</v>
      </c>
      <c r="S14" s="32">
        <v>232.48</v>
      </c>
      <c r="T14" s="32">
        <v>1606.79</v>
      </c>
      <c r="U14" s="32">
        <v>1606.79</v>
      </c>
      <c r="V14" s="32">
        <v>232.48</v>
      </c>
      <c r="W14" s="32">
        <v>232.48</v>
      </c>
      <c r="X14" s="32">
        <v>232.48</v>
      </c>
      <c r="Y14" s="32">
        <v>1176.7</v>
      </c>
      <c r="Z14" s="32">
        <v>1176.71</v>
      </c>
      <c r="AA14" s="32">
        <v>232.48</v>
      </c>
      <c r="AB14" s="32">
        <v>232.47</v>
      </c>
      <c r="AC14" s="32">
        <v>232.47</v>
      </c>
      <c r="AD14" s="32">
        <v>232.49</v>
      </c>
      <c r="AE14" s="32"/>
      <c r="AF14" s="665" t="s">
        <v>500</v>
      </c>
      <c r="AG14" s="69">
        <f t="shared" si="8"/>
        <v>1.0000000000218279E-2</v>
      </c>
    </row>
    <row r="15" spans="1:33" ht="75" x14ac:dyDescent="0.3">
      <c r="A15" s="50" t="s">
        <v>51</v>
      </c>
      <c r="B15" s="47">
        <f t="shared" ref="B15:E16" si="9">B16</f>
        <v>10.15</v>
      </c>
      <c r="C15" s="47">
        <f t="shared" si="9"/>
        <v>0</v>
      </c>
      <c r="D15" s="47">
        <f t="shared" si="9"/>
        <v>0</v>
      </c>
      <c r="E15" s="47">
        <f t="shared" si="9"/>
        <v>0</v>
      </c>
      <c r="F15" s="32">
        <f t="shared" si="4"/>
        <v>0</v>
      </c>
      <c r="G15" s="32" t="e">
        <f t="shared" si="5"/>
        <v>#DIV/0!</v>
      </c>
      <c r="H15" s="47">
        <f>H16</f>
        <v>0</v>
      </c>
      <c r="I15" s="47">
        <f t="shared" ref="I15:AE16" si="10">I16</f>
        <v>0</v>
      </c>
      <c r="J15" s="47">
        <f t="shared" si="10"/>
        <v>0</v>
      </c>
      <c r="K15" s="47">
        <f t="shared" si="10"/>
        <v>0</v>
      </c>
      <c r="L15" s="47">
        <f t="shared" si="10"/>
        <v>0</v>
      </c>
      <c r="M15" s="47">
        <f t="shared" si="10"/>
        <v>0</v>
      </c>
      <c r="N15" s="47">
        <f t="shared" si="10"/>
        <v>0</v>
      </c>
      <c r="O15" s="47">
        <f t="shared" si="10"/>
        <v>0</v>
      </c>
      <c r="P15" s="47">
        <f t="shared" si="10"/>
        <v>0</v>
      </c>
      <c r="Q15" s="47">
        <f t="shared" si="10"/>
        <v>0</v>
      </c>
      <c r="R15" s="47">
        <f t="shared" si="10"/>
        <v>0</v>
      </c>
      <c r="S15" s="47">
        <f t="shared" si="10"/>
        <v>0</v>
      </c>
      <c r="T15" s="47">
        <f t="shared" si="10"/>
        <v>0</v>
      </c>
      <c r="U15" s="47">
        <f t="shared" si="10"/>
        <v>0</v>
      </c>
      <c r="V15" s="47">
        <f t="shared" si="10"/>
        <v>0</v>
      </c>
      <c r="W15" s="47">
        <f t="shared" si="10"/>
        <v>0</v>
      </c>
      <c r="X15" s="47">
        <f t="shared" si="10"/>
        <v>0</v>
      </c>
      <c r="Y15" s="47">
        <f t="shared" si="10"/>
        <v>0</v>
      </c>
      <c r="Z15" s="47">
        <f t="shared" si="10"/>
        <v>0</v>
      </c>
      <c r="AA15" s="47">
        <f t="shared" si="10"/>
        <v>0</v>
      </c>
      <c r="AB15" s="47">
        <f t="shared" si="10"/>
        <v>0</v>
      </c>
      <c r="AC15" s="47">
        <f t="shared" si="10"/>
        <v>0</v>
      </c>
      <c r="AD15" s="47">
        <f t="shared" si="10"/>
        <v>10.15</v>
      </c>
      <c r="AE15" s="47">
        <f t="shared" si="10"/>
        <v>0</v>
      </c>
      <c r="AF15" s="29"/>
      <c r="AG15" s="69">
        <f t="shared" si="8"/>
        <v>0</v>
      </c>
    </row>
    <row r="16" spans="1:33" ht="18.75" x14ac:dyDescent="0.3">
      <c r="A16" s="12" t="s">
        <v>31</v>
      </c>
      <c r="B16" s="47">
        <f t="shared" si="9"/>
        <v>10.15</v>
      </c>
      <c r="C16" s="35">
        <f t="shared" si="9"/>
        <v>0</v>
      </c>
      <c r="D16" s="35">
        <f t="shared" si="9"/>
        <v>0</v>
      </c>
      <c r="E16" s="35">
        <f t="shared" si="9"/>
        <v>0</v>
      </c>
      <c r="F16" s="32">
        <f t="shared" si="4"/>
        <v>0</v>
      </c>
      <c r="G16" s="32" t="e">
        <f t="shared" si="5"/>
        <v>#DIV/0!</v>
      </c>
      <c r="H16" s="32">
        <f>H17</f>
        <v>0</v>
      </c>
      <c r="I16" s="32">
        <f t="shared" si="10"/>
        <v>0</v>
      </c>
      <c r="J16" s="32">
        <f t="shared" si="10"/>
        <v>0</v>
      </c>
      <c r="K16" s="32">
        <f t="shared" si="10"/>
        <v>0</v>
      </c>
      <c r="L16" s="32">
        <f t="shared" si="10"/>
        <v>0</v>
      </c>
      <c r="M16" s="32">
        <f t="shared" si="10"/>
        <v>0</v>
      </c>
      <c r="N16" s="32">
        <f t="shared" si="10"/>
        <v>0</v>
      </c>
      <c r="O16" s="32">
        <f t="shared" si="10"/>
        <v>0</v>
      </c>
      <c r="P16" s="32">
        <f t="shared" si="10"/>
        <v>0</v>
      </c>
      <c r="Q16" s="32">
        <f t="shared" si="10"/>
        <v>0</v>
      </c>
      <c r="R16" s="32">
        <f t="shared" si="10"/>
        <v>0</v>
      </c>
      <c r="S16" s="32">
        <f t="shared" si="10"/>
        <v>0</v>
      </c>
      <c r="T16" s="32">
        <f t="shared" si="10"/>
        <v>0</v>
      </c>
      <c r="U16" s="32">
        <f t="shared" si="10"/>
        <v>0</v>
      </c>
      <c r="V16" s="32">
        <f t="shared" si="10"/>
        <v>0</v>
      </c>
      <c r="W16" s="32">
        <f t="shared" si="10"/>
        <v>0</v>
      </c>
      <c r="X16" s="32">
        <f t="shared" si="10"/>
        <v>0</v>
      </c>
      <c r="Y16" s="32">
        <f t="shared" si="10"/>
        <v>0</v>
      </c>
      <c r="Z16" s="32">
        <f t="shared" si="10"/>
        <v>0</v>
      </c>
      <c r="AA16" s="32">
        <f t="shared" si="10"/>
        <v>0</v>
      </c>
      <c r="AB16" s="32">
        <f t="shared" si="10"/>
        <v>0</v>
      </c>
      <c r="AC16" s="32">
        <f t="shared" si="10"/>
        <v>0</v>
      </c>
      <c r="AD16" s="32">
        <f t="shared" si="10"/>
        <v>10.15</v>
      </c>
      <c r="AE16" s="32">
        <f t="shared" si="10"/>
        <v>0</v>
      </c>
      <c r="AF16" s="29"/>
      <c r="AG16" s="69">
        <f t="shared" si="8"/>
        <v>0</v>
      </c>
    </row>
    <row r="17" spans="1:33" ht="18.75" x14ac:dyDescent="0.3">
      <c r="A17" s="13" t="s">
        <v>33</v>
      </c>
      <c r="B17" s="47">
        <f>H17+J17+L17+N17+P17+R17+T17+V17+X17+Z17+AB17+AD17</f>
        <v>10.15</v>
      </c>
      <c r="C17" s="32">
        <f>I17+K17+M17+O17+Q17+S17+U17+W17+Y17+AA17+AC17+AE17</f>
        <v>0</v>
      </c>
      <c r="D17" s="32">
        <f>I17</f>
        <v>0</v>
      </c>
      <c r="E17" s="32">
        <f>I17</f>
        <v>0</v>
      </c>
      <c r="F17" s="32">
        <f t="shared" si="4"/>
        <v>0</v>
      </c>
      <c r="G17" s="32" t="e">
        <f t="shared" si="5"/>
        <v>#DIV/0!</v>
      </c>
      <c r="H17" s="32"/>
      <c r="I17" s="32"/>
      <c r="J17" s="32"/>
      <c r="K17" s="32"/>
      <c r="L17" s="32"/>
      <c r="M17" s="32"/>
      <c r="N17" s="32"/>
      <c r="O17" s="32"/>
      <c r="P17" s="32"/>
      <c r="Q17" s="32"/>
      <c r="R17" s="32"/>
      <c r="S17" s="32"/>
      <c r="T17" s="32"/>
      <c r="U17" s="32"/>
      <c r="V17" s="32"/>
      <c r="W17" s="32"/>
      <c r="X17" s="32"/>
      <c r="Y17" s="32"/>
      <c r="Z17" s="32"/>
      <c r="AA17" s="32"/>
      <c r="AB17" s="32"/>
      <c r="AC17" s="32"/>
      <c r="AD17" s="32">
        <v>10.15</v>
      </c>
      <c r="AE17" s="32"/>
      <c r="AF17" s="29"/>
      <c r="AG17" s="69">
        <f t="shared" si="8"/>
        <v>0</v>
      </c>
    </row>
    <row r="18" spans="1:33" ht="75" x14ac:dyDescent="0.3">
      <c r="A18" s="48" t="s">
        <v>52</v>
      </c>
      <c r="B18" s="795">
        <f t="shared" ref="B18:E19" si="11">B19</f>
        <v>58.11</v>
      </c>
      <c r="C18" s="795">
        <f t="shared" si="11"/>
        <v>45.84</v>
      </c>
      <c r="D18" s="795">
        <f t="shared" si="11"/>
        <v>45.84</v>
      </c>
      <c r="E18" s="795">
        <f t="shared" si="11"/>
        <v>45.84</v>
      </c>
      <c r="F18" s="587"/>
      <c r="G18" s="587"/>
      <c r="H18" s="57">
        <f>H19</f>
        <v>0</v>
      </c>
      <c r="I18" s="57">
        <f t="shared" ref="I18:AE19" si="12">I19</f>
        <v>0</v>
      </c>
      <c r="J18" s="57">
        <f t="shared" si="12"/>
        <v>0</v>
      </c>
      <c r="K18" s="57">
        <f t="shared" si="12"/>
        <v>0</v>
      </c>
      <c r="L18" s="57">
        <f t="shared" si="12"/>
        <v>0</v>
      </c>
      <c r="M18" s="57">
        <f t="shared" si="12"/>
        <v>0</v>
      </c>
      <c r="N18" s="57">
        <f t="shared" si="12"/>
        <v>0</v>
      </c>
      <c r="O18" s="57">
        <f t="shared" si="12"/>
        <v>0</v>
      </c>
      <c r="P18" s="57">
        <f t="shared" si="12"/>
        <v>0</v>
      </c>
      <c r="Q18" s="57">
        <f t="shared" si="12"/>
        <v>0</v>
      </c>
      <c r="R18" s="57">
        <f t="shared" si="12"/>
        <v>45.84</v>
      </c>
      <c r="S18" s="57">
        <f t="shared" si="12"/>
        <v>45.84</v>
      </c>
      <c r="T18" s="57">
        <f t="shared" si="12"/>
        <v>0</v>
      </c>
      <c r="U18" s="57">
        <f t="shared" si="12"/>
        <v>0</v>
      </c>
      <c r="V18" s="57">
        <f t="shared" si="12"/>
        <v>0</v>
      </c>
      <c r="W18" s="57">
        <f t="shared" si="12"/>
        <v>0</v>
      </c>
      <c r="X18" s="57">
        <f t="shared" si="12"/>
        <v>0</v>
      </c>
      <c r="Y18" s="57">
        <f t="shared" si="12"/>
        <v>0</v>
      </c>
      <c r="Z18" s="57">
        <f t="shared" si="12"/>
        <v>0</v>
      </c>
      <c r="AA18" s="57">
        <f t="shared" si="12"/>
        <v>0</v>
      </c>
      <c r="AB18" s="57">
        <f t="shared" si="12"/>
        <v>0</v>
      </c>
      <c r="AC18" s="57">
        <f t="shared" si="12"/>
        <v>0</v>
      </c>
      <c r="AD18" s="57">
        <f t="shared" si="12"/>
        <v>12.27</v>
      </c>
      <c r="AE18" s="57">
        <f t="shared" si="12"/>
        <v>0</v>
      </c>
      <c r="AF18" s="29"/>
      <c r="AG18" s="69">
        <f t="shared" si="8"/>
        <v>0</v>
      </c>
    </row>
    <row r="19" spans="1:33" ht="18.75" x14ac:dyDescent="0.3">
      <c r="A19" s="13" t="s">
        <v>31</v>
      </c>
      <c r="B19" s="47">
        <f t="shared" si="11"/>
        <v>58.11</v>
      </c>
      <c r="C19" s="47">
        <f t="shared" si="11"/>
        <v>45.84</v>
      </c>
      <c r="D19" s="47">
        <f t="shared" si="11"/>
        <v>45.84</v>
      </c>
      <c r="E19" s="47">
        <f t="shared" si="11"/>
        <v>45.84</v>
      </c>
      <c r="F19" s="32">
        <f>E19/B19*100</f>
        <v>78.884873515745994</v>
      </c>
      <c r="G19" s="32">
        <f>E19/C19*100</f>
        <v>100</v>
      </c>
      <c r="H19" s="47">
        <f>H20</f>
        <v>0</v>
      </c>
      <c r="I19" s="47">
        <f t="shared" si="12"/>
        <v>0</v>
      </c>
      <c r="J19" s="47">
        <f t="shared" si="12"/>
        <v>0</v>
      </c>
      <c r="K19" s="47">
        <f t="shared" si="12"/>
        <v>0</v>
      </c>
      <c r="L19" s="47">
        <f t="shared" si="12"/>
        <v>0</v>
      </c>
      <c r="M19" s="47">
        <f t="shared" si="12"/>
        <v>0</v>
      </c>
      <c r="N19" s="47">
        <f t="shared" si="12"/>
        <v>0</v>
      </c>
      <c r="O19" s="47">
        <f t="shared" si="12"/>
        <v>0</v>
      </c>
      <c r="P19" s="47">
        <f t="shared" si="12"/>
        <v>0</v>
      </c>
      <c r="Q19" s="47">
        <f t="shared" si="12"/>
        <v>0</v>
      </c>
      <c r="R19" s="47">
        <f t="shared" si="12"/>
        <v>45.84</v>
      </c>
      <c r="S19" s="47">
        <f t="shared" si="12"/>
        <v>45.84</v>
      </c>
      <c r="T19" s="47">
        <f t="shared" si="12"/>
        <v>0</v>
      </c>
      <c r="U19" s="47">
        <f t="shared" si="12"/>
        <v>0</v>
      </c>
      <c r="V19" s="47">
        <f t="shared" si="12"/>
        <v>0</v>
      </c>
      <c r="W19" s="47">
        <f t="shared" si="12"/>
        <v>0</v>
      </c>
      <c r="X19" s="47">
        <f t="shared" si="12"/>
        <v>0</v>
      </c>
      <c r="Y19" s="47">
        <f t="shared" si="12"/>
        <v>0</v>
      </c>
      <c r="Z19" s="47">
        <f t="shared" si="12"/>
        <v>0</v>
      </c>
      <c r="AA19" s="47">
        <f t="shared" si="12"/>
        <v>0</v>
      </c>
      <c r="AB19" s="47">
        <f t="shared" si="12"/>
        <v>0</v>
      </c>
      <c r="AC19" s="47">
        <f t="shared" si="12"/>
        <v>0</v>
      </c>
      <c r="AD19" s="47">
        <f t="shared" si="12"/>
        <v>12.27</v>
      </c>
      <c r="AE19" s="47">
        <f t="shared" si="12"/>
        <v>0</v>
      </c>
      <c r="AF19" s="29"/>
      <c r="AG19" s="69">
        <f t="shared" si="8"/>
        <v>0</v>
      </c>
    </row>
    <row r="20" spans="1:33" ht="18.75" x14ac:dyDescent="0.3">
      <c r="A20" s="13" t="s">
        <v>33</v>
      </c>
      <c r="B20" s="47">
        <f>H20+J20+L20+N20+P20+R20+T20+V20+X20+Z20+AB20+AD20</f>
        <v>58.11</v>
      </c>
      <c r="C20" s="47">
        <f>I20+K20+M20+O20+Q20+S20+U20+W20+Y20+AA20+AC20+AE20</f>
        <v>45.84</v>
      </c>
      <c r="D20" s="47">
        <f>H20+J20+L20+N20+P20+R20</f>
        <v>45.84</v>
      </c>
      <c r="E20" s="47">
        <f>I20+K20+M20+O20+Q20+S20</f>
        <v>45.84</v>
      </c>
      <c r="F20" s="32">
        <f>E20/B20*100</f>
        <v>78.884873515745994</v>
      </c>
      <c r="G20" s="32">
        <f>E20/C20*100</f>
        <v>100</v>
      </c>
      <c r="H20" s="29"/>
      <c r="I20" s="29"/>
      <c r="J20" s="29"/>
      <c r="K20" s="29"/>
      <c r="L20" s="29"/>
      <c r="M20" s="29"/>
      <c r="N20" s="29"/>
      <c r="O20" s="29"/>
      <c r="P20" s="29"/>
      <c r="Q20" s="29"/>
      <c r="R20" s="951">
        <v>45.84</v>
      </c>
      <c r="S20" s="29">
        <v>45.84</v>
      </c>
      <c r="T20" s="29"/>
      <c r="U20" s="29"/>
      <c r="V20" s="29"/>
      <c r="W20" s="29"/>
      <c r="X20" s="29"/>
      <c r="Y20" s="29"/>
      <c r="Z20" s="29"/>
      <c r="AA20" s="29"/>
      <c r="AB20" s="29"/>
      <c r="AC20" s="29"/>
      <c r="AD20" s="47">
        <v>12.27</v>
      </c>
      <c r="AE20" s="29"/>
      <c r="AF20" s="29"/>
      <c r="AG20" s="69">
        <f t="shared" si="8"/>
        <v>0</v>
      </c>
    </row>
    <row r="21" spans="1:33" ht="18.75" x14ac:dyDescent="0.3">
      <c r="A21" s="53" t="s">
        <v>53</v>
      </c>
      <c r="B21" s="587"/>
      <c r="C21" s="587"/>
      <c r="D21" s="587"/>
      <c r="E21" s="587"/>
      <c r="F21" s="587"/>
      <c r="G21" s="587"/>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69">
        <f t="shared" si="8"/>
        <v>0</v>
      </c>
    </row>
    <row r="22" spans="1:33" ht="18.75" x14ac:dyDescent="0.3">
      <c r="A22" s="13" t="s">
        <v>31</v>
      </c>
      <c r="B22" s="955">
        <f>B23</f>
        <v>6238.78</v>
      </c>
      <c r="C22" s="804">
        <f>C23</f>
        <v>5979.4700000000012</v>
      </c>
      <c r="D22" s="612">
        <f>D23</f>
        <v>5983.8700000000008</v>
      </c>
      <c r="E22" s="804">
        <f>E23</f>
        <v>5953.0400000000009</v>
      </c>
      <c r="F22" s="32">
        <f>E22/B22*100</f>
        <v>95.41993787246868</v>
      </c>
      <c r="G22" s="32">
        <f>E22/C22*100</f>
        <v>99.557987580839097</v>
      </c>
      <c r="H22" s="41">
        <f>H23</f>
        <v>441.3</v>
      </c>
      <c r="I22" s="41">
        <f t="shared" ref="I22:AE22" si="13">I23</f>
        <v>441.3</v>
      </c>
      <c r="J22" s="41">
        <f t="shared" si="13"/>
        <v>232.47</v>
      </c>
      <c r="K22" s="41">
        <f t="shared" si="13"/>
        <v>232.47</v>
      </c>
      <c r="L22" s="41">
        <f t="shared" si="13"/>
        <v>232.48</v>
      </c>
      <c r="M22" s="41">
        <f t="shared" si="13"/>
        <v>232.48</v>
      </c>
      <c r="N22" s="41">
        <f t="shared" si="13"/>
        <v>235.17999999999998</v>
      </c>
      <c r="O22" s="41">
        <f t="shared" si="13"/>
        <v>232.48</v>
      </c>
      <c r="P22" s="41">
        <f t="shared" si="13"/>
        <v>236.87</v>
      </c>
      <c r="Q22" s="41">
        <f t="shared" si="13"/>
        <v>235.83</v>
      </c>
      <c r="R22" s="41">
        <f t="shared" si="13"/>
        <v>346.62</v>
      </c>
      <c r="S22" s="41">
        <f t="shared" si="13"/>
        <v>283.36</v>
      </c>
      <c r="T22" s="41">
        <f t="shared" si="13"/>
        <v>1849.09</v>
      </c>
      <c r="U22" s="41">
        <f t="shared" si="13"/>
        <v>1807.74</v>
      </c>
      <c r="V22" s="41">
        <f t="shared" si="13"/>
        <v>481.38</v>
      </c>
      <c r="W22" s="41">
        <f t="shared" si="13"/>
        <v>515.98</v>
      </c>
      <c r="X22" s="41">
        <f t="shared" si="13"/>
        <v>514.9</v>
      </c>
      <c r="Y22" s="41">
        <f t="shared" si="13"/>
        <v>1497.71</v>
      </c>
      <c r="Z22" s="41">
        <f t="shared" si="13"/>
        <v>1181.1100000000001</v>
      </c>
      <c r="AA22" s="41">
        <f t="shared" si="13"/>
        <v>234.16</v>
      </c>
      <c r="AB22" s="41">
        <f t="shared" si="13"/>
        <v>232.47</v>
      </c>
      <c r="AC22" s="41">
        <f t="shared" si="13"/>
        <v>239.53</v>
      </c>
      <c r="AD22" s="41">
        <f t="shared" si="13"/>
        <v>254.91000000000003</v>
      </c>
      <c r="AE22" s="41">
        <f t="shared" si="13"/>
        <v>0</v>
      </c>
      <c r="AF22" s="29"/>
      <c r="AG22" s="69">
        <f t="shared" si="8"/>
        <v>26.430000000000291</v>
      </c>
    </row>
    <row r="23" spans="1:33" ht="18.75" x14ac:dyDescent="0.3">
      <c r="A23" s="13" t="s">
        <v>33</v>
      </c>
      <c r="B23" s="41">
        <f>B11+B14+B17+B20</f>
        <v>6238.78</v>
      </c>
      <c r="C23" s="41">
        <f>C11+C14+C17+C20</f>
        <v>5979.4700000000012</v>
      </c>
      <c r="D23" s="41">
        <f>D11+D14+D17+D20</f>
        <v>5983.8700000000008</v>
      </c>
      <c r="E23" s="41">
        <f>E11+E14+E17+E20</f>
        <v>5953.0400000000009</v>
      </c>
      <c r="F23" s="32">
        <f>E23/B23*100</f>
        <v>95.41993787246868</v>
      </c>
      <c r="G23" s="32">
        <f>E23/C23*100</f>
        <v>99.557987580839097</v>
      </c>
      <c r="H23" s="41">
        <f>H11+H14+H17+H20</f>
        <v>441.3</v>
      </c>
      <c r="I23" s="41">
        <f t="shared" ref="I23:AE23" si="14">I11+I14+I17+I20</f>
        <v>441.3</v>
      </c>
      <c r="J23" s="41">
        <f t="shared" si="14"/>
        <v>232.47</v>
      </c>
      <c r="K23" s="41">
        <f t="shared" si="14"/>
        <v>232.47</v>
      </c>
      <c r="L23" s="41">
        <f t="shared" si="14"/>
        <v>232.48</v>
      </c>
      <c r="M23" s="41">
        <v>232.48</v>
      </c>
      <c r="N23" s="41">
        <f t="shared" si="14"/>
        <v>235.17999999999998</v>
      </c>
      <c r="O23" s="41">
        <f t="shared" si="14"/>
        <v>232.48</v>
      </c>
      <c r="P23" s="41">
        <f t="shared" si="14"/>
        <v>236.87</v>
      </c>
      <c r="Q23" s="41">
        <f t="shared" si="14"/>
        <v>235.83</v>
      </c>
      <c r="R23" s="41">
        <f t="shared" si="14"/>
        <v>346.62</v>
      </c>
      <c r="S23" s="41">
        <f t="shared" si="14"/>
        <v>283.36</v>
      </c>
      <c r="T23" s="41">
        <f t="shared" si="14"/>
        <v>1849.09</v>
      </c>
      <c r="U23" s="41">
        <f t="shared" si="14"/>
        <v>1807.74</v>
      </c>
      <c r="V23" s="41">
        <f t="shared" si="14"/>
        <v>481.38</v>
      </c>
      <c r="W23" s="41">
        <f t="shared" si="14"/>
        <v>515.98</v>
      </c>
      <c r="X23" s="41">
        <f t="shared" si="14"/>
        <v>514.9</v>
      </c>
      <c r="Y23" s="41">
        <f t="shared" si="14"/>
        <v>1497.71</v>
      </c>
      <c r="Z23" s="41">
        <f t="shared" si="14"/>
        <v>1181.1100000000001</v>
      </c>
      <c r="AA23" s="41">
        <f t="shared" si="14"/>
        <v>234.16</v>
      </c>
      <c r="AB23" s="41">
        <f t="shared" si="14"/>
        <v>232.47</v>
      </c>
      <c r="AC23" s="41">
        <f t="shared" si="14"/>
        <v>239.53</v>
      </c>
      <c r="AD23" s="41">
        <f t="shared" si="14"/>
        <v>254.91000000000003</v>
      </c>
      <c r="AE23" s="41">
        <f t="shared" si="14"/>
        <v>0</v>
      </c>
      <c r="AF23" s="29"/>
      <c r="AG23" s="69">
        <f t="shared" si="8"/>
        <v>26.430000000000291</v>
      </c>
    </row>
    <row r="24" spans="1:33" ht="37.5" x14ac:dyDescent="0.3">
      <c r="A24" s="28" t="s">
        <v>72</v>
      </c>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69">
        <f t="shared" si="8"/>
        <v>0</v>
      </c>
    </row>
    <row r="25" spans="1:33" ht="18.75" x14ac:dyDescent="0.3">
      <c r="A25" s="8" t="s">
        <v>31</v>
      </c>
      <c r="B25" s="41">
        <f>B26</f>
        <v>6238.78</v>
      </c>
      <c r="C25" s="41">
        <f>C26</f>
        <v>5979.4700000000012</v>
      </c>
      <c r="D25" s="41">
        <f>D26</f>
        <v>5983.8700000000008</v>
      </c>
      <c r="E25" s="41">
        <f>E26</f>
        <v>5953.0400000000009</v>
      </c>
      <c r="F25" s="32">
        <f>E25/B25*100</f>
        <v>95.41993787246868</v>
      </c>
      <c r="G25" s="32">
        <f>E25/C25*100</f>
        <v>99.557987580839097</v>
      </c>
      <c r="H25" s="41">
        <f>H26</f>
        <v>441.3</v>
      </c>
      <c r="I25" s="41">
        <f t="shared" ref="I25:AE25" si="15">I26</f>
        <v>441.3</v>
      </c>
      <c r="J25" s="41">
        <f t="shared" si="15"/>
        <v>232.47</v>
      </c>
      <c r="K25" s="41">
        <f t="shared" si="15"/>
        <v>232.47</v>
      </c>
      <c r="L25" s="41">
        <f t="shared" si="15"/>
        <v>232.48</v>
      </c>
      <c r="M25" s="41">
        <f t="shared" si="15"/>
        <v>232.48</v>
      </c>
      <c r="N25" s="41">
        <f t="shared" si="15"/>
        <v>235.17999999999998</v>
      </c>
      <c r="O25" s="41">
        <f t="shared" si="15"/>
        <v>232.48</v>
      </c>
      <c r="P25" s="41">
        <f t="shared" si="15"/>
        <v>236.87</v>
      </c>
      <c r="Q25" s="41">
        <f t="shared" si="15"/>
        <v>235.83</v>
      </c>
      <c r="R25" s="41">
        <f t="shared" si="15"/>
        <v>346.62</v>
      </c>
      <c r="S25" s="41">
        <f t="shared" si="15"/>
        <v>283.36</v>
      </c>
      <c r="T25" s="41">
        <f t="shared" si="15"/>
        <v>1849.09</v>
      </c>
      <c r="U25" s="41">
        <f t="shared" si="15"/>
        <v>1807.74</v>
      </c>
      <c r="V25" s="41">
        <f t="shared" si="15"/>
        <v>481.38</v>
      </c>
      <c r="W25" s="41">
        <f t="shared" si="15"/>
        <v>515.98</v>
      </c>
      <c r="X25" s="41">
        <f t="shared" si="15"/>
        <v>514.9</v>
      </c>
      <c r="Y25" s="41">
        <f t="shared" si="15"/>
        <v>1497.71</v>
      </c>
      <c r="Z25" s="41">
        <f t="shared" si="15"/>
        <v>1181.1100000000001</v>
      </c>
      <c r="AA25" s="41">
        <f t="shared" si="15"/>
        <v>234.16</v>
      </c>
      <c r="AB25" s="41">
        <f t="shared" si="15"/>
        <v>232.47</v>
      </c>
      <c r="AC25" s="41">
        <f t="shared" si="15"/>
        <v>239.53</v>
      </c>
      <c r="AD25" s="41">
        <f t="shared" si="15"/>
        <v>254.91000000000003</v>
      </c>
      <c r="AE25" s="41">
        <f t="shared" si="15"/>
        <v>0</v>
      </c>
      <c r="AF25" s="29"/>
      <c r="AG25" s="69">
        <f t="shared" si="8"/>
        <v>26.430000000000291</v>
      </c>
    </row>
    <row r="26" spans="1:33" ht="18.75" x14ac:dyDescent="0.3">
      <c r="A26" s="13" t="s">
        <v>33</v>
      </c>
      <c r="B26" s="41">
        <f>B23</f>
        <v>6238.78</v>
      </c>
      <c r="C26" s="41">
        <f>C23</f>
        <v>5979.4700000000012</v>
      </c>
      <c r="D26" s="41">
        <f>D23</f>
        <v>5983.8700000000008</v>
      </c>
      <c r="E26" s="41">
        <f>E23</f>
        <v>5953.0400000000009</v>
      </c>
      <c r="F26" s="32">
        <f>E26/B26*100</f>
        <v>95.41993787246868</v>
      </c>
      <c r="G26" s="32">
        <f>E26/C26*100</f>
        <v>99.557987580839097</v>
      </c>
      <c r="H26" s="41">
        <f>H23</f>
        <v>441.3</v>
      </c>
      <c r="I26" s="41">
        <f t="shared" ref="I26:AE26" si="16">I23</f>
        <v>441.3</v>
      </c>
      <c r="J26" s="41">
        <f t="shared" si="16"/>
        <v>232.47</v>
      </c>
      <c r="K26" s="41">
        <f t="shared" si="16"/>
        <v>232.47</v>
      </c>
      <c r="L26" s="41">
        <f t="shared" si="16"/>
        <v>232.48</v>
      </c>
      <c r="M26" s="41">
        <v>232.48</v>
      </c>
      <c r="N26" s="41">
        <f t="shared" si="16"/>
        <v>235.17999999999998</v>
      </c>
      <c r="O26" s="41">
        <f t="shared" si="16"/>
        <v>232.48</v>
      </c>
      <c r="P26" s="41">
        <f t="shared" si="16"/>
        <v>236.87</v>
      </c>
      <c r="Q26" s="41">
        <f t="shared" si="16"/>
        <v>235.83</v>
      </c>
      <c r="R26" s="41">
        <f t="shared" si="16"/>
        <v>346.62</v>
      </c>
      <c r="S26" s="41">
        <f t="shared" si="16"/>
        <v>283.36</v>
      </c>
      <c r="T26" s="41">
        <f t="shared" si="16"/>
        <v>1849.09</v>
      </c>
      <c r="U26" s="41">
        <f t="shared" si="16"/>
        <v>1807.74</v>
      </c>
      <c r="V26" s="41">
        <f t="shared" si="16"/>
        <v>481.38</v>
      </c>
      <c r="W26" s="41">
        <f t="shared" si="16"/>
        <v>515.98</v>
      </c>
      <c r="X26" s="41">
        <f t="shared" si="16"/>
        <v>514.9</v>
      </c>
      <c r="Y26" s="41">
        <f t="shared" si="16"/>
        <v>1497.71</v>
      </c>
      <c r="Z26" s="41">
        <f t="shared" si="16"/>
        <v>1181.1100000000001</v>
      </c>
      <c r="AA26" s="41">
        <f t="shared" si="16"/>
        <v>234.16</v>
      </c>
      <c r="AB26" s="41">
        <f t="shared" si="16"/>
        <v>232.47</v>
      </c>
      <c r="AC26" s="41">
        <f t="shared" si="16"/>
        <v>239.53</v>
      </c>
      <c r="AD26" s="41">
        <f t="shared" si="16"/>
        <v>254.91000000000003</v>
      </c>
      <c r="AE26" s="41">
        <f t="shared" si="16"/>
        <v>0</v>
      </c>
      <c r="AF26" s="29"/>
      <c r="AG26" s="69">
        <f t="shared" si="8"/>
        <v>26.430000000000291</v>
      </c>
    </row>
    <row r="27" spans="1:33" ht="56.25" x14ac:dyDescent="0.3">
      <c r="A27" s="54" t="s">
        <v>55</v>
      </c>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69">
        <f t="shared" si="8"/>
        <v>0</v>
      </c>
    </row>
    <row r="28" spans="1:33" ht="18.75" x14ac:dyDescent="0.3">
      <c r="A28" s="52" t="s">
        <v>54</v>
      </c>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69">
        <f t="shared" si="8"/>
        <v>0</v>
      </c>
    </row>
    <row r="29" spans="1:33" ht="75" x14ac:dyDescent="0.3">
      <c r="A29" s="51" t="s">
        <v>56</v>
      </c>
      <c r="B29" s="795"/>
      <c r="C29" s="795"/>
      <c r="D29" s="795"/>
      <c r="E29" s="795"/>
      <c r="F29" s="795"/>
      <c r="G29" s="952"/>
      <c r="H29" s="952"/>
      <c r="I29" s="29"/>
      <c r="J29" s="29"/>
      <c r="K29" s="29"/>
      <c r="L29" s="29"/>
      <c r="M29" s="29"/>
      <c r="N29" s="29"/>
      <c r="O29" s="29"/>
      <c r="P29" s="29"/>
      <c r="Q29" s="29"/>
      <c r="R29" s="29">
        <f t="shared" ref="R29:Z30" si="17">R30</f>
        <v>10.08</v>
      </c>
      <c r="S29" s="29">
        <f t="shared" si="17"/>
        <v>10.08</v>
      </c>
      <c r="T29" s="29">
        <f t="shared" si="17"/>
        <v>110.08</v>
      </c>
      <c r="U29" s="29">
        <f t="shared" si="17"/>
        <v>98.48</v>
      </c>
      <c r="V29" s="29">
        <f t="shared" si="17"/>
        <v>26.62</v>
      </c>
      <c r="W29" s="29">
        <f t="shared" si="17"/>
        <v>30.03</v>
      </c>
      <c r="X29" s="29">
        <f t="shared" si="17"/>
        <v>36.700000000000003</v>
      </c>
      <c r="Y29" s="29">
        <f t="shared" si="17"/>
        <v>30.03</v>
      </c>
      <c r="Z29" s="29">
        <f t="shared" si="17"/>
        <v>36.700000000000003</v>
      </c>
      <c r="AA29" s="29">
        <f t="shared" ref="AA29:AE30" si="18">AA30</f>
        <v>30.03</v>
      </c>
      <c r="AB29" s="29">
        <f t="shared" si="18"/>
        <v>19.3</v>
      </c>
      <c r="AC29" s="29">
        <f t="shared" si="18"/>
        <v>19.95</v>
      </c>
      <c r="AD29" s="29">
        <f t="shared" si="18"/>
        <v>59.52</v>
      </c>
      <c r="AE29" s="29">
        <f t="shared" si="18"/>
        <v>0</v>
      </c>
      <c r="AF29" s="29"/>
      <c r="AG29" s="69">
        <f t="shared" si="8"/>
        <v>0</v>
      </c>
    </row>
    <row r="30" spans="1:33" ht="18.75" x14ac:dyDescent="0.3">
      <c r="A30" s="13" t="s">
        <v>31</v>
      </c>
      <c r="B30" s="47">
        <f>B31</f>
        <v>299</v>
      </c>
      <c r="C30" s="47">
        <f>C31</f>
        <v>239.48000000000002</v>
      </c>
      <c r="D30" s="47">
        <f>D31</f>
        <v>239.48000000000002</v>
      </c>
      <c r="E30" s="795">
        <f>E31</f>
        <v>218.6</v>
      </c>
      <c r="F30" s="47">
        <f>E30/B30*100</f>
        <v>73.110367892976598</v>
      </c>
      <c r="G30" s="47">
        <f>E30/C30*100</f>
        <v>91.281109069650896</v>
      </c>
      <c r="H30" s="952"/>
      <c r="I30" s="29"/>
      <c r="J30" s="29"/>
      <c r="K30" s="29"/>
      <c r="L30" s="29"/>
      <c r="M30" s="29"/>
      <c r="N30" s="29"/>
      <c r="O30" s="29"/>
      <c r="P30" s="29"/>
      <c r="Q30" s="29"/>
      <c r="R30" s="29">
        <f t="shared" si="17"/>
        <v>10.08</v>
      </c>
      <c r="S30" s="29">
        <f t="shared" si="17"/>
        <v>10.08</v>
      </c>
      <c r="T30" s="29">
        <f t="shared" si="17"/>
        <v>110.08</v>
      </c>
      <c r="U30" s="29">
        <f t="shared" si="17"/>
        <v>98.48</v>
      </c>
      <c r="V30" s="29">
        <f t="shared" si="17"/>
        <v>26.62</v>
      </c>
      <c r="W30" s="29">
        <f t="shared" si="17"/>
        <v>30.03</v>
      </c>
      <c r="X30" s="29">
        <f t="shared" si="17"/>
        <v>36.700000000000003</v>
      </c>
      <c r="Y30" s="29">
        <f t="shared" si="17"/>
        <v>30.03</v>
      </c>
      <c r="Z30" s="29">
        <f t="shared" si="17"/>
        <v>36.700000000000003</v>
      </c>
      <c r="AA30" s="29">
        <f t="shared" si="18"/>
        <v>30.03</v>
      </c>
      <c r="AB30" s="29">
        <f t="shared" si="18"/>
        <v>19.3</v>
      </c>
      <c r="AC30" s="29">
        <f t="shared" si="18"/>
        <v>19.95</v>
      </c>
      <c r="AD30" s="29">
        <f t="shared" si="18"/>
        <v>59.52</v>
      </c>
      <c r="AE30" s="29">
        <f t="shared" si="18"/>
        <v>0</v>
      </c>
      <c r="AF30" s="29"/>
      <c r="AG30" s="69">
        <f t="shared" si="8"/>
        <v>20.880000000000024</v>
      </c>
    </row>
    <row r="31" spans="1:33" ht="18.75" x14ac:dyDescent="0.3">
      <c r="A31" s="13" t="s">
        <v>33</v>
      </c>
      <c r="B31" s="47">
        <f>H31+J31+L31+N31+P31+R31+T31+V31+X31+Z31+AB31+AD31</f>
        <v>299</v>
      </c>
      <c r="C31" s="47">
        <f>H31+J31+L31+N31+P31+R31+T31+V31+X31+Z31+AB31</f>
        <v>239.48000000000002</v>
      </c>
      <c r="D31" s="47">
        <f>H31+J31+L31+N31+P31+R31+T31+V31+X31+Z31+AB31</f>
        <v>239.48000000000002</v>
      </c>
      <c r="E31" s="47">
        <f>I31+K31+M31+O31+Q31+S31+U31+W31+Y31+AA31+AC31</f>
        <v>218.6</v>
      </c>
      <c r="F31" s="47">
        <f>E31/B31*100</f>
        <v>73.110367892976598</v>
      </c>
      <c r="G31" s="47">
        <f>E31/C31*100</f>
        <v>91.281109069650896</v>
      </c>
      <c r="H31" s="952"/>
      <c r="I31" s="29"/>
      <c r="J31" s="29"/>
      <c r="K31" s="29"/>
      <c r="L31" s="29"/>
      <c r="M31" s="29"/>
      <c r="N31" s="29"/>
      <c r="O31" s="29"/>
      <c r="P31" s="29"/>
      <c r="Q31" s="29"/>
      <c r="R31" s="29">
        <v>10.08</v>
      </c>
      <c r="S31" s="29">
        <v>10.08</v>
      </c>
      <c r="T31" s="29">
        <v>110.08</v>
      </c>
      <c r="U31" s="29">
        <v>98.48</v>
      </c>
      <c r="V31" s="29">
        <v>26.62</v>
      </c>
      <c r="W31" s="29">
        <v>30.03</v>
      </c>
      <c r="X31" s="29">
        <v>36.700000000000003</v>
      </c>
      <c r="Y31" s="29">
        <v>30.03</v>
      </c>
      <c r="Z31" s="29">
        <v>36.700000000000003</v>
      </c>
      <c r="AA31" s="29">
        <v>30.03</v>
      </c>
      <c r="AB31" s="29">
        <v>19.3</v>
      </c>
      <c r="AC31" s="29">
        <v>19.95</v>
      </c>
      <c r="AD31" s="29">
        <v>59.52</v>
      </c>
      <c r="AE31" s="29"/>
      <c r="AF31" s="29"/>
      <c r="AG31" s="69">
        <f t="shared" si="8"/>
        <v>20.880000000000024</v>
      </c>
    </row>
    <row r="32" spans="1:33" ht="56.25" x14ac:dyDescent="0.3">
      <c r="A32" s="51" t="s">
        <v>57</v>
      </c>
      <c r="B32" s="952"/>
      <c r="C32" s="952"/>
      <c r="D32" s="952"/>
      <c r="E32" s="952"/>
      <c r="F32" s="952"/>
      <c r="G32" s="952"/>
      <c r="H32" s="952"/>
      <c r="I32" s="29"/>
      <c r="J32" s="29"/>
      <c r="K32" s="29"/>
      <c r="L32" s="29"/>
      <c r="M32" s="29"/>
      <c r="N32" s="29"/>
      <c r="O32" s="29"/>
      <c r="P32" s="29"/>
      <c r="Q32" s="29"/>
      <c r="R32" s="29"/>
      <c r="S32" s="29">
        <f t="shared" ref="S32:V33" si="19">S33</f>
        <v>0</v>
      </c>
      <c r="T32" s="29">
        <f t="shared" si="19"/>
        <v>51.97</v>
      </c>
      <c r="U32" s="29">
        <f t="shared" si="19"/>
        <v>44.17</v>
      </c>
      <c r="V32" s="29">
        <f t="shared" si="19"/>
        <v>0</v>
      </c>
      <c r="W32" s="29"/>
      <c r="X32" s="29"/>
      <c r="Y32" s="29"/>
      <c r="Z32" s="29"/>
      <c r="AA32" s="29"/>
      <c r="AB32" s="29"/>
      <c r="AC32" s="29"/>
      <c r="AD32" s="29"/>
      <c r="AE32" s="29"/>
      <c r="AF32" s="29"/>
      <c r="AG32" s="69">
        <f t="shared" si="8"/>
        <v>0</v>
      </c>
    </row>
    <row r="33" spans="1:33" ht="18.75" x14ac:dyDescent="0.3">
      <c r="A33" s="13" t="s">
        <v>31</v>
      </c>
      <c r="B33" s="47">
        <f>B34</f>
        <v>51.97</v>
      </c>
      <c r="C33" s="47">
        <f>C34</f>
        <v>51.97</v>
      </c>
      <c r="D33" s="47">
        <f>D34</f>
        <v>51.97</v>
      </c>
      <c r="E33" s="47">
        <f>E34</f>
        <v>44.17</v>
      </c>
      <c r="F33" s="47">
        <f>E33/B33*100</f>
        <v>84.991341158360598</v>
      </c>
      <c r="G33" s="47">
        <f>E33/C33*100</f>
        <v>84.991341158360598</v>
      </c>
      <c r="H33" s="952"/>
      <c r="I33" s="29"/>
      <c r="J33" s="29"/>
      <c r="K33" s="29"/>
      <c r="L33" s="29"/>
      <c r="M33" s="29"/>
      <c r="N33" s="29"/>
      <c r="O33" s="29"/>
      <c r="P33" s="29"/>
      <c r="Q33" s="29"/>
      <c r="R33" s="29"/>
      <c r="S33" s="29">
        <f t="shared" si="19"/>
        <v>0</v>
      </c>
      <c r="T33" s="29">
        <f t="shared" si="19"/>
        <v>51.97</v>
      </c>
      <c r="U33" s="29">
        <f t="shared" si="19"/>
        <v>44.17</v>
      </c>
      <c r="V33" s="29">
        <f t="shared" si="19"/>
        <v>0</v>
      </c>
      <c r="W33" s="29"/>
      <c r="X33" s="29"/>
      <c r="Y33" s="29"/>
      <c r="Z33" s="29"/>
      <c r="AA33" s="29"/>
      <c r="AB33" s="29"/>
      <c r="AC33" s="29"/>
      <c r="AD33" s="29"/>
      <c r="AE33" s="29"/>
      <c r="AF33" s="29"/>
      <c r="AG33" s="69">
        <f t="shared" si="8"/>
        <v>7.7999999999999972</v>
      </c>
    </row>
    <row r="34" spans="1:33" ht="18.75" x14ac:dyDescent="0.3">
      <c r="A34" s="13" t="s">
        <v>33</v>
      </c>
      <c r="B34" s="47">
        <f>T34</f>
        <v>51.97</v>
      </c>
      <c r="C34" s="47">
        <f>I34+K34+M34+O34+Q34+S34+T34+W34+Y34+AA34+AC34+AE34</f>
        <v>51.97</v>
      </c>
      <c r="D34" s="47">
        <f>I34+T34</f>
        <v>51.97</v>
      </c>
      <c r="E34" s="47">
        <f>I34+U34</f>
        <v>44.17</v>
      </c>
      <c r="F34" s="47">
        <f>E34/B34*100</f>
        <v>84.991341158360598</v>
      </c>
      <c r="G34" s="47">
        <f>E34/C34*100</f>
        <v>84.991341158360598</v>
      </c>
      <c r="H34" s="952"/>
      <c r="I34" s="29"/>
      <c r="J34" s="29"/>
      <c r="K34" s="29"/>
      <c r="L34" s="29"/>
      <c r="M34" s="29"/>
      <c r="N34" s="29"/>
      <c r="O34" s="29"/>
      <c r="P34" s="29"/>
      <c r="Q34" s="29"/>
      <c r="R34" s="29"/>
      <c r="S34" s="29"/>
      <c r="T34" s="29">
        <v>51.97</v>
      </c>
      <c r="U34" s="29">
        <v>44.17</v>
      </c>
      <c r="V34" s="29"/>
      <c r="W34" s="29"/>
      <c r="X34" s="29"/>
      <c r="Y34" s="29"/>
      <c r="Z34" s="29"/>
      <c r="AA34" s="29"/>
      <c r="AB34" s="29"/>
      <c r="AC34" s="29"/>
      <c r="AD34" s="29"/>
      <c r="AE34" s="29"/>
      <c r="AF34" s="29"/>
      <c r="AG34" s="69">
        <f t="shared" si="8"/>
        <v>7.7999999999999972</v>
      </c>
    </row>
    <row r="35" spans="1:33" ht="56.25" x14ac:dyDescent="0.3">
      <c r="A35" s="48" t="s">
        <v>58</v>
      </c>
      <c r="B35" s="952"/>
      <c r="C35" s="952"/>
      <c r="D35" s="952"/>
      <c r="E35" s="952"/>
      <c r="F35" s="952"/>
      <c r="G35" s="952"/>
      <c r="H35" s="952"/>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69">
        <f t="shared" si="8"/>
        <v>0</v>
      </c>
    </row>
    <row r="36" spans="1:33" ht="18.75" x14ac:dyDescent="0.3">
      <c r="A36" s="13" t="s">
        <v>31</v>
      </c>
      <c r="B36" s="795">
        <f>B37</f>
        <v>1357</v>
      </c>
      <c r="C36" s="795">
        <f>C37</f>
        <v>1357</v>
      </c>
      <c r="D36" s="795">
        <f>D37</f>
        <v>1357</v>
      </c>
      <c r="E36" s="795">
        <f>E37</f>
        <v>1357</v>
      </c>
      <c r="F36" s="47">
        <f>E36/B36*100</f>
        <v>100</v>
      </c>
      <c r="G36" s="47">
        <f>E36/C36*100</f>
        <v>100</v>
      </c>
      <c r="H36" s="795">
        <f>H37</f>
        <v>0</v>
      </c>
      <c r="I36" s="41">
        <f t="shared" ref="I36:AE36" si="20">I37</f>
        <v>0</v>
      </c>
      <c r="J36" s="41">
        <f t="shared" si="20"/>
        <v>1357</v>
      </c>
      <c r="K36" s="41">
        <f t="shared" si="20"/>
        <v>1357</v>
      </c>
      <c r="L36" s="41">
        <f t="shared" si="20"/>
        <v>0</v>
      </c>
      <c r="M36" s="41">
        <f t="shared" si="20"/>
        <v>0</v>
      </c>
      <c r="N36" s="41">
        <f t="shared" si="20"/>
        <v>0</v>
      </c>
      <c r="O36" s="41">
        <f t="shared" si="20"/>
        <v>0</v>
      </c>
      <c r="P36" s="41">
        <f t="shared" si="20"/>
        <v>0</v>
      </c>
      <c r="Q36" s="41">
        <f t="shared" si="20"/>
        <v>0</v>
      </c>
      <c r="R36" s="41">
        <f t="shared" si="20"/>
        <v>0</v>
      </c>
      <c r="S36" s="41">
        <f t="shared" si="20"/>
        <v>0</v>
      </c>
      <c r="T36" s="41">
        <f t="shared" si="20"/>
        <v>0</v>
      </c>
      <c r="U36" s="41">
        <f t="shared" si="20"/>
        <v>0</v>
      </c>
      <c r="V36" s="41">
        <f t="shared" si="20"/>
        <v>0</v>
      </c>
      <c r="W36" s="41">
        <f t="shared" si="20"/>
        <v>0</v>
      </c>
      <c r="X36" s="41">
        <f t="shared" si="20"/>
        <v>0</v>
      </c>
      <c r="Y36" s="41">
        <f t="shared" si="20"/>
        <v>0</v>
      </c>
      <c r="Z36" s="41">
        <f t="shared" si="20"/>
        <v>0</v>
      </c>
      <c r="AA36" s="41">
        <f t="shared" si="20"/>
        <v>0</v>
      </c>
      <c r="AB36" s="41">
        <f t="shared" si="20"/>
        <v>0</v>
      </c>
      <c r="AC36" s="41">
        <f t="shared" si="20"/>
        <v>0</v>
      </c>
      <c r="AD36" s="41">
        <f t="shared" si="20"/>
        <v>0</v>
      </c>
      <c r="AE36" s="41">
        <f t="shared" si="20"/>
        <v>0</v>
      </c>
      <c r="AF36" s="29"/>
      <c r="AG36" s="69">
        <f t="shared" si="8"/>
        <v>0</v>
      </c>
    </row>
    <row r="37" spans="1:33" ht="18.75" x14ac:dyDescent="0.3">
      <c r="A37" s="14" t="s">
        <v>74</v>
      </c>
      <c r="B37" s="47">
        <f>H37+J37+L37+N37+P37+R37+T37+V37+X37+Z37+AB37+AD37</f>
        <v>1357</v>
      </c>
      <c r="C37" s="47">
        <f>H37+J37</f>
        <v>1357</v>
      </c>
      <c r="D37" s="47">
        <f>H37+J37</f>
        <v>1357</v>
      </c>
      <c r="E37" s="47">
        <f>I37+K37</f>
        <v>1357</v>
      </c>
      <c r="F37" s="47">
        <f>E37/B37*100</f>
        <v>100</v>
      </c>
      <c r="G37" s="47">
        <f>E37/C37*100</f>
        <v>100</v>
      </c>
      <c r="H37" s="47"/>
      <c r="I37" s="47"/>
      <c r="J37" s="47">
        <v>1357</v>
      </c>
      <c r="K37" s="47">
        <v>1357</v>
      </c>
      <c r="L37" s="47"/>
      <c r="M37" s="47"/>
      <c r="N37" s="47"/>
      <c r="O37" s="47"/>
      <c r="P37" s="47"/>
      <c r="Q37" s="47"/>
      <c r="R37" s="47"/>
      <c r="S37" s="47"/>
      <c r="T37" s="47"/>
      <c r="U37" s="47"/>
      <c r="V37" s="47"/>
      <c r="W37" s="47"/>
      <c r="X37" s="47"/>
      <c r="Y37" s="47"/>
      <c r="Z37" s="47"/>
      <c r="AA37" s="47"/>
      <c r="AB37" s="47"/>
      <c r="AC37" s="47"/>
      <c r="AD37" s="47"/>
      <c r="AE37" s="47"/>
      <c r="AF37" s="47"/>
      <c r="AG37" s="69">
        <f t="shared" si="8"/>
        <v>0</v>
      </c>
    </row>
    <row r="38" spans="1:33" ht="18.75" x14ac:dyDescent="0.3">
      <c r="A38" s="55" t="s">
        <v>35</v>
      </c>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69">
        <f t="shared" si="8"/>
        <v>0</v>
      </c>
    </row>
    <row r="39" spans="1:33" ht="18.75" x14ac:dyDescent="0.3">
      <c r="A39" s="13" t="s">
        <v>31</v>
      </c>
      <c r="B39" s="955">
        <f>B40+B41</f>
        <v>1707.97</v>
      </c>
      <c r="C39" s="779">
        <f>C40+C41</f>
        <v>1648.45</v>
      </c>
      <c r="D39" s="41">
        <f>D40+D41</f>
        <v>1648.45</v>
      </c>
      <c r="E39" s="779">
        <f>E40+E41</f>
        <v>1619.77</v>
      </c>
      <c r="F39" s="32">
        <f>E39/B39*100</f>
        <v>94.835974870752992</v>
      </c>
      <c r="G39" s="47">
        <f>E39/C39*100</f>
        <v>98.260183809032725</v>
      </c>
      <c r="H39" s="41">
        <f t="shared" ref="H39:AE39" si="21">H40+H41</f>
        <v>0</v>
      </c>
      <c r="I39" s="41">
        <f t="shared" si="21"/>
        <v>0</v>
      </c>
      <c r="J39" s="41">
        <f t="shared" si="21"/>
        <v>1357</v>
      </c>
      <c r="K39" s="41">
        <f t="shared" si="21"/>
        <v>1357</v>
      </c>
      <c r="L39" s="41">
        <f t="shared" si="21"/>
        <v>0</v>
      </c>
      <c r="M39" s="41">
        <f t="shared" si="21"/>
        <v>0</v>
      </c>
      <c r="N39" s="41">
        <f t="shared" si="21"/>
        <v>0</v>
      </c>
      <c r="O39" s="41">
        <f t="shared" si="21"/>
        <v>0</v>
      </c>
      <c r="P39" s="41">
        <f t="shared" si="21"/>
        <v>0</v>
      </c>
      <c r="Q39" s="41">
        <f t="shared" si="21"/>
        <v>0</v>
      </c>
      <c r="R39" s="41">
        <f t="shared" si="21"/>
        <v>10.08</v>
      </c>
      <c r="S39" s="41">
        <f t="shared" si="21"/>
        <v>10.08</v>
      </c>
      <c r="T39" s="41">
        <f t="shared" si="21"/>
        <v>162.05000000000001</v>
      </c>
      <c r="U39" s="41">
        <f t="shared" si="21"/>
        <v>142.65</v>
      </c>
      <c r="V39" s="41">
        <f t="shared" si="21"/>
        <v>26.62</v>
      </c>
      <c r="W39" s="41">
        <f t="shared" si="21"/>
        <v>30.03</v>
      </c>
      <c r="X39" s="41">
        <f t="shared" si="21"/>
        <v>36.700000000000003</v>
      </c>
      <c r="Y39" s="41">
        <f t="shared" si="21"/>
        <v>30.03</v>
      </c>
      <c r="Z39" s="41">
        <f t="shared" si="21"/>
        <v>36.700000000000003</v>
      </c>
      <c r="AA39" s="41">
        <f t="shared" si="21"/>
        <v>30.03</v>
      </c>
      <c r="AB39" s="41">
        <f t="shared" si="21"/>
        <v>19.3</v>
      </c>
      <c r="AC39" s="41">
        <f t="shared" si="21"/>
        <v>19.95</v>
      </c>
      <c r="AD39" s="41">
        <f t="shared" si="21"/>
        <v>59.52</v>
      </c>
      <c r="AE39" s="41">
        <f t="shared" si="21"/>
        <v>0</v>
      </c>
      <c r="AF39" s="29"/>
      <c r="AG39" s="69">
        <f t="shared" si="8"/>
        <v>28.680000000000064</v>
      </c>
    </row>
    <row r="40" spans="1:33" ht="18.75" x14ac:dyDescent="0.3">
      <c r="A40" s="13" t="s">
        <v>33</v>
      </c>
      <c r="B40" s="41">
        <f>B31+B34</f>
        <v>350.97</v>
      </c>
      <c r="C40" s="41">
        <f>C31+C34</f>
        <v>291.45000000000005</v>
      </c>
      <c r="D40" s="41">
        <f>D31+D34</f>
        <v>291.45000000000005</v>
      </c>
      <c r="E40" s="41">
        <f>E31+E34</f>
        <v>262.77</v>
      </c>
      <c r="F40" s="32">
        <f>E40/B40*100</f>
        <v>74.869646978374206</v>
      </c>
      <c r="G40" s="47">
        <f>E40/C40*100</f>
        <v>90.159547092125564</v>
      </c>
      <c r="H40" s="41">
        <f>H31+H34</f>
        <v>0</v>
      </c>
      <c r="I40" s="41">
        <f>I31+I34</f>
        <v>0</v>
      </c>
      <c r="J40" s="41">
        <f>J31+J34</f>
        <v>0</v>
      </c>
      <c r="K40" s="41">
        <f>K31+K34</f>
        <v>0</v>
      </c>
      <c r="L40" s="41">
        <f t="shared" ref="L40:AE40" si="22">L31+L34</f>
        <v>0</v>
      </c>
      <c r="M40" s="41">
        <f t="shared" si="22"/>
        <v>0</v>
      </c>
      <c r="N40" s="41">
        <f t="shared" si="22"/>
        <v>0</v>
      </c>
      <c r="O40" s="41">
        <f t="shared" si="22"/>
        <v>0</v>
      </c>
      <c r="P40" s="41">
        <f t="shared" si="22"/>
        <v>0</v>
      </c>
      <c r="Q40" s="41">
        <f t="shared" si="22"/>
        <v>0</v>
      </c>
      <c r="R40" s="41">
        <f t="shared" si="22"/>
        <v>10.08</v>
      </c>
      <c r="S40" s="41">
        <f t="shared" si="22"/>
        <v>10.08</v>
      </c>
      <c r="T40" s="41">
        <f t="shared" si="22"/>
        <v>162.05000000000001</v>
      </c>
      <c r="U40" s="41">
        <f t="shared" si="22"/>
        <v>142.65</v>
      </c>
      <c r="V40" s="41">
        <f t="shared" si="22"/>
        <v>26.62</v>
      </c>
      <c r="W40" s="41">
        <f t="shared" si="22"/>
        <v>30.03</v>
      </c>
      <c r="X40" s="41">
        <f t="shared" si="22"/>
        <v>36.700000000000003</v>
      </c>
      <c r="Y40" s="41">
        <f t="shared" si="22"/>
        <v>30.03</v>
      </c>
      <c r="Z40" s="41">
        <f t="shared" si="22"/>
        <v>36.700000000000003</v>
      </c>
      <c r="AA40" s="41">
        <f t="shared" si="22"/>
        <v>30.03</v>
      </c>
      <c r="AB40" s="41">
        <f t="shared" si="22"/>
        <v>19.3</v>
      </c>
      <c r="AC40" s="41">
        <f t="shared" si="22"/>
        <v>19.95</v>
      </c>
      <c r="AD40" s="41">
        <f t="shared" si="22"/>
        <v>59.52</v>
      </c>
      <c r="AE40" s="41">
        <f t="shared" si="22"/>
        <v>0</v>
      </c>
      <c r="AF40" s="29"/>
      <c r="AG40" s="69">
        <f t="shared" si="8"/>
        <v>28.680000000000064</v>
      </c>
    </row>
    <row r="41" spans="1:33" ht="18.75" x14ac:dyDescent="0.3">
      <c r="A41" s="14" t="s">
        <v>74</v>
      </c>
      <c r="B41" s="41">
        <f>B37</f>
        <v>1357</v>
      </c>
      <c r="C41" s="41">
        <f>C37</f>
        <v>1357</v>
      </c>
      <c r="D41" s="41">
        <f>D37</f>
        <v>1357</v>
      </c>
      <c r="E41" s="41">
        <f>E37</f>
        <v>1357</v>
      </c>
      <c r="F41" s="32">
        <f>E41/B41*100</f>
        <v>100</v>
      </c>
      <c r="G41" s="47">
        <f>E41/C41*100</f>
        <v>100</v>
      </c>
      <c r="H41" s="41">
        <f>H37</f>
        <v>0</v>
      </c>
      <c r="I41" s="41">
        <f>I37</f>
        <v>0</v>
      </c>
      <c r="J41" s="41">
        <f>J37</f>
        <v>1357</v>
      </c>
      <c r="K41" s="41">
        <f>K37</f>
        <v>1357</v>
      </c>
      <c r="L41" s="41">
        <f t="shared" ref="L41:AE41" si="23">L37</f>
        <v>0</v>
      </c>
      <c r="M41" s="41">
        <f t="shared" si="23"/>
        <v>0</v>
      </c>
      <c r="N41" s="41">
        <f t="shared" si="23"/>
        <v>0</v>
      </c>
      <c r="O41" s="41">
        <f t="shared" si="23"/>
        <v>0</v>
      </c>
      <c r="P41" s="41">
        <f t="shared" si="23"/>
        <v>0</v>
      </c>
      <c r="Q41" s="41">
        <f t="shared" si="23"/>
        <v>0</v>
      </c>
      <c r="R41" s="41">
        <f t="shared" si="23"/>
        <v>0</v>
      </c>
      <c r="S41" s="41">
        <f t="shared" si="23"/>
        <v>0</v>
      </c>
      <c r="T41" s="41">
        <f t="shared" si="23"/>
        <v>0</v>
      </c>
      <c r="U41" s="41">
        <f t="shared" si="23"/>
        <v>0</v>
      </c>
      <c r="V41" s="41">
        <f t="shared" si="23"/>
        <v>0</v>
      </c>
      <c r="W41" s="41">
        <f t="shared" si="23"/>
        <v>0</v>
      </c>
      <c r="X41" s="41">
        <f t="shared" si="23"/>
        <v>0</v>
      </c>
      <c r="Y41" s="41">
        <f t="shared" si="23"/>
        <v>0</v>
      </c>
      <c r="Z41" s="41">
        <f t="shared" si="23"/>
        <v>0</v>
      </c>
      <c r="AA41" s="41">
        <f t="shared" si="23"/>
        <v>0</v>
      </c>
      <c r="AB41" s="41">
        <f t="shared" si="23"/>
        <v>0</v>
      </c>
      <c r="AC41" s="41">
        <f t="shared" si="23"/>
        <v>0</v>
      </c>
      <c r="AD41" s="41">
        <f t="shared" si="23"/>
        <v>0</v>
      </c>
      <c r="AE41" s="41">
        <f t="shared" si="23"/>
        <v>0</v>
      </c>
      <c r="AF41" s="29"/>
      <c r="AG41" s="69">
        <f t="shared" si="8"/>
        <v>0</v>
      </c>
    </row>
    <row r="42" spans="1:33" ht="37.5" x14ac:dyDescent="0.3">
      <c r="A42" s="28" t="s">
        <v>73</v>
      </c>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69">
        <f t="shared" si="8"/>
        <v>0</v>
      </c>
    </row>
    <row r="43" spans="1:33" ht="18.75" x14ac:dyDescent="0.3">
      <c r="A43" s="8" t="s">
        <v>31</v>
      </c>
      <c r="B43" s="41">
        <f>B44+B45</f>
        <v>1707.97</v>
      </c>
      <c r="C43" s="41">
        <f>C44+C45</f>
        <v>1648.45</v>
      </c>
      <c r="D43" s="41">
        <f>D44+D45</f>
        <v>1648.45</v>
      </c>
      <c r="E43" s="41">
        <f>E44+E45</f>
        <v>1619.77</v>
      </c>
      <c r="F43" s="32">
        <f>E43/B43*100</f>
        <v>94.835974870752992</v>
      </c>
      <c r="G43" s="47">
        <f>E43/C43*100</f>
        <v>98.260183809032725</v>
      </c>
      <c r="H43" s="41">
        <f>H44+H45</f>
        <v>0</v>
      </c>
      <c r="I43" s="41">
        <f t="shared" ref="I43:AE43" si="24">I44+I45</f>
        <v>0</v>
      </c>
      <c r="J43" s="41">
        <f t="shared" si="24"/>
        <v>1357</v>
      </c>
      <c r="K43" s="41">
        <f t="shared" si="24"/>
        <v>1357</v>
      </c>
      <c r="L43" s="41">
        <f t="shared" si="24"/>
        <v>0</v>
      </c>
      <c r="M43" s="41">
        <f t="shared" si="24"/>
        <v>0</v>
      </c>
      <c r="N43" s="41">
        <f t="shared" si="24"/>
        <v>0</v>
      </c>
      <c r="O43" s="41">
        <f t="shared" si="24"/>
        <v>0</v>
      </c>
      <c r="P43" s="41">
        <f t="shared" si="24"/>
        <v>0</v>
      </c>
      <c r="Q43" s="41">
        <f t="shared" si="24"/>
        <v>0</v>
      </c>
      <c r="R43" s="41">
        <f t="shared" si="24"/>
        <v>10.08</v>
      </c>
      <c r="S43" s="41">
        <f t="shared" si="24"/>
        <v>10.08</v>
      </c>
      <c r="T43" s="41">
        <f t="shared" si="24"/>
        <v>162.05000000000001</v>
      </c>
      <c r="U43" s="41">
        <f t="shared" si="24"/>
        <v>142.65</v>
      </c>
      <c r="V43" s="41">
        <f t="shared" si="24"/>
        <v>26.62</v>
      </c>
      <c r="W43" s="41">
        <f t="shared" si="24"/>
        <v>30.03</v>
      </c>
      <c r="X43" s="41">
        <f t="shared" si="24"/>
        <v>36.700000000000003</v>
      </c>
      <c r="Y43" s="41">
        <f t="shared" si="24"/>
        <v>30.03</v>
      </c>
      <c r="Z43" s="41">
        <f t="shared" si="24"/>
        <v>36.700000000000003</v>
      </c>
      <c r="AA43" s="41">
        <f t="shared" si="24"/>
        <v>30.03</v>
      </c>
      <c r="AB43" s="41">
        <f t="shared" si="24"/>
        <v>19.3</v>
      </c>
      <c r="AC43" s="41">
        <f t="shared" si="24"/>
        <v>19.95</v>
      </c>
      <c r="AD43" s="41">
        <f t="shared" si="24"/>
        <v>59.52</v>
      </c>
      <c r="AE43" s="41">
        <f t="shared" si="24"/>
        <v>0</v>
      </c>
      <c r="AF43" s="29"/>
      <c r="AG43" s="69">
        <f t="shared" si="8"/>
        <v>28.680000000000064</v>
      </c>
    </row>
    <row r="44" spans="1:33" ht="18.75" x14ac:dyDescent="0.3">
      <c r="A44" s="13" t="s">
        <v>33</v>
      </c>
      <c r="B44" s="41">
        <f t="shared" ref="B44:E45" si="25">B40</f>
        <v>350.97</v>
      </c>
      <c r="C44" s="41">
        <f t="shared" si="25"/>
        <v>291.45000000000005</v>
      </c>
      <c r="D44" s="41">
        <f t="shared" si="25"/>
        <v>291.45000000000005</v>
      </c>
      <c r="E44" s="41">
        <f t="shared" si="25"/>
        <v>262.77</v>
      </c>
      <c r="F44" s="32">
        <f>E44/B44*100</f>
        <v>74.869646978374206</v>
      </c>
      <c r="G44" s="47">
        <f>E44/C44*100</f>
        <v>90.159547092125564</v>
      </c>
      <c r="H44" s="41">
        <f>H40</f>
        <v>0</v>
      </c>
      <c r="I44" s="41">
        <f t="shared" ref="I44:AE44" si="26">I40</f>
        <v>0</v>
      </c>
      <c r="J44" s="41">
        <f t="shared" si="26"/>
        <v>0</v>
      </c>
      <c r="K44" s="41">
        <f t="shared" si="26"/>
        <v>0</v>
      </c>
      <c r="L44" s="41">
        <f t="shared" si="26"/>
        <v>0</v>
      </c>
      <c r="M44" s="41">
        <f t="shared" si="26"/>
        <v>0</v>
      </c>
      <c r="N44" s="41">
        <f t="shared" si="26"/>
        <v>0</v>
      </c>
      <c r="O44" s="41">
        <f t="shared" si="26"/>
        <v>0</v>
      </c>
      <c r="P44" s="41">
        <f t="shared" si="26"/>
        <v>0</v>
      </c>
      <c r="Q44" s="41">
        <f t="shared" si="26"/>
        <v>0</v>
      </c>
      <c r="R44" s="41">
        <f t="shared" si="26"/>
        <v>10.08</v>
      </c>
      <c r="S44" s="41">
        <f t="shared" si="26"/>
        <v>10.08</v>
      </c>
      <c r="T44" s="41">
        <f t="shared" si="26"/>
        <v>162.05000000000001</v>
      </c>
      <c r="U44" s="41">
        <f t="shared" si="26"/>
        <v>142.65</v>
      </c>
      <c r="V44" s="41">
        <f t="shared" si="26"/>
        <v>26.62</v>
      </c>
      <c r="W44" s="41">
        <f t="shared" si="26"/>
        <v>30.03</v>
      </c>
      <c r="X44" s="41">
        <f t="shared" si="26"/>
        <v>36.700000000000003</v>
      </c>
      <c r="Y44" s="41">
        <f t="shared" si="26"/>
        <v>30.03</v>
      </c>
      <c r="Z44" s="41">
        <f t="shared" si="26"/>
        <v>36.700000000000003</v>
      </c>
      <c r="AA44" s="41">
        <f t="shared" si="26"/>
        <v>30.03</v>
      </c>
      <c r="AB44" s="41">
        <f t="shared" si="26"/>
        <v>19.3</v>
      </c>
      <c r="AC44" s="41">
        <f t="shared" si="26"/>
        <v>19.95</v>
      </c>
      <c r="AD44" s="41">
        <f t="shared" si="26"/>
        <v>59.52</v>
      </c>
      <c r="AE44" s="41">
        <f t="shared" si="26"/>
        <v>0</v>
      </c>
      <c r="AF44" s="29"/>
      <c r="AG44" s="69">
        <f t="shared" si="8"/>
        <v>28.680000000000064</v>
      </c>
    </row>
    <row r="45" spans="1:33" ht="18.75" x14ac:dyDescent="0.3">
      <c r="A45" s="14" t="s">
        <v>74</v>
      </c>
      <c r="B45" s="41">
        <f t="shared" si="25"/>
        <v>1357</v>
      </c>
      <c r="C45" s="41">
        <f t="shared" si="25"/>
        <v>1357</v>
      </c>
      <c r="D45" s="41">
        <f t="shared" si="25"/>
        <v>1357</v>
      </c>
      <c r="E45" s="41">
        <f t="shared" si="25"/>
        <v>1357</v>
      </c>
      <c r="F45" s="32">
        <f>E45/B45*100</f>
        <v>100</v>
      </c>
      <c r="G45" s="47">
        <f>E45/C45*100</f>
        <v>100</v>
      </c>
      <c r="H45" s="41">
        <f>H41</f>
        <v>0</v>
      </c>
      <c r="I45" s="41">
        <f t="shared" ref="I45:AE45" si="27">I41</f>
        <v>0</v>
      </c>
      <c r="J45" s="41">
        <f t="shared" si="27"/>
        <v>1357</v>
      </c>
      <c r="K45" s="41">
        <f t="shared" si="27"/>
        <v>1357</v>
      </c>
      <c r="L45" s="41">
        <f t="shared" si="27"/>
        <v>0</v>
      </c>
      <c r="M45" s="41">
        <f t="shared" si="27"/>
        <v>0</v>
      </c>
      <c r="N45" s="41">
        <f t="shared" si="27"/>
        <v>0</v>
      </c>
      <c r="O45" s="41">
        <f t="shared" si="27"/>
        <v>0</v>
      </c>
      <c r="P45" s="41">
        <f t="shared" si="27"/>
        <v>0</v>
      </c>
      <c r="Q45" s="41">
        <f t="shared" si="27"/>
        <v>0</v>
      </c>
      <c r="R45" s="41">
        <f t="shared" si="27"/>
        <v>0</v>
      </c>
      <c r="S45" s="41">
        <f t="shared" si="27"/>
        <v>0</v>
      </c>
      <c r="T45" s="41">
        <f t="shared" si="27"/>
        <v>0</v>
      </c>
      <c r="U45" s="41">
        <f t="shared" si="27"/>
        <v>0</v>
      </c>
      <c r="V45" s="41">
        <f t="shared" si="27"/>
        <v>0</v>
      </c>
      <c r="W45" s="41">
        <f t="shared" si="27"/>
        <v>0</v>
      </c>
      <c r="X45" s="41">
        <f t="shared" si="27"/>
        <v>0</v>
      </c>
      <c r="Y45" s="41">
        <f t="shared" si="27"/>
        <v>0</v>
      </c>
      <c r="Z45" s="41">
        <f t="shared" si="27"/>
        <v>0</v>
      </c>
      <c r="AA45" s="41">
        <f t="shared" si="27"/>
        <v>0</v>
      </c>
      <c r="AB45" s="41">
        <f t="shared" si="27"/>
        <v>0</v>
      </c>
      <c r="AC45" s="41">
        <f t="shared" si="27"/>
        <v>0</v>
      </c>
      <c r="AD45" s="41">
        <f t="shared" si="27"/>
        <v>0</v>
      </c>
      <c r="AE45" s="41">
        <f t="shared" si="27"/>
        <v>0</v>
      </c>
      <c r="AF45" s="29"/>
      <c r="AG45" s="69">
        <f t="shared" si="8"/>
        <v>0</v>
      </c>
    </row>
    <row r="46" spans="1:33" ht="131.25" x14ac:dyDescent="0.3">
      <c r="A46" s="54" t="s">
        <v>59</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69">
        <f t="shared" si="8"/>
        <v>0</v>
      </c>
    </row>
    <row r="47" spans="1:33" ht="18.75" x14ac:dyDescent="0.3">
      <c r="A47" s="52" t="s">
        <v>54</v>
      </c>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69">
        <f t="shared" si="8"/>
        <v>0</v>
      </c>
    </row>
    <row r="48" spans="1:33" ht="150" x14ac:dyDescent="0.3">
      <c r="A48" s="50" t="s">
        <v>60</v>
      </c>
      <c r="B48" s="953"/>
      <c r="C48" s="587"/>
      <c r="D48" s="587"/>
      <c r="E48" s="587"/>
      <c r="F48" s="587"/>
      <c r="G48" s="587"/>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69">
        <f t="shared" si="8"/>
        <v>0</v>
      </c>
    </row>
    <row r="49" spans="1:33" ht="18.75" x14ac:dyDescent="0.3">
      <c r="A49" s="55" t="s">
        <v>31</v>
      </c>
      <c r="B49" s="795">
        <f>B50+B51</f>
        <v>8815.7899999999991</v>
      </c>
      <c r="C49" s="795">
        <f>C50+C51</f>
        <v>8311.49</v>
      </c>
      <c r="D49" s="795">
        <f>D50+D51</f>
        <v>8311.49</v>
      </c>
      <c r="E49" s="795">
        <f>E50+E51</f>
        <v>8274.24</v>
      </c>
      <c r="F49" s="32">
        <f>E49/B49*100</f>
        <v>93.857045142862987</v>
      </c>
      <c r="G49" s="47">
        <f>E49/C49*100</f>
        <v>99.551825244330445</v>
      </c>
      <c r="H49" s="41">
        <f>H50</f>
        <v>1146.0999999999999</v>
      </c>
      <c r="I49" s="644">
        <f t="shared" ref="I49:AE49" si="28">I50</f>
        <v>760.22</v>
      </c>
      <c r="J49" s="644">
        <f t="shared" si="28"/>
        <v>746.3</v>
      </c>
      <c r="K49" s="648">
        <f t="shared" si="28"/>
        <v>1037.3499999999999</v>
      </c>
      <c r="L49" s="644">
        <f t="shared" si="28"/>
        <v>833.8</v>
      </c>
      <c r="M49" s="644">
        <f t="shared" si="28"/>
        <v>898.63</v>
      </c>
      <c r="N49" s="644">
        <f t="shared" si="28"/>
        <v>913.5</v>
      </c>
      <c r="O49" s="644">
        <f t="shared" si="28"/>
        <v>599.34</v>
      </c>
      <c r="P49" s="644">
        <f>P50+P51</f>
        <v>721.18999999999994</v>
      </c>
      <c r="Q49" s="644">
        <f>Q50+Q51</f>
        <v>512.80000000000007</v>
      </c>
      <c r="R49" s="644">
        <f t="shared" si="28"/>
        <v>619.5</v>
      </c>
      <c r="S49" s="644">
        <f t="shared" si="28"/>
        <v>1042.1599999999999</v>
      </c>
      <c r="T49" s="644">
        <f t="shared" si="28"/>
        <v>845.1</v>
      </c>
      <c r="U49" s="644">
        <f t="shared" si="28"/>
        <v>804.34</v>
      </c>
      <c r="V49" s="644">
        <f t="shared" si="28"/>
        <v>676.3</v>
      </c>
      <c r="W49" s="644">
        <f t="shared" si="28"/>
        <v>690.33</v>
      </c>
      <c r="X49" s="644">
        <f t="shared" si="28"/>
        <v>534.9</v>
      </c>
      <c r="Y49" s="644">
        <f t="shared" si="28"/>
        <v>690.33</v>
      </c>
      <c r="Z49" s="644">
        <f t="shared" si="28"/>
        <v>637.20000000000005</v>
      </c>
      <c r="AA49" s="644">
        <f t="shared" si="28"/>
        <v>525.39</v>
      </c>
      <c r="AB49" s="644">
        <f t="shared" si="28"/>
        <v>637.6</v>
      </c>
      <c r="AC49" s="644">
        <f t="shared" si="28"/>
        <v>713.35</v>
      </c>
      <c r="AD49" s="644">
        <f t="shared" si="28"/>
        <v>504.3</v>
      </c>
      <c r="AE49" s="644">
        <f t="shared" si="28"/>
        <v>0</v>
      </c>
      <c r="AF49" s="645"/>
      <c r="AG49" s="69">
        <f t="shared" si="8"/>
        <v>37.25</v>
      </c>
    </row>
    <row r="50" spans="1:33" s="46" customFormat="1" ht="93.75" x14ac:dyDescent="0.3">
      <c r="A50" s="15" t="s">
        <v>33</v>
      </c>
      <c r="B50" s="47">
        <f>H50+J50+L50+N50+P50+R50+T50+V50+X50+Z50+AB50+AD50</f>
        <v>8770.9</v>
      </c>
      <c r="C50" s="32">
        <f>H50+J50+L50+N50+P50+R50+T50+V50+X50+Z50+AB50</f>
        <v>8266.6</v>
      </c>
      <c r="D50" s="32">
        <f>H50+J50+L50+N50+P50+R50+T50+V50+X50+Z50+AB50</f>
        <v>8266.6</v>
      </c>
      <c r="E50" s="32">
        <f>I50+K50+M50+O50+Q50+S50+U50+W50+Y50+AA50+AC50</f>
        <v>8229.35</v>
      </c>
      <c r="F50" s="32">
        <f>E50/B50*100</f>
        <v>93.825605126041793</v>
      </c>
      <c r="G50" s="47">
        <f>E50/C50*100</f>
        <v>99.549391527351034</v>
      </c>
      <c r="H50" s="47">
        <v>1146.0999999999999</v>
      </c>
      <c r="I50" s="645">
        <v>760.22</v>
      </c>
      <c r="J50" s="645">
        <v>746.3</v>
      </c>
      <c r="K50" s="643">
        <v>1037.3499999999999</v>
      </c>
      <c r="L50" s="645">
        <v>833.8</v>
      </c>
      <c r="M50" s="645">
        <v>898.63</v>
      </c>
      <c r="N50" s="645">
        <v>913.5</v>
      </c>
      <c r="O50" s="645">
        <v>599.34</v>
      </c>
      <c r="P50" s="645">
        <v>676.3</v>
      </c>
      <c r="Q50" s="645">
        <v>467.91</v>
      </c>
      <c r="R50" s="645">
        <v>619.5</v>
      </c>
      <c r="S50" s="645">
        <f>1087.05-Q51</f>
        <v>1042.1599999999999</v>
      </c>
      <c r="T50" s="645">
        <v>845.1</v>
      </c>
      <c r="U50" s="645">
        <v>804.34</v>
      </c>
      <c r="V50" s="645">
        <v>676.3</v>
      </c>
      <c r="W50" s="645">
        <v>690.33</v>
      </c>
      <c r="X50" s="645">
        <v>534.9</v>
      </c>
      <c r="Y50" s="645">
        <v>690.33</v>
      </c>
      <c r="Z50" s="645">
        <v>637.20000000000005</v>
      </c>
      <c r="AA50" s="645">
        <v>525.39</v>
      </c>
      <c r="AB50" s="645">
        <v>637.6</v>
      </c>
      <c r="AC50" s="645">
        <v>713.35</v>
      </c>
      <c r="AD50" s="645">
        <v>504.3</v>
      </c>
      <c r="AE50" s="645"/>
      <c r="AF50" s="665" t="s">
        <v>500</v>
      </c>
      <c r="AG50" s="69">
        <f t="shared" si="8"/>
        <v>37.25</v>
      </c>
    </row>
    <row r="51" spans="1:33" s="46" customFormat="1" ht="18.75" x14ac:dyDescent="0.3">
      <c r="A51" s="821" t="s">
        <v>32</v>
      </c>
      <c r="B51" s="47">
        <f>H51+J51+L51+N51+P51+R51+T51+V51+X51+Z51+AB51+AD51</f>
        <v>44.89</v>
      </c>
      <c r="C51" s="32">
        <f>H51+J51+L51+N51+P51</f>
        <v>44.89</v>
      </c>
      <c r="D51" s="32">
        <f>H51+J51+L51+N51+P51</f>
        <v>44.89</v>
      </c>
      <c r="E51" s="32">
        <f>I51+K51+M51+O51+Q51</f>
        <v>44.89</v>
      </c>
      <c r="F51" s="32">
        <f>E51/B51*100</f>
        <v>100</v>
      </c>
      <c r="G51" s="47">
        <f>E51/C51*100</f>
        <v>100</v>
      </c>
      <c r="H51" s="47">
        <v>0</v>
      </c>
      <c r="I51" s="645">
        <v>0</v>
      </c>
      <c r="J51" s="645">
        <v>0</v>
      </c>
      <c r="K51" s="643">
        <v>0</v>
      </c>
      <c r="L51" s="645">
        <v>0</v>
      </c>
      <c r="M51" s="645">
        <v>0</v>
      </c>
      <c r="N51" s="645">
        <v>0</v>
      </c>
      <c r="O51" s="645">
        <v>0</v>
      </c>
      <c r="P51" s="645">
        <v>44.89</v>
      </c>
      <c r="Q51" s="645">
        <v>44.89</v>
      </c>
      <c r="R51" s="645">
        <v>0</v>
      </c>
      <c r="S51" s="645"/>
      <c r="T51" s="645">
        <v>0</v>
      </c>
      <c r="U51" s="645"/>
      <c r="V51" s="645"/>
      <c r="W51" s="645"/>
      <c r="X51" s="645"/>
      <c r="Y51" s="645"/>
      <c r="Z51" s="645"/>
      <c r="AA51" s="645"/>
      <c r="AB51" s="645"/>
      <c r="AC51" s="645"/>
      <c r="AD51" s="645"/>
      <c r="AE51" s="645"/>
      <c r="AF51" s="665"/>
      <c r="AG51" s="69"/>
    </row>
    <row r="52" spans="1:33" ht="112.5" x14ac:dyDescent="0.3">
      <c r="A52" s="51" t="s">
        <v>61</v>
      </c>
      <c r="B52" s="953"/>
      <c r="C52" s="587"/>
      <c r="D52" s="587"/>
      <c r="E52" s="587"/>
      <c r="F52" s="587"/>
      <c r="G52" s="587"/>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69">
        <f t="shared" si="8"/>
        <v>0</v>
      </c>
    </row>
    <row r="53" spans="1:33" ht="18.75" x14ac:dyDescent="0.3">
      <c r="A53" s="19" t="s">
        <v>31</v>
      </c>
      <c r="B53" s="612">
        <f>B54</f>
        <v>37403.800000000003</v>
      </c>
      <c r="C53" s="612">
        <f>C54</f>
        <v>34662.639999999999</v>
      </c>
      <c r="D53" s="612">
        <f>D54</f>
        <v>34662.639999999999</v>
      </c>
      <c r="E53" s="612">
        <f>E54</f>
        <v>29450.34</v>
      </c>
      <c r="F53" s="32">
        <f>E53/B53*100</f>
        <v>78.736224661665389</v>
      </c>
      <c r="G53" s="47">
        <f>E53/C53*100</f>
        <v>84.962772598971114</v>
      </c>
      <c r="H53" s="41">
        <f>H54</f>
        <v>2514.42</v>
      </c>
      <c r="I53" s="41">
        <f>I54</f>
        <v>1209.1099999999999</v>
      </c>
      <c r="J53" s="41">
        <f t="shared" ref="J53:AE53" si="29">J54</f>
        <v>2858.69</v>
      </c>
      <c r="K53" s="41">
        <f t="shared" si="29"/>
        <v>3080.14</v>
      </c>
      <c r="L53" s="41">
        <f t="shared" si="29"/>
        <v>3034.13</v>
      </c>
      <c r="M53" s="41">
        <f t="shared" si="29"/>
        <v>2727.01</v>
      </c>
      <c r="N53" s="41">
        <f t="shared" si="29"/>
        <v>3178.8</v>
      </c>
      <c r="O53" s="41">
        <f t="shared" si="29"/>
        <v>2883.44</v>
      </c>
      <c r="P53" s="41">
        <f t="shared" si="29"/>
        <v>3166.67</v>
      </c>
      <c r="Q53" s="41">
        <f t="shared" si="29"/>
        <v>2880.97</v>
      </c>
      <c r="R53" s="41">
        <f t="shared" si="29"/>
        <v>3144.42</v>
      </c>
      <c r="S53" s="41">
        <f t="shared" si="29"/>
        <v>3258.38</v>
      </c>
      <c r="T53" s="41">
        <f t="shared" si="29"/>
        <v>3751.78</v>
      </c>
      <c r="U53" s="41">
        <f t="shared" si="29"/>
        <v>3046.97</v>
      </c>
      <c r="V53" s="41">
        <f t="shared" si="29"/>
        <v>3146.42</v>
      </c>
      <c r="W53" s="41">
        <f t="shared" si="29"/>
        <v>2435.41</v>
      </c>
      <c r="X53" s="41">
        <f t="shared" si="29"/>
        <v>3196.68</v>
      </c>
      <c r="Y53" s="41">
        <f t="shared" si="29"/>
        <v>2626.94</v>
      </c>
      <c r="Z53" s="41">
        <f t="shared" si="29"/>
        <v>3473.53</v>
      </c>
      <c r="AA53" s="41">
        <f t="shared" si="29"/>
        <v>2643.09</v>
      </c>
      <c r="AB53" s="41">
        <f t="shared" si="29"/>
        <v>3197.1</v>
      </c>
      <c r="AC53" s="41">
        <f t="shared" si="29"/>
        <v>2658.88</v>
      </c>
      <c r="AD53" s="41">
        <f t="shared" si="29"/>
        <v>2741.16</v>
      </c>
      <c r="AE53" s="41">
        <f t="shared" si="29"/>
        <v>0</v>
      </c>
      <c r="AF53" s="29"/>
      <c r="AG53" s="69">
        <f t="shared" si="8"/>
        <v>5212.2999999999993</v>
      </c>
    </row>
    <row r="54" spans="1:33" s="46" customFormat="1" ht="93.75" x14ac:dyDescent="0.3">
      <c r="A54" s="15" t="s">
        <v>33</v>
      </c>
      <c r="B54" s="47">
        <f>H54+J54+L54+N54+P54+R54+T54+V54+X54+Z54+AB54+AD54</f>
        <v>37403.800000000003</v>
      </c>
      <c r="C54" s="47">
        <f>H54+J54+L54+N54+P54+R54+T54+V54+X54+Z54+AB54</f>
        <v>34662.639999999999</v>
      </c>
      <c r="D54" s="47">
        <f>H54+J54+L54+N54+P54+R54+T54+V54+X54+Z54+AB54</f>
        <v>34662.639999999999</v>
      </c>
      <c r="E54" s="47">
        <f>I54+K54+M54+O54+Q54+S54+U54+W54+Y54+AA54+AC54</f>
        <v>29450.34</v>
      </c>
      <c r="F54" s="32">
        <f>E54/B54*100</f>
        <v>78.736224661665389</v>
      </c>
      <c r="G54" s="47">
        <f>E54/C54*100</f>
        <v>84.962772598971114</v>
      </c>
      <c r="H54" s="47">
        <v>2514.42</v>
      </c>
      <c r="I54" s="47">
        <v>1209.1099999999999</v>
      </c>
      <c r="J54" s="47">
        <v>2858.69</v>
      </c>
      <c r="K54" s="47">
        <v>3080.14</v>
      </c>
      <c r="L54" s="47">
        <v>3034.13</v>
      </c>
      <c r="M54" s="47">
        <v>2727.01</v>
      </c>
      <c r="N54" s="47">
        <v>3178.8</v>
      </c>
      <c r="O54" s="47">
        <v>2883.44</v>
      </c>
      <c r="P54" s="47">
        <v>3166.67</v>
      </c>
      <c r="Q54" s="47">
        <v>2880.97</v>
      </c>
      <c r="R54" s="47">
        <v>3144.42</v>
      </c>
      <c r="S54" s="47">
        <v>3258.38</v>
      </c>
      <c r="T54" s="47">
        <v>3751.78</v>
      </c>
      <c r="U54" s="47">
        <v>3046.97</v>
      </c>
      <c r="V54" s="47">
        <v>3146.42</v>
      </c>
      <c r="W54" s="47">
        <v>2435.41</v>
      </c>
      <c r="X54" s="47">
        <v>3196.68</v>
      </c>
      <c r="Y54" s="47">
        <v>2626.94</v>
      </c>
      <c r="Z54" s="47">
        <v>3473.53</v>
      </c>
      <c r="AA54" s="47">
        <v>2643.09</v>
      </c>
      <c r="AB54" s="47">
        <v>3197.1</v>
      </c>
      <c r="AC54" s="47">
        <v>2658.88</v>
      </c>
      <c r="AD54" s="47">
        <v>2741.16</v>
      </c>
      <c r="AE54" s="47"/>
      <c r="AF54" s="665" t="s">
        <v>636</v>
      </c>
      <c r="AG54" s="69">
        <f t="shared" si="8"/>
        <v>5212.2999999999993</v>
      </c>
    </row>
    <row r="55" spans="1:33" ht="18.75" x14ac:dyDescent="0.3">
      <c r="A55" s="55" t="s">
        <v>62</v>
      </c>
      <c r="B55" s="29"/>
      <c r="C55" s="29"/>
      <c r="D55" s="29"/>
      <c r="E55" s="29"/>
      <c r="F55" s="29"/>
      <c r="G55" s="29"/>
      <c r="H55" s="29"/>
      <c r="I55" s="47"/>
      <c r="J55" s="47"/>
      <c r="K55" s="47"/>
      <c r="L55" s="47"/>
      <c r="M55" s="47"/>
      <c r="N55" s="47"/>
      <c r="O55" s="29"/>
      <c r="P55" s="29"/>
      <c r="Q55" s="29"/>
      <c r="R55" s="29"/>
      <c r="S55" s="29"/>
      <c r="T55" s="29"/>
      <c r="U55" s="29"/>
      <c r="V55" s="29"/>
      <c r="W55" s="29"/>
      <c r="X55" s="29"/>
      <c r="Y55" s="29"/>
      <c r="Z55" s="29"/>
      <c r="AA55" s="29"/>
      <c r="AB55" s="29"/>
      <c r="AC55" s="29"/>
      <c r="AD55" s="29"/>
      <c r="AE55" s="29"/>
      <c r="AF55" s="29"/>
      <c r="AG55" s="69">
        <f t="shared" si="8"/>
        <v>0</v>
      </c>
    </row>
    <row r="56" spans="1:33" ht="18.75" x14ac:dyDescent="0.3">
      <c r="A56" s="19" t="s">
        <v>31</v>
      </c>
      <c r="B56" s="956">
        <f>B57</f>
        <v>46174.700000000004</v>
      </c>
      <c r="C56" s="779">
        <f>C57</f>
        <v>42929.24</v>
      </c>
      <c r="D56" s="41">
        <f>D57</f>
        <v>42929.24</v>
      </c>
      <c r="E56" s="779">
        <f>E57</f>
        <v>37679.69</v>
      </c>
      <c r="F56" s="32">
        <f>E56/B56*100</f>
        <v>81.60245762289739</v>
      </c>
      <c r="G56" s="47">
        <f>E56/C56*100</f>
        <v>87.771621393716742</v>
      </c>
      <c r="H56" s="41">
        <f t="shared" ref="H56:AE56" si="30">H57</f>
        <v>3660.52</v>
      </c>
      <c r="I56" s="41">
        <f t="shared" si="30"/>
        <v>1969.33</v>
      </c>
      <c r="J56" s="41">
        <f t="shared" si="30"/>
        <v>3604.99</v>
      </c>
      <c r="K56" s="41">
        <f t="shared" si="30"/>
        <v>4117.49</v>
      </c>
      <c r="L56" s="41">
        <f t="shared" si="30"/>
        <v>3867.9300000000003</v>
      </c>
      <c r="M56" s="41">
        <f t="shared" si="30"/>
        <v>3625.6400000000003</v>
      </c>
      <c r="N56" s="41">
        <f t="shared" si="30"/>
        <v>4092.3</v>
      </c>
      <c r="O56" s="41">
        <f t="shared" si="30"/>
        <v>3482.78</v>
      </c>
      <c r="P56" s="41">
        <f t="shared" si="30"/>
        <v>3842.9700000000003</v>
      </c>
      <c r="Q56" s="41">
        <f t="shared" si="30"/>
        <v>3348.8799999999997</v>
      </c>
      <c r="R56" s="41">
        <f t="shared" si="30"/>
        <v>3763.92</v>
      </c>
      <c r="S56" s="41">
        <f t="shared" si="30"/>
        <v>4300.54</v>
      </c>
      <c r="T56" s="41">
        <f t="shared" si="30"/>
        <v>4596.88</v>
      </c>
      <c r="U56" s="41">
        <f t="shared" si="30"/>
        <v>3851.31</v>
      </c>
      <c r="V56" s="41">
        <f t="shared" si="30"/>
        <v>3822.7200000000003</v>
      </c>
      <c r="W56" s="41">
        <f t="shared" si="30"/>
        <v>3125.74</v>
      </c>
      <c r="X56" s="41">
        <f t="shared" si="30"/>
        <v>3731.58</v>
      </c>
      <c r="Y56" s="41">
        <f t="shared" si="30"/>
        <v>3317.27</v>
      </c>
      <c r="Z56" s="41">
        <f t="shared" si="30"/>
        <v>4110.7300000000005</v>
      </c>
      <c r="AA56" s="41">
        <f t="shared" si="30"/>
        <v>3168.48</v>
      </c>
      <c r="AB56" s="41">
        <f t="shared" si="30"/>
        <v>3834.7</v>
      </c>
      <c r="AC56" s="41">
        <f t="shared" si="30"/>
        <v>3372.23</v>
      </c>
      <c r="AD56" s="41">
        <f t="shared" si="30"/>
        <v>3245.46</v>
      </c>
      <c r="AE56" s="41">
        <f t="shared" si="30"/>
        <v>0</v>
      </c>
      <c r="AF56" s="29"/>
      <c r="AG56" s="69">
        <f t="shared" si="8"/>
        <v>5249.5499999999956</v>
      </c>
    </row>
    <row r="57" spans="1:33" ht="18.75" x14ac:dyDescent="0.3">
      <c r="A57" s="15" t="s">
        <v>33</v>
      </c>
      <c r="B57" s="41">
        <f>B50+B54</f>
        <v>46174.700000000004</v>
      </c>
      <c r="C57" s="41">
        <f>C50+C54</f>
        <v>42929.24</v>
      </c>
      <c r="D57" s="41">
        <f>D50+D54</f>
        <v>42929.24</v>
      </c>
      <c r="E57" s="41">
        <f>E50+E54</f>
        <v>37679.69</v>
      </c>
      <c r="F57" s="32">
        <f>E57/B57*100</f>
        <v>81.60245762289739</v>
      </c>
      <c r="G57" s="47">
        <f>E57/C57*100</f>
        <v>87.771621393716742</v>
      </c>
      <c r="H57" s="41">
        <f t="shared" ref="H57:AE57" si="31">H50+H54</f>
        <v>3660.52</v>
      </c>
      <c r="I57" s="41">
        <f t="shared" si="31"/>
        <v>1969.33</v>
      </c>
      <c r="J57" s="41">
        <f t="shared" si="31"/>
        <v>3604.99</v>
      </c>
      <c r="K57" s="41">
        <f t="shared" si="31"/>
        <v>4117.49</v>
      </c>
      <c r="L57" s="41">
        <f t="shared" si="31"/>
        <v>3867.9300000000003</v>
      </c>
      <c r="M57" s="41">
        <f t="shared" si="31"/>
        <v>3625.6400000000003</v>
      </c>
      <c r="N57" s="41">
        <f t="shared" si="31"/>
        <v>4092.3</v>
      </c>
      <c r="O57" s="41">
        <f t="shared" si="31"/>
        <v>3482.78</v>
      </c>
      <c r="P57" s="41">
        <f t="shared" si="31"/>
        <v>3842.9700000000003</v>
      </c>
      <c r="Q57" s="41">
        <f t="shared" si="31"/>
        <v>3348.8799999999997</v>
      </c>
      <c r="R57" s="41">
        <f t="shared" si="31"/>
        <v>3763.92</v>
      </c>
      <c r="S57" s="41">
        <f t="shared" si="31"/>
        <v>4300.54</v>
      </c>
      <c r="T57" s="41">
        <f t="shared" si="31"/>
        <v>4596.88</v>
      </c>
      <c r="U57" s="41">
        <f t="shared" si="31"/>
        <v>3851.31</v>
      </c>
      <c r="V57" s="41">
        <f t="shared" si="31"/>
        <v>3822.7200000000003</v>
      </c>
      <c r="W57" s="41">
        <f t="shared" si="31"/>
        <v>3125.74</v>
      </c>
      <c r="X57" s="41">
        <f t="shared" si="31"/>
        <v>3731.58</v>
      </c>
      <c r="Y57" s="41">
        <f t="shared" si="31"/>
        <v>3317.27</v>
      </c>
      <c r="Z57" s="41">
        <f t="shared" si="31"/>
        <v>4110.7300000000005</v>
      </c>
      <c r="AA57" s="41">
        <f t="shared" si="31"/>
        <v>3168.48</v>
      </c>
      <c r="AB57" s="41">
        <f t="shared" si="31"/>
        <v>3834.7</v>
      </c>
      <c r="AC57" s="41">
        <f t="shared" si="31"/>
        <v>3372.23</v>
      </c>
      <c r="AD57" s="41">
        <f t="shared" si="31"/>
        <v>3245.46</v>
      </c>
      <c r="AE57" s="41">
        <f t="shared" si="31"/>
        <v>0</v>
      </c>
      <c r="AF57" s="29"/>
      <c r="AG57" s="69">
        <f t="shared" si="8"/>
        <v>5249.5499999999956</v>
      </c>
    </row>
    <row r="58" spans="1:33" ht="37.5" x14ac:dyDescent="0.3">
      <c r="A58" s="28" t="s">
        <v>76</v>
      </c>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69">
        <f t="shared" si="8"/>
        <v>0</v>
      </c>
    </row>
    <row r="59" spans="1:33" ht="18.75" x14ac:dyDescent="0.3">
      <c r="A59" s="8" t="s">
        <v>31</v>
      </c>
      <c r="B59" s="41">
        <f>B60</f>
        <v>46174.700000000004</v>
      </c>
      <c r="C59" s="41">
        <f>C60</f>
        <v>42929.24</v>
      </c>
      <c r="D59" s="41">
        <f>D60</f>
        <v>42929.24</v>
      </c>
      <c r="E59" s="41">
        <f>E60</f>
        <v>37679.69</v>
      </c>
      <c r="F59" s="32">
        <f t="shared" ref="F59:F66" si="32">E59/B59*100</f>
        <v>81.60245762289739</v>
      </c>
      <c r="G59" s="47">
        <f>E59/C59*100</f>
        <v>87.771621393716742</v>
      </c>
      <c r="H59" s="41">
        <f t="shared" ref="H59:AE59" si="33">H60</f>
        <v>3660.52</v>
      </c>
      <c r="I59" s="41">
        <f t="shared" si="33"/>
        <v>1969.33</v>
      </c>
      <c r="J59" s="41">
        <f t="shared" si="33"/>
        <v>3604.99</v>
      </c>
      <c r="K59" s="41">
        <f t="shared" si="33"/>
        <v>4117.49</v>
      </c>
      <c r="L59" s="41">
        <f t="shared" si="33"/>
        <v>3867.9300000000003</v>
      </c>
      <c r="M59" s="41">
        <f t="shared" si="33"/>
        <v>2727.01</v>
      </c>
      <c r="N59" s="41">
        <f t="shared" si="33"/>
        <v>4092.3</v>
      </c>
      <c r="O59" s="41">
        <f t="shared" si="33"/>
        <v>3482.78</v>
      </c>
      <c r="P59" s="41">
        <f t="shared" si="33"/>
        <v>3842.9700000000003</v>
      </c>
      <c r="Q59" s="41">
        <f t="shared" si="33"/>
        <v>3348.8799999999997</v>
      </c>
      <c r="R59" s="41">
        <f t="shared" si="33"/>
        <v>3763.92</v>
      </c>
      <c r="S59" s="41">
        <f t="shared" si="33"/>
        <v>4300.54</v>
      </c>
      <c r="T59" s="41">
        <f t="shared" si="33"/>
        <v>4596.88</v>
      </c>
      <c r="U59" s="41">
        <f t="shared" si="33"/>
        <v>3851.31</v>
      </c>
      <c r="V59" s="41">
        <f t="shared" si="33"/>
        <v>3822.7200000000003</v>
      </c>
      <c r="W59" s="41">
        <f t="shared" si="33"/>
        <v>3125.74</v>
      </c>
      <c r="X59" s="41">
        <f t="shared" si="33"/>
        <v>3731.58</v>
      </c>
      <c r="Y59" s="41">
        <f t="shared" si="33"/>
        <v>3317.27</v>
      </c>
      <c r="Z59" s="41">
        <f t="shared" si="33"/>
        <v>4110.7300000000005</v>
      </c>
      <c r="AA59" s="41">
        <f t="shared" si="33"/>
        <v>3168.48</v>
      </c>
      <c r="AB59" s="41">
        <f t="shared" si="33"/>
        <v>3834.7</v>
      </c>
      <c r="AC59" s="41">
        <f t="shared" si="33"/>
        <v>3372.23</v>
      </c>
      <c r="AD59" s="41">
        <f t="shared" si="33"/>
        <v>3245.46</v>
      </c>
      <c r="AE59" s="41">
        <f t="shared" si="33"/>
        <v>0</v>
      </c>
      <c r="AF59" s="29"/>
      <c r="AG59" s="69">
        <f t="shared" si="8"/>
        <v>5249.5499999999956</v>
      </c>
    </row>
    <row r="60" spans="1:33" ht="18.75" x14ac:dyDescent="0.3">
      <c r="A60" s="13" t="s">
        <v>33</v>
      </c>
      <c r="B60" s="41">
        <f>B57</f>
        <v>46174.700000000004</v>
      </c>
      <c r="C60" s="41">
        <f>C57</f>
        <v>42929.24</v>
      </c>
      <c r="D60" s="41">
        <f>D57</f>
        <v>42929.24</v>
      </c>
      <c r="E60" s="41">
        <f>E57</f>
        <v>37679.69</v>
      </c>
      <c r="F60" s="32">
        <f t="shared" si="32"/>
        <v>81.60245762289739</v>
      </c>
      <c r="G60" s="47">
        <f>E60/C60*100</f>
        <v>87.771621393716742</v>
      </c>
      <c r="H60" s="41">
        <f t="shared" ref="H60:AE60" si="34">H57</f>
        <v>3660.52</v>
      </c>
      <c r="I60" s="41">
        <f t="shared" si="34"/>
        <v>1969.33</v>
      </c>
      <c r="J60" s="41">
        <f t="shared" si="34"/>
        <v>3604.99</v>
      </c>
      <c r="K60" s="41">
        <f t="shared" si="34"/>
        <v>4117.49</v>
      </c>
      <c r="L60" s="41">
        <f t="shared" si="34"/>
        <v>3867.9300000000003</v>
      </c>
      <c r="M60" s="41">
        <v>2727.01</v>
      </c>
      <c r="N60" s="41">
        <f t="shared" si="34"/>
        <v>4092.3</v>
      </c>
      <c r="O60" s="41">
        <f t="shared" si="34"/>
        <v>3482.78</v>
      </c>
      <c r="P60" s="41">
        <f t="shared" si="34"/>
        <v>3842.9700000000003</v>
      </c>
      <c r="Q60" s="41">
        <f t="shared" si="34"/>
        <v>3348.8799999999997</v>
      </c>
      <c r="R60" s="41">
        <f t="shared" si="34"/>
        <v>3763.92</v>
      </c>
      <c r="S60" s="41">
        <f t="shared" si="34"/>
        <v>4300.54</v>
      </c>
      <c r="T60" s="41">
        <f t="shared" si="34"/>
        <v>4596.88</v>
      </c>
      <c r="U60" s="41">
        <f t="shared" si="34"/>
        <v>3851.31</v>
      </c>
      <c r="V60" s="41">
        <f t="shared" si="34"/>
        <v>3822.7200000000003</v>
      </c>
      <c r="W60" s="41">
        <f t="shared" si="34"/>
        <v>3125.74</v>
      </c>
      <c r="X60" s="41">
        <f t="shared" si="34"/>
        <v>3731.58</v>
      </c>
      <c r="Y60" s="41">
        <f t="shared" si="34"/>
        <v>3317.27</v>
      </c>
      <c r="Z60" s="41">
        <f t="shared" si="34"/>
        <v>4110.7300000000005</v>
      </c>
      <c r="AA60" s="41">
        <f t="shared" si="34"/>
        <v>3168.48</v>
      </c>
      <c r="AB60" s="41">
        <f t="shared" si="34"/>
        <v>3834.7</v>
      </c>
      <c r="AC60" s="41">
        <f t="shared" si="34"/>
        <v>3372.23</v>
      </c>
      <c r="AD60" s="41">
        <f t="shared" si="34"/>
        <v>3245.46</v>
      </c>
      <c r="AE60" s="41">
        <f t="shared" si="34"/>
        <v>0</v>
      </c>
      <c r="AF60" s="29"/>
      <c r="AG60" s="69">
        <f t="shared" si="8"/>
        <v>5249.5499999999956</v>
      </c>
    </row>
    <row r="61" spans="1:33" ht="37.5" x14ac:dyDescent="0.3">
      <c r="A61" s="55" t="s">
        <v>63</v>
      </c>
      <c r="B61" s="779">
        <f>B62+B64+B63</f>
        <v>54166.340000000004</v>
      </c>
      <c r="C61" s="779">
        <f>C62+C64+C63</f>
        <v>50602.049999999996</v>
      </c>
      <c r="D61" s="778">
        <f>D62+D64+D63</f>
        <v>50606.45</v>
      </c>
      <c r="E61" s="779">
        <f>E62+E64+E63</f>
        <v>45297.39</v>
      </c>
      <c r="F61" s="32">
        <f t="shared" si="32"/>
        <v>83.626455101083067</v>
      </c>
      <c r="G61" s="47">
        <f>E61/C61*100</f>
        <v>89.516906923731355</v>
      </c>
      <c r="H61" s="804">
        <f>H62+H64</f>
        <v>4101.82</v>
      </c>
      <c r="I61" s="41">
        <f t="shared" ref="I61:AE61" si="35">I62+I64</f>
        <v>2410.63</v>
      </c>
      <c r="J61" s="779">
        <f t="shared" si="35"/>
        <v>5194.4599999999991</v>
      </c>
      <c r="K61" s="41">
        <f t="shared" si="35"/>
        <v>5706.96</v>
      </c>
      <c r="L61" s="778">
        <f>L62+L64</f>
        <v>4100.41</v>
      </c>
      <c r="M61" s="41">
        <f t="shared" si="35"/>
        <v>3858.1200000000003</v>
      </c>
      <c r="N61" s="778">
        <f t="shared" si="35"/>
        <v>4327.4800000000005</v>
      </c>
      <c r="O61" s="41">
        <f t="shared" si="35"/>
        <v>3715.26</v>
      </c>
      <c r="P61" s="779">
        <f t="shared" si="35"/>
        <v>4079.84</v>
      </c>
      <c r="Q61" s="41">
        <f t="shared" si="35"/>
        <v>3584.7099999999996</v>
      </c>
      <c r="R61" s="779">
        <f t="shared" si="35"/>
        <v>4120.62</v>
      </c>
      <c r="S61" s="41">
        <f t="shared" si="35"/>
        <v>4593.9799999999996</v>
      </c>
      <c r="T61" s="779">
        <f t="shared" si="35"/>
        <v>6608.02</v>
      </c>
      <c r="U61" s="41">
        <f t="shared" si="35"/>
        <v>5801.7</v>
      </c>
      <c r="V61" s="779">
        <f t="shared" si="35"/>
        <v>4330.72</v>
      </c>
      <c r="W61" s="41">
        <f t="shared" si="35"/>
        <v>3671.75</v>
      </c>
      <c r="X61" s="779">
        <f t="shared" si="35"/>
        <v>4283.18</v>
      </c>
      <c r="Y61" s="41">
        <f t="shared" si="35"/>
        <v>4845.01</v>
      </c>
      <c r="Z61" s="779">
        <f t="shared" si="35"/>
        <v>5328.5400000000009</v>
      </c>
      <c r="AA61" s="41">
        <f t="shared" si="35"/>
        <v>3432.67</v>
      </c>
      <c r="AB61" s="779">
        <f t="shared" si="35"/>
        <v>4086.47</v>
      </c>
      <c r="AC61" s="41">
        <f t="shared" si="35"/>
        <v>3631.71</v>
      </c>
      <c r="AD61" s="779">
        <f t="shared" si="35"/>
        <v>3559.89</v>
      </c>
      <c r="AE61" s="41">
        <f t="shared" si="35"/>
        <v>0</v>
      </c>
      <c r="AF61" s="29"/>
      <c r="AG61" s="69">
        <f t="shared" si="8"/>
        <v>5304.6599999999962</v>
      </c>
    </row>
    <row r="62" spans="1:33" ht="18.75" x14ac:dyDescent="0.3">
      <c r="A62" s="15" t="s">
        <v>33</v>
      </c>
      <c r="B62" s="41">
        <f>B23+B40+B57</f>
        <v>52764.450000000004</v>
      </c>
      <c r="C62" s="41">
        <f>C23+C40+C57</f>
        <v>49200.159999999996</v>
      </c>
      <c r="D62" s="41">
        <f>D23+D40+D57</f>
        <v>49204.56</v>
      </c>
      <c r="E62" s="41">
        <f>E23+E40+E57</f>
        <v>43895.5</v>
      </c>
      <c r="F62" s="32">
        <f t="shared" si="32"/>
        <v>83.191429077721835</v>
      </c>
      <c r="G62" s="47">
        <f>E62/C62*100</f>
        <v>89.218205794452714</v>
      </c>
      <c r="H62" s="41">
        <f>H23+H40+H57</f>
        <v>4101.82</v>
      </c>
      <c r="I62" s="41">
        <f t="shared" ref="I62:AE62" si="36">I23+I40+I57</f>
        <v>2410.63</v>
      </c>
      <c r="J62" s="41">
        <f t="shared" si="36"/>
        <v>3837.4599999999996</v>
      </c>
      <c r="K62" s="41">
        <f t="shared" si="36"/>
        <v>4349.96</v>
      </c>
      <c r="L62" s="41">
        <f>L23+L40+L57</f>
        <v>4100.41</v>
      </c>
      <c r="M62" s="41">
        <f t="shared" si="36"/>
        <v>3858.1200000000003</v>
      </c>
      <c r="N62" s="41">
        <f t="shared" si="36"/>
        <v>4327.4800000000005</v>
      </c>
      <c r="O62" s="41">
        <f t="shared" si="36"/>
        <v>3715.26</v>
      </c>
      <c r="P62" s="41">
        <f t="shared" si="36"/>
        <v>4079.84</v>
      </c>
      <c r="Q62" s="41">
        <f t="shared" si="36"/>
        <v>3584.7099999999996</v>
      </c>
      <c r="R62" s="41">
        <f t="shared" si="36"/>
        <v>4120.62</v>
      </c>
      <c r="S62" s="41">
        <f t="shared" si="36"/>
        <v>4593.9799999999996</v>
      </c>
      <c r="T62" s="41">
        <f t="shared" si="36"/>
        <v>6608.02</v>
      </c>
      <c r="U62" s="41">
        <f t="shared" si="36"/>
        <v>5801.7</v>
      </c>
      <c r="V62" s="41">
        <f t="shared" si="36"/>
        <v>4330.72</v>
      </c>
      <c r="W62" s="41">
        <f t="shared" si="36"/>
        <v>3671.75</v>
      </c>
      <c r="X62" s="41">
        <f t="shared" si="36"/>
        <v>4283.18</v>
      </c>
      <c r="Y62" s="41">
        <f t="shared" si="36"/>
        <v>4845.01</v>
      </c>
      <c r="Z62" s="41">
        <f t="shared" si="36"/>
        <v>5328.5400000000009</v>
      </c>
      <c r="AA62" s="41">
        <f t="shared" si="36"/>
        <v>3432.67</v>
      </c>
      <c r="AB62" s="41">
        <f t="shared" si="36"/>
        <v>4086.47</v>
      </c>
      <c r="AC62" s="41">
        <f t="shared" si="36"/>
        <v>3631.71</v>
      </c>
      <c r="AD62" s="41">
        <f t="shared" si="36"/>
        <v>3559.89</v>
      </c>
      <c r="AE62" s="41">
        <f t="shared" si="36"/>
        <v>0</v>
      </c>
      <c r="AF62" s="29"/>
      <c r="AG62" s="69">
        <f t="shared" si="8"/>
        <v>5304.6599999999962</v>
      </c>
    </row>
    <row r="63" spans="1:33" ht="18.75" x14ac:dyDescent="0.3">
      <c r="A63" s="821" t="s">
        <v>32</v>
      </c>
      <c r="B63" s="41">
        <f>B51</f>
        <v>44.89</v>
      </c>
      <c r="C63" s="41">
        <f>C51</f>
        <v>44.89</v>
      </c>
      <c r="D63" s="41">
        <f>D51</f>
        <v>44.89</v>
      </c>
      <c r="E63" s="41">
        <f>E51</f>
        <v>44.89</v>
      </c>
      <c r="F63">
        <f t="shared" si="32"/>
        <v>100</v>
      </c>
      <c r="G63" s="822">
        <f>G51</f>
        <v>100</v>
      </c>
      <c r="H63" s="41"/>
      <c r="I63" s="41"/>
      <c r="J63" s="41"/>
      <c r="K63" s="41"/>
      <c r="L63" s="41"/>
      <c r="M63" s="41"/>
      <c r="N63" s="41"/>
      <c r="O63" s="41"/>
      <c r="P63" s="41"/>
      <c r="Q63" s="41"/>
      <c r="R63" s="41"/>
      <c r="S63" s="41"/>
      <c r="T63" s="41"/>
      <c r="U63" s="41"/>
      <c r="V63" s="41"/>
      <c r="W63" s="41"/>
      <c r="X63" s="41"/>
      <c r="Y63" s="41"/>
      <c r="Z63" s="41"/>
      <c r="AA63" s="41"/>
      <c r="AB63" s="41"/>
      <c r="AC63" s="41"/>
      <c r="AD63" s="41"/>
      <c r="AE63" s="41"/>
      <c r="AF63" s="29"/>
      <c r="AG63" s="69"/>
    </row>
    <row r="64" spans="1:33" ht="18.75" x14ac:dyDescent="0.3">
      <c r="A64" s="14" t="s">
        <v>74</v>
      </c>
      <c r="B64" s="41">
        <f>B41</f>
        <v>1357</v>
      </c>
      <c r="C64" s="41">
        <f>C41</f>
        <v>1357</v>
      </c>
      <c r="D64" s="41">
        <f>D41</f>
        <v>1357</v>
      </c>
      <c r="E64" s="41">
        <f>E41</f>
        <v>1357</v>
      </c>
      <c r="F64" s="32">
        <f t="shared" si="32"/>
        <v>100</v>
      </c>
      <c r="G64" s="47">
        <f>E64/C64*100</f>
        <v>100</v>
      </c>
      <c r="H64" s="41">
        <f>H41</f>
        <v>0</v>
      </c>
      <c r="I64" s="41">
        <f t="shared" ref="I64:AE64" si="37">I41</f>
        <v>0</v>
      </c>
      <c r="J64" s="41">
        <f t="shared" si="37"/>
        <v>1357</v>
      </c>
      <c r="K64" s="41">
        <f t="shared" si="37"/>
        <v>1357</v>
      </c>
      <c r="L64" s="41">
        <f t="shared" si="37"/>
        <v>0</v>
      </c>
      <c r="M64" s="41">
        <f t="shared" si="37"/>
        <v>0</v>
      </c>
      <c r="N64" s="41">
        <f t="shared" si="37"/>
        <v>0</v>
      </c>
      <c r="O64" s="41">
        <f t="shared" si="37"/>
        <v>0</v>
      </c>
      <c r="P64" s="41">
        <f t="shared" si="37"/>
        <v>0</v>
      </c>
      <c r="Q64" s="41">
        <f t="shared" si="37"/>
        <v>0</v>
      </c>
      <c r="R64" s="41">
        <f t="shared" si="37"/>
        <v>0</v>
      </c>
      <c r="S64" s="41">
        <f t="shared" si="37"/>
        <v>0</v>
      </c>
      <c r="T64" s="41">
        <f t="shared" si="37"/>
        <v>0</v>
      </c>
      <c r="U64" s="41">
        <f t="shared" si="37"/>
        <v>0</v>
      </c>
      <c r="V64" s="41">
        <f t="shared" si="37"/>
        <v>0</v>
      </c>
      <c r="W64" s="41">
        <f t="shared" si="37"/>
        <v>0</v>
      </c>
      <c r="X64" s="41">
        <f t="shared" si="37"/>
        <v>0</v>
      </c>
      <c r="Y64" s="41">
        <f t="shared" si="37"/>
        <v>0</v>
      </c>
      <c r="Z64" s="41">
        <f t="shared" si="37"/>
        <v>0</v>
      </c>
      <c r="AA64" s="41">
        <f t="shared" si="37"/>
        <v>0</v>
      </c>
      <c r="AB64" s="41">
        <f t="shared" si="37"/>
        <v>0</v>
      </c>
      <c r="AC64" s="41">
        <f t="shared" si="37"/>
        <v>0</v>
      </c>
      <c r="AD64" s="41">
        <f t="shared" si="37"/>
        <v>0</v>
      </c>
      <c r="AE64" s="41">
        <f t="shared" si="37"/>
        <v>0</v>
      </c>
      <c r="AF64" s="29"/>
      <c r="AG64" s="69">
        <f t="shared" si="8"/>
        <v>0</v>
      </c>
    </row>
    <row r="65" spans="1:33" ht="37.5" x14ac:dyDescent="0.3">
      <c r="A65" s="56" t="s">
        <v>100</v>
      </c>
      <c r="B65" s="41">
        <f>B66+B68+B67</f>
        <v>54166.340000000004</v>
      </c>
      <c r="C65" s="678">
        <f>C66+C68+C67</f>
        <v>50602.049999999996</v>
      </c>
      <c r="D65" s="678">
        <f>D66+D68+D67</f>
        <v>50606.45</v>
      </c>
      <c r="E65" s="678">
        <f>E66+E68+E67</f>
        <v>45297.39</v>
      </c>
      <c r="F65" s="32">
        <f t="shared" si="32"/>
        <v>83.626455101083067</v>
      </c>
      <c r="G65" s="47">
        <f>E65/C65*100</f>
        <v>89.516906923731355</v>
      </c>
      <c r="H65" s="41">
        <f t="shared" ref="H65:AE65" si="38">H66+H68</f>
        <v>4101.82</v>
      </c>
      <c r="I65" s="41">
        <f t="shared" si="38"/>
        <v>2410.63</v>
      </c>
      <c r="J65" s="41">
        <f t="shared" si="38"/>
        <v>5194.4599999999991</v>
      </c>
      <c r="K65" s="41">
        <f t="shared" si="38"/>
        <v>5706.96</v>
      </c>
      <c r="L65" s="41">
        <f t="shared" si="38"/>
        <v>4100.41</v>
      </c>
      <c r="M65" s="41">
        <f t="shared" si="38"/>
        <v>3858.1200000000003</v>
      </c>
      <c r="N65" s="41">
        <f t="shared" si="38"/>
        <v>4327.4800000000005</v>
      </c>
      <c r="O65" s="41">
        <f t="shared" si="38"/>
        <v>3715.26</v>
      </c>
      <c r="P65" s="41">
        <f t="shared" si="38"/>
        <v>4079.84</v>
      </c>
      <c r="Q65" s="41">
        <f t="shared" si="38"/>
        <v>3584.7099999999996</v>
      </c>
      <c r="R65" s="41">
        <f t="shared" si="38"/>
        <v>4120.62</v>
      </c>
      <c r="S65" s="41">
        <f t="shared" si="38"/>
        <v>4593.9799999999996</v>
      </c>
      <c r="T65" s="41">
        <f t="shared" si="38"/>
        <v>6608.02</v>
      </c>
      <c r="U65" s="41">
        <f t="shared" si="38"/>
        <v>5801.7</v>
      </c>
      <c r="V65" s="41">
        <f t="shared" si="38"/>
        <v>4330.72</v>
      </c>
      <c r="W65" s="41">
        <f t="shared" si="38"/>
        <v>3671.75</v>
      </c>
      <c r="X65" s="41">
        <f t="shared" si="38"/>
        <v>4283.18</v>
      </c>
      <c r="Y65" s="41">
        <f t="shared" si="38"/>
        <v>4845.01</v>
      </c>
      <c r="Z65" s="41">
        <f t="shared" si="38"/>
        <v>5328.5400000000009</v>
      </c>
      <c r="AA65" s="41">
        <f t="shared" si="38"/>
        <v>3432.67</v>
      </c>
      <c r="AB65" s="41">
        <f t="shared" si="38"/>
        <v>4086.47</v>
      </c>
      <c r="AC65" s="41">
        <f t="shared" si="38"/>
        <v>3631.71</v>
      </c>
      <c r="AD65" s="41">
        <f t="shared" si="38"/>
        <v>3559.89</v>
      </c>
      <c r="AE65" s="41">
        <f t="shared" si="38"/>
        <v>0</v>
      </c>
      <c r="AF65" s="29"/>
      <c r="AG65" s="69">
        <f t="shared" si="8"/>
        <v>5304.6599999999962</v>
      </c>
    </row>
    <row r="66" spans="1:33" ht="18.75" x14ac:dyDescent="0.3">
      <c r="A66" s="15" t="s">
        <v>33</v>
      </c>
      <c r="B66" s="41">
        <f>B62</f>
        <v>52764.450000000004</v>
      </c>
      <c r="C66" s="41">
        <f>C62</f>
        <v>49200.159999999996</v>
      </c>
      <c r="D66" s="41">
        <f>D62</f>
        <v>49204.56</v>
      </c>
      <c r="E66" s="41">
        <f>E62</f>
        <v>43895.5</v>
      </c>
      <c r="F66" s="32">
        <f t="shared" si="32"/>
        <v>83.191429077721835</v>
      </c>
      <c r="G66" s="47">
        <f>E66/C66*100</f>
        <v>89.218205794452714</v>
      </c>
      <c r="H66" s="41">
        <f t="shared" ref="H66:AE66" si="39">H62</f>
        <v>4101.82</v>
      </c>
      <c r="I66" s="41">
        <f t="shared" si="39"/>
        <v>2410.63</v>
      </c>
      <c r="J66" s="41">
        <f t="shared" si="39"/>
        <v>3837.4599999999996</v>
      </c>
      <c r="K66" s="41">
        <f t="shared" si="39"/>
        <v>4349.96</v>
      </c>
      <c r="L66" s="41">
        <f t="shared" si="39"/>
        <v>4100.41</v>
      </c>
      <c r="M66" s="41">
        <f t="shared" si="39"/>
        <v>3858.1200000000003</v>
      </c>
      <c r="N66" s="41">
        <f t="shared" si="39"/>
        <v>4327.4800000000005</v>
      </c>
      <c r="O66" s="41">
        <f t="shared" si="39"/>
        <v>3715.26</v>
      </c>
      <c r="P66" s="41">
        <f t="shared" si="39"/>
        <v>4079.84</v>
      </c>
      <c r="Q66" s="41">
        <f t="shared" si="39"/>
        <v>3584.7099999999996</v>
      </c>
      <c r="R66" s="41">
        <f t="shared" si="39"/>
        <v>4120.62</v>
      </c>
      <c r="S66" s="41">
        <f t="shared" si="39"/>
        <v>4593.9799999999996</v>
      </c>
      <c r="T66" s="41">
        <f t="shared" si="39"/>
        <v>6608.02</v>
      </c>
      <c r="U66" s="41">
        <f t="shared" si="39"/>
        <v>5801.7</v>
      </c>
      <c r="V66" s="41">
        <f t="shared" si="39"/>
        <v>4330.72</v>
      </c>
      <c r="W66" s="41">
        <f t="shared" si="39"/>
        <v>3671.75</v>
      </c>
      <c r="X66" s="41">
        <f t="shared" si="39"/>
        <v>4283.18</v>
      </c>
      <c r="Y66" s="41">
        <f t="shared" si="39"/>
        <v>4845.01</v>
      </c>
      <c r="Z66" s="41">
        <f t="shared" si="39"/>
        <v>5328.5400000000009</v>
      </c>
      <c r="AA66" s="41">
        <f t="shared" si="39"/>
        <v>3432.67</v>
      </c>
      <c r="AB66" s="41">
        <f t="shared" si="39"/>
        <v>4086.47</v>
      </c>
      <c r="AC66" s="41">
        <f t="shared" si="39"/>
        <v>3631.71</v>
      </c>
      <c r="AD66" s="41">
        <f t="shared" si="39"/>
        <v>3559.89</v>
      </c>
      <c r="AE66" s="41">
        <f t="shared" si="39"/>
        <v>0</v>
      </c>
      <c r="AF66" s="29"/>
      <c r="AG66" s="69">
        <f t="shared" si="8"/>
        <v>5304.6599999999962</v>
      </c>
    </row>
    <row r="67" spans="1:33" ht="18.75" x14ac:dyDescent="0.3">
      <c r="A67" s="823" t="s">
        <v>32</v>
      </c>
      <c r="B67" s="41">
        <v>44.89</v>
      </c>
      <c r="C67" s="41">
        <v>44.89</v>
      </c>
      <c r="D67" s="41">
        <v>44.89</v>
      </c>
      <c r="E67" s="41">
        <v>44.89</v>
      </c>
      <c r="F67" s="32">
        <v>100</v>
      </c>
      <c r="G67" s="824">
        <v>100</v>
      </c>
      <c r="H67" s="41"/>
      <c r="I67" s="41"/>
      <c r="J67" s="41"/>
      <c r="K67" s="41"/>
      <c r="L67" s="41"/>
      <c r="M67" s="41"/>
      <c r="N67" s="41"/>
      <c r="O67" s="41"/>
      <c r="P67" s="41"/>
      <c r="Q67" s="41"/>
      <c r="R67" s="41"/>
      <c r="S67" s="41"/>
      <c r="T67" s="41"/>
      <c r="U67" s="41"/>
      <c r="V67" s="41"/>
      <c r="W67" s="41"/>
      <c r="X67" s="41"/>
      <c r="Y67" s="41"/>
      <c r="Z67" s="41"/>
      <c r="AA67" s="41"/>
      <c r="AB67" s="41"/>
      <c r="AC67" s="41"/>
      <c r="AD67" s="41"/>
      <c r="AE67" s="41"/>
      <c r="AF67" s="29"/>
      <c r="AG67" s="69"/>
    </row>
    <row r="68" spans="1:33" ht="18.75" x14ac:dyDescent="0.3">
      <c r="A68" s="14" t="s">
        <v>74</v>
      </c>
      <c r="B68" s="41">
        <f>B64</f>
        <v>1357</v>
      </c>
      <c r="C68" s="41">
        <f>C64</f>
        <v>1357</v>
      </c>
      <c r="D68" s="41">
        <f>D64</f>
        <v>1357</v>
      </c>
      <c r="E68" s="41">
        <f>E64</f>
        <v>1357</v>
      </c>
      <c r="F68" s="32">
        <f>E68/B68*100</f>
        <v>100</v>
      </c>
      <c r="G68" s="47">
        <f>E68/C68*100</f>
        <v>100</v>
      </c>
      <c r="H68" s="41">
        <f t="shared" ref="H68:AE68" si="40">H64</f>
        <v>0</v>
      </c>
      <c r="I68" s="41">
        <f t="shared" si="40"/>
        <v>0</v>
      </c>
      <c r="J68" s="41">
        <f t="shared" si="40"/>
        <v>1357</v>
      </c>
      <c r="K68" s="41">
        <f t="shared" si="40"/>
        <v>1357</v>
      </c>
      <c r="L68" s="41">
        <f t="shared" si="40"/>
        <v>0</v>
      </c>
      <c r="M68" s="41">
        <f t="shared" si="40"/>
        <v>0</v>
      </c>
      <c r="N68" s="41">
        <f t="shared" si="40"/>
        <v>0</v>
      </c>
      <c r="O68" s="41">
        <f t="shared" si="40"/>
        <v>0</v>
      </c>
      <c r="P68" s="41">
        <f t="shared" si="40"/>
        <v>0</v>
      </c>
      <c r="Q68" s="41">
        <f t="shared" si="40"/>
        <v>0</v>
      </c>
      <c r="R68" s="41">
        <f t="shared" si="40"/>
        <v>0</v>
      </c>
      <c r="S68" s="41">
        <f t="shared" si="40"/>
        <v>0</v>
      </c>
      <c r="T68" s="41">
        <f t="shared" si="40"/>
        <v>0</v>
      </c>
      <c r="U68" s="41">
        <f t="shared" si="40"/>
        <v>0</v>
      </c>
      <c r="V68" s="41">
        <f t="shared" si="40"/>
        <v>0</v>
      </c>
      <c r="W68" s="41">
        <f t="shared" si="40"/>
        <v>0</v>
      </c>
      <c r="X68" s="41">
        <f t="shared" si="40"/>
        <v>0</v>
      </c>
      <c r="Y68" s="41">
        <f t="shared" si="40"/>
        <v>0</v>
      </c>
      <c r="Z68" s="41">
        <f t="shared" si="40"/>
        <v>0</v>
      </c>
      <c r="AA68" s="41">
        <f t="shared" si="40"/>
        <v>0</v>
      </c>
      <c r="AB68" s="41">
        <f t="shared" si="40"/>
        <v>0</v>
      </c>
      <c r="AC68" s="41">
        <f t="shared" si="40"/>
        <v>0</v>
      </c>
      <c r="AD68" s="41">
        <f t="shared" si="40"/>
        <v>0</v>
      </c>
      <c r="AE68" s="41">
        <f t="shared" si="40"/>
        <v>0</v>
      </c>
      <c r="AF68" s="29"/>
      <c r="AG68" s="69">
        <f t="shared" si="8"/>
        <v>0</v>
      </c>
    </row>
    <row r="69" spans="1:33" ht="18.75" x14ac:dyDescent="0.3">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row>
    <row r="71" spans="1:33" ht="37.5" x14ac:dyDescent="0.3">
      <c r="A71" s="9" t="s">
        <v>71</v>
      </c>
      <c r="B71" s="26"/>
      <c r="C71" s="26"/>
      <c r="D71" s="23" t="s">
        <v>70</v>
      </c>
    </row>
    <row r="72" spans="1:33" ht="18.75" x14ac:dyDescent="0.3">
      <c r="A72" s="9"/>
      <c r="B72" s="20" t="s">
        <v>68</v>
      </c>
      <c r="C72" s="20"/>
      <c r="D72" s="22"/>
    </row>
    <row r="73" spans="1:33" ht="37.5" x14ac:dyDescent="0.3">
      <c r="A73" s="613" t="s">
        <v>508</v>
      </c>
      <c r="B73" s="613"/>
      <c r="C73" s="613"/>
      <c r="D73" s="614"/>
    </row>
  </sheetData>
  <customSheetViews>
    <customSheetView guid="{7C130984-112A-4861-AA43-E2940708E3DC}" scale="55" state="hidden">
      <pane xSplit="1" ySplit="6" topLeftCell="B52" activePane="bottomRight" state="frozen"/>
      <selection pane="bottomRight" activeCell="E66" sqref="E66"/>
      <pageMargins left="0.7" right="0.7" top="0.75" bottom="0.75" header="0.3" footer="0.3"/>
      <pageSetup paperSize="9" orientation="portrait" r:id="rId1"/>
    </customSheetView>
    <customSheetView guid="{533DC55B-6AD4-4674-9488-685EF2039F3E}" scale="55" state="hidden">
      <pane xSplit="1" ySplit="6" topLeftCell="B52" activePane="bottomRight" state="frozen"/>
      <selection pane="bottomRight" activeCell="E66" sqref="E66"/>
      <pageMargins left="0.7" right="0.7" top="0.75" bottom="0.75" header="0.3" footer="0.3"/>
      <pageSetup paperSize="9" orientation="portrait" r:id="rId2"/>
    </customSheetView>
    <customSheetView guid="{09C3E205-981E-4A4E-BE89-8B7044192060}" scale="55">
      <pane xSplit="1" ySplit="6" topLeftCell="B52" activePane="bottomRight" state="frozen"/>
      <selection pane="bottomRight" activeCell="E66" sqref="E66"/>
      <pageMargins left="0.7" right="0.7" top="0.75" bottom="0.75" header="0.3" footer="0.3"/>
      <pageSetup paperSize="9" orientation="portrait" r:id="rId3"/>
    </customSheetView>
    <customSheetView guid="{B1BF08D1-D416-4B47-ADD0-4F59132DC9E8}" scale="55">
      <pane xSplit="1" ySplit="6" topLeftCell="B52" activePane="bottomRight" state="frozen"/>
      <selection pane="bottomRight" activeCell="E66" sqref="E66"/>
      <pageMargins left="0.7" right="0.7" top="0.75" bottom="0.75" header="0.3" footer="0.3"/>
      <pageSetup paperSize="9" orientation="portrait" r:id="rId4"/>
    </customSheetView>
    <customSheetView guid="{4F41B9CC-959D-442C-80B0-1F0DB2C76D27}" scale="55">
      <pane xSplit="1" ySplit="6" topLeftCell="B52" activePane="bottomRight" state="frozen"/>
      <selection pane="bottomRight" activeCell="E66" sqref="E66"/>
      <pageMargins left="0.7" right="0.7" top="0.75" bottom="0.75" header="0.3" footer="0.3"/>
      <pageSetup paperSize="9" orientation="portrait" r:id="rId5"/>
    </customSheetView>
    <customSheetView guid="{84867370-1F3E-4368-AF79-FBCE46FFFE92}" scale="55">
      <pane xSplit="1" ySplit="6" topLeftCell="B52" activePane="bottomRight" state="frozen"/>
      <selection pane="bottomRight" activeCell="E66" sqref="E66"/>
      <pageMargins left="0.7" right="0.7" top="0.75" bottom="0.75" header="0.3" footer="0.3"/>
      <pageSetup paperSize="9" orientation="portrait" r:id="rId6"/>
    </customSheetView>
    <customSheetView guid="{E508E171-4ED9-4B07-84DF-DA28C60E1969}" scale="55">
      <pane xSplit="1" ySplit="6" topLeftCell="B52" activePane="bottomRight" state="frozen"/>
      <selection pane="bottomRight" activeCell="E66" sqref="E66"/>
      <pageMargins left="0.7" right="0.7" top="0.75" bottom="0.75" header="0.3" footer="0.3"/>
      <pageSetup paperSize="9" orientation="portrait" r:id="rId7"/>
    </customSheetView>
    <customSheetView guid="{602C8EDB-B9EF-4C85-B0D5-0558C3A0ABAB}" scale="55">
      <pane xSplit="1" ySplit="6" topLeftCell="B52" activePane="bottomRight" state="frozen"/>
      <selection pane="bottomRight" activeCell="E66" sqref="E66"/>
      <pageMargins left="0.7" right="0.7" top="0.75" bottom="0.75" header="0.3" footer="0.3"/>
      <pageSetup paperSize="9" orientation="portrait" r:id="rId8"/>
    </customSheetView>
    <customSheetView guid="{84B3377A-1CDD-4881-99FA-112F8B470D6F}" scale="55">
      <pane xSplit="1" ySplit="6" topLeftCell="B52" activePane="bottomRight" state="frozen"/>
      <selection pane="bottomRight" activeCell="E66" sqref="E66"/>
      <pageMargins left="0.7" right="0.7" top="0.75" bottom="0.75" header="0.3" footer="0.3"/>
      <pageSetup paperSize="9" orientation="portrait" r:id="rId9"/>
    </customSheetView>
    <customSheetView guid="{87218168-6C8E-4D5B-A5E5-DCCC26803AA3}" scale="55">
      <pane xSplit="1" ySplit="6" topLeftCell="B52" activePane="bottomRight" state="frozen"/>
      <selection pane="bottomRight" activeCell="E66" sqref="E66"/>
      <pageMargins left="0.7" right="0.7" top="0.75" bottom="0.75" header="0.3" footer="0.3"/>
      <pageSetup paperSize="9" orientation="portrait" r:id="rId10"/>
    </customSheetView>
    <customSheetView guid="{6A602CB8-B24C-4ED4-B378-B27354BE0A1A}" scale="60">
      <pane xSplit="1" ySplit="6" topLeftCell="B46" activePane="bottomRight" state="frozen"/>
      <selection pane="bottomRight" activeCell="E66" sqref="E66"/>
      <pageMargins left="0.7" right="0.7" top="0.75" bottom="0.75" header="0.3" footer="0.3"/>
      <pageSetup paperSize="9" orientation="portrait" r:id="rId11"/>
    </customSheetView>
    <customSheetView guid="{D01FA037-9AEC-4167-ADB8-2F327C01ECE6}" scale="60">
      <pane xSplit="1" ySplit="6" topLeftCell="B19" activePane="bottomRight" state="frozen"/>
      <selection pane="bottomRight" activeCell="E34" sqref="E34"/>
      <pageMargins left="0.7" right="0.7" top="0.75" bottom="0.75" header="0.3" footer="0.3"/>
      <pageSetup paperSize="9" orientation="portrait" r:id="rId12"/>
    </customSheetView>
    <customSheetView guid="{74870EE6-26B9-40F7-9DC9-260EF16D8959}" scale="60">
      <pane xSplit="1" ySplit="6" topLeftCell="B19" activePane="bottomRight" state="frozen"/>
      <selection pane="bottomRight" activeCell="E34" sqref="E34"/>
      <pageMargins left="0.7" right="0.7" top="0.75" bottom="0.75" header="0.3" footer="0.3"/>
      <pageSetup paperSize="9" orientation="portrait" r:id="rId13"/>
    </customSheetView>
    <customSheetView guid="{7226EA2B-7866-416F-9240-410CC1BF0336}" scale="60">
      <pane xSplit="1" ySplit="6" topLeftCell="B19" activePane="bottomRight" state="frozen"/>
      <selection pane="bottomRight" activeCell="E34" sqref="E34"/>
      <pageMargins left="0.7" right="0.7" top="0.75" bottom="0.75" header="0.3" footer="0.3"/>
      <pageSetup paperSize="9" orientation="portrait" r:id="rId14"/>
    </customSheetView>
    <customSheetView guid="{F8CAB90F-9980-4EC7-B30B-1637EB515304}" scale="60">
      <pane xSplit="1" ySplit="6" topLeftCell="B19" activePane="bottomRight" state="frozen"/>
      <selection pane="bottomRight" activeCell="E34" sqref="E34"/>
      <pageMargins left="0.7" right="0.7" top="0.75" bottom="0.75" header="0.3" footer="0.3"/>
      <pageSetup paperSize="9" orientation="portrait" r:id="rId15"/>
    </customSheetView>
    <customSheetView guid="{415078CD-EB99-432D-90BA-2F3D5A746E20}" scale="60">
      <pane xSplit="1" ySplit="6" topLeftCell="B34" activePane="bottomRight" state="frozen"/>
      <selection pane="bottomRight" activeCell="E6" sqref="E6"/>
      <pageMargins left="0.7" right="0.7" top="0.75" bottom="0.75" header="0.3" footer="0.3"/>
      <pageSetup paperSize="9" orientation="portrait" r:id="rId16"/>
    </customSheetView>
    <customSheetView guid="{CB4792DB-A624-4844-AEB6-A6ADA80946BB}" scale="60">
      <pane xSplit="1" ySplit="6" topLeftCell="Y7" activePane="bottomRight" state="frozen"/>
      <selection pane="bottomRight" activeCell="A9" sqref="A9"/>
      <pageMargins left="0.7" right="0.7" top="0.75" bottom="0.75" header="0.3" footer="0.3"/>
      <pageSetup paperSize="9" orientation="portrait" r:id="rId17"/>
    </customSheetView>
    <customSheetView guid="{0C2B9C2A-7B94-41EF-A2E6-F8AC9A67DE25}" scale="60">
      <pane xSplit="1" ySplit="6" topLeftCell="Y7" activePane="bottomRight" state="frozen"/>
      <selection pane="bottomRight" activeCell="A9" sqref="A9"/>
      <pageMargins left="0.7" right="0.7" top="0.75" bottom="0.75" header="0.3" footer="0.3"/>
      <pageSetup paperSize="9" orientation="portrait" r:id="rId18"/>
    </customSheetView>
    <customSheetView guid="{391AB76E-B386-49C1-800F-016A48AA1A46}" scale="60">
      <pane xSplit="1" ySplit="6" topLeftCell="B31" activePane="bottomRight" state="frozen"/>
      <selection pane="bottomRight" activeCell="A67" sqref="A67:XFD67"/>
      <pageMargins left="0.7" right="0.7" top="0.75" bottom="0.75" header="0.3" footer="0.3"/>
      <pageSetup paperSize="9" orientation="portrait" r:id="rId19"/>
    </customSheetView>
    <customSheetView guid="{959E901C-5DDE-42EE-AE94-AB8976B5E00B}" scale="60">
      <pane xSplit="1" ySplit="6" topLeftCell="B49" activePane="bottomRight" state="frozen"/>
      <selection pane="bottomRight" activeCell="E6" sqref="E6"/>
      <pageMargins left="0.7" right="0.7" top="0.75" bottom="0.75" header="0.3" footer="0.3"/>
      <pageSetup paperSize="9" orientation="portrait" r:id="rId20"/>
    </customSheetView>
    <customSheetView guid="{F679EF4A-C5FD-4B86-B87B-D85968E0F2CA}" scale="60">
      <pane xSplit="1" ySplit="6" topLeftCell="B49" activePane="bottomRight" state="frozen"/>
      <selection pane="bottomRight" activeCell="E6" sqref="E6"/>
      <pageMargins left="0.7" right="0.7" top="0.75" bottom="0.75" header="0.3" footer="0.3"/>
      <pageSetup paperSize="9" orientation="portrait" r:id="rId21"/>
    </customSheetView>
    <customSheetView guid="{009B3074-D8EC-4952-BF50-43CD64449612}" scale="60">
      <pane xSplit="1" ySplit="6" topLeftCell="B7" activePane="bottomRight" state="frozen"/>
      <selection pane="bottomRight" activeCell="W12" sqref="W12"/>
      <pageMargins left="0.7" right="0.7" top="0.75" bottom="0.75" header="0.3" footer="0.3"/>
      <pageSetup paperSize="9" orientation="portrait" r:id="rId22"/>
    </customSheetView>
    <customSheetView guid="{770624BF-07F3-44B6-94C3-4CC447CDD45C}" scale="60">
      <pane xSplit="1" ySplit="6" topLeftCell="G7" activePane="bottomRight" state="frozen"/>
      <selection pane="bottomRight" activeCell="W12" sqref="W12"/>
      <pageMargins left="0.7" right="0.7" top="0.75" bottom="0.75" header="0.3" footer="0.3"/>
      <pageSetup paperSize="9" orientation="portrait" r:id="rId23"/>
    </customSheetView>
    <customSheetView guid="{B82BA08A-1A30-4F4D-A478-74A6BD09EA97}" scale="60">
      <pane xSplit="1" ySplit="6" topLeftCell="G16" activePane="bottomRight" state="frozen"/>
      <selection pane="bottomRight" activeCell="W12" sqref="W12"/>
      <pageMargins left="0.7" right="0.7" top="0.75" bottom="0.75" header="0.3" footer="0.3"/>
      <pageSetup paperSize="9" orientation="portrait" r:id="rId24"/>
    </customSheetView>
    <customSheetView guid="{874882D1-E741-4CCA-BF0D-E72FA60B771D}" scale="60">
      <pane xSplit="1" ySplit="6" topLeftCell="G16" activePane="bottomRight" state="frozen"/>
      <selection pane="bottomRight" activeCell="W12" sqref="W12"/>
      <pageMargins left="0.7" right="0.7" top="0.75" bottom="0.75" header="0.3" footer="0.3"/>
      <pageSetup paperSize="9" orientation="portrait" r:id="rId25"/>
    </customSheetView>
    <customSheetView guid="{C236B307-BD63-48C4-A75F-B3F3717BF55C}" scale="60">
      <pane xSplit="1" ySplit="6" topLeftCell="G16" activePane="bottomRight" state="frozen"/>
      <selection pane="bottomRight" activeCell="W12" sqref="W12"/>
      <pageMargins left="0.7" right="0.7" top="0.75" bottom="0.75" header="0.3" footer="0.3"/>
      <pageSetup paperSize="9" orientation="portrait" r:id="rId26"/>
    </customSheetView>
    <customSheetView guid="{BCD82A82-B724-4763-8580-D765356E09BA}" scale="60">
      <pane xSplit="1" ySplit="6" topLeftCell="B7" activePane="bottomRight" state="frozen"/>
      <selection pane="bottomRight" activeCell="A2" sqref="A2:AE2"/>
      <pageMargins left="0.7" right="0.7" top="0.75" bottom="0.75" header="0.3" footer="0.3"/>
      <pageSetup paperSize="9" orientation="portrait" r:id="rId27"/>
    </customSheetView>
    <customSheetView guid="{85F4575B-DBC5-482A-9916-255D8F0BC94E}" scale="60">
      <pane xSplit="1" ySplit="6" topLeftCell="B55" activePane="bottomRight" state="frozen"/>
      <selection pane="bottomRight" activeCell="A91" sqref="A91"/>
      <pageMargins left="0.7" right="0.7" top="0.75" bottom="0.75" header="0.3" footer="0.3"/>
      <pageSetup paperSize="9" orientation="portrait" r:id="rId28"/>
    </customSheetView>
    <customSheetView guid="{4D0DFB57-2CBA-42F2-9A97-C453A6851FBA}" scale="60">
      <pane xSplit="1" ySplit="6" topLeftCell="B7" activePane="bottomRight" state="frozen"/>
      <selection pane="bottomRight" activeCell="B7" sqref="B7"/>
      <pageMargins left="0.7" right="0.7" top="0.75" bottom="0.75" header="0.3" footer="0.3"/>
      <pageSetup paperSize="9" orientation="portrait" r:id="rId29"/>
    </customSheetView>
    <customSheetView guid="{CE1CCA00-200D-4EAA-9FBE-F8EE7C5F82FE}" scale="60">
      <pane xSplit="1" ySplit="6" topLeftCell="B7" activePane="bottomRight" state="frozen"/>
      <selection pane="bottomRight" activeCell="C14" sqref="C14"/>
      <pageMargins left="0.7" right="0.7" top="0.75" bottom="0.75" header="0.3" footer="0.3"/>
      <pageSetup paperSize="9" orientation="portrait" r:id="rId30"/>
    </customSheetView>
    <customSheetView guid="{AC2D5927-4079-4C74-AF69-1BFAC505648F}" scale="60">
      <pane xSplit="1" ySplit="6" topLeftCell="B31" activePane="bottomRight" state="frozen"/>
      <selection pane="bottomRight" activeCell="A67" sqref="A67:XFD67"/>
      <pageMargins left="0.7" right="0.7" top="0.75" bottom="0.75" header="0.3" footer="0.3"/>
      <pageSetup paperSize="9" orientation="portrait" r:id="rId31"/>
    </customSheetView>
    <customSheetView guid="{3C3F523F-5F34-4CF7-831E-F1ABC4278CEB}" scale="60">
      <pane xSplit="1" ySplit="6" topLeftCell="B34" activePane="bottomRight" state="frozen"/>
      <selection pane="bottomRight" activeCell="E6" sqref="E6"/>
      <pageMargins left="0.7" right="0.7" top="0.75" bottom="0.75" header="0.3" footer="0.3"/>
      <pageSetup paperSize="9" orientation="portrait" r:id="rId32"/>
    </customSheetView>
    <customSheetView guid="{69DABE6F-6182-4403-A4A2-969F10F1C13A}" scale="60">
      <pane xSplit="1" ySplit="6" topLeftCell="B49" activePane="bottomRight" state="frozen"/>
      <selection pane="bottomRight" activeCell="E54" sqref="E54"/>
      <pageMargins left="0.7" right="0.7" top="0.75" bottom="0.75" header="0.3" footer="0.3"/>
      <pageSetup paperSize="9" orientation="portrait" r:id="rId33"/>
    </customSheetView>
    <customSheetView guid="{DAA8A688-7558-4B5B-8DBD-E2629BD9E9A8}" scale="55">
      <pane xSplit="1" ySplit="6" topLeftCell="B52" activePane="bottomRight" state="frozen"/>
      <selection pane="bottomRight" activeCell="E66" sqref="E66"/>
      <pageMargins left="0.7" right="0.7" top="0.75" bottom="0.75" header="0.3" footer="0.3"/>
      <pageSetup paperSize="9" orientation="portrait" r:id="rId34"/>
    </customSheetView>
    <customSheetView guid="{47B983AB-FE5F-4725-860C-A2F29420596D}" scale="55">
      <pane xSplit="1" ySplit="6" topLeftCell="B52" activePane="bottomRight" state="frozen"/>
      <selection pane="bottomRight" activeCell="E66" sqref="E66"/>
      <pageMargins left="0.7" right="0.7" top="0.75" bottom="0.75" header="0.3" footer="0.3"/>
      <pageSetup paperSize="9" orientation="portrait" r:id="rId35"/>
    </customSheetView>
    <customSheetView guid="{442F2C94-DD1B-4A01-8694-513D4D6F3BD9}" scale="55">
      <pane xSplit="1" ySplit="6" topLeftCell="B52" activePane="bottomRight" state="frozen"/>
      <selection pane="bottomRight" activeCell="E66" sqref="E66"/>
      <pageMargins left="0.7" right="0.7" top="0.75" bottom="0.75" header="0.3" footer="0.3"/>
      <pageSetup paperSize="9" orientation="portrait" r:id="rId36"/>
    </customSheetView>
    <customSheetView guid="{472DFAFE-DC7C-463D-92A0-F6A14555FDD6}" scale="55">
      <pane xSplit="1" ySplit="6" topLeftCell="B52" activePane="bottomRight" state="frozen"/>
      <selection pane="bottomRight" activeCell="E66" sqref="E66"/>
      <pageMargins left="0.7" right="0.7" top="0.75" bottom="0.75" header="0.3" footer="0.3"/>
      <pageSetup paperSize="9" orientation="portrait" r:id="rId37"/>
    </customSheetView>
    <customSheetView guid="{B43381A8-767B-4F49-BD2E-0056691293F3}" scale="55">
      <pane xSplit="1" ySplit="6" topLeftCell="B52" activePane="bottomRight" state="frozen"/>
      <selection pane="bottomRight" activeCell="E66" sqref="E66"/>
      <pageMargins left="0.7" right="0.7" top="0.75" bottom="0.75" header="0.3" footer="0.3"/>
      <pageSetup paperSize="9" orientation="portrait" r:id="rId38"/>
    </customSheetView>
  </customSheetViews>
  <mergeCells count="21">
    <mergeCell ref="X3:Y4"/>
    <mergeCell ref="Z3:AA4"/>
    <mergeCell ref="AB3:AC4"/>
    <mergeCell ref="AD3:AE4"/>
    <mergeCell ref="AF3:AF5"/>
    <mergeCell ref="V3:W4"/>
    <mergeCell ref="A1:AF1"/>
    <mergeCell ref="A2:AE2"/>
    <mergeCell ref="A3:A4"/>
    <mergeCell ref="B3:B4"/>
    <mergeCell ref="C3:C4"/>
    <mergeCell ref="D3:D4"/>
    <mergeCell ref="E3:E4"/>
    <mergeCell ref="F3:G4"/>
    <mergeCell ref="H3:I4"/>
    <mergeCell ref="J3:K4"/>
    <mergeCell ref="L3:M4"/>
    <mergeCell ref="N3:O4"/>
    <mergeCell ref="P3:Q4"/>
    <mergeCell ref="R3:S4"/>
    <mergeCell ref="T3:U4"/>
  </mergeCells>
  <hyperlinks>
    <hyperlink ref="A2:AE2" location="Оглавление!A1" display=" &quot;Безопасность жизнедеятельности населения города Когалыма&quot;"/>
  </hyperlinks>
  <pageMargins left="0.7" right="0.7" top="0.75" bottom="0.75" header="0.3" footer="0.3"/>
  <pageSetup paperSize="9" orientation="portrait" r:id="rId39"/>
  <legacyDrawing r:id="rId4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5"/>
  <sheetViews>
    <sheetView zoomScaleNormal="100" workbookViewId="0">
      <pane xSplit="1" ySplit="6" topLeftCell="B7" activePane="bottomRight" state="frozen"/>
      <selection pane="topRight" activeCell="B1" sqref="B1"/>
      <selection pane="bottomLeft" activeCell="A7" sqref="A7"/>
      <selection pane="bottomRight" activeCell="C65" sqref="C65"/>
    </sheetView>
  </sheetViews>
  <sheetFormatPr defaultRowHeight="15.75" x14ac:dyDescent="0.25"/>
  <cols>
    <col min="1" max="1" width="46.140625" style="61" customWidth="1"/>
    <col min="2" max="2" width="23.42578125" customWidth="1"/>
    <col min="3" max="3" width="19.42578125" bestFit="1" customWidth="1"/>
    <col min="4" max="4" width="21" customWidth="1"/>
    <col min="5" max="5" width="18" customWidth="1"/>
    <col min="6" max="6" width="16.5703125" bestFit="1" customWidth="1"/>
    <col min="7" max="8" width="17.28515625" bestFit="1" customWidth="1"/>
    <col min="9" max="9" width="19.5703125" customWidth="1"/>
    <col min="10" max="12" width="17.28515625" bestFit="1" customWidth="1"/>
    <col min="13" max="13" width="24.28515625" customWidth="1"/>
    <col min="14" max="14" width="17.28515625" bestFit="1" customWidth="1"/>
    <col min="15" max="15" width="19" customWidth="1"/>
    <col min="16" max="16" width="17.28515625" bestFit="1" customWidth="1"/>
    <col min="17" max="17" width="13.5703125" bestFit="1" customWidth="1"/>
    <col min="18" max="18" width="17.28515625" bestFit="1" customWidth="1"/>
    <col min="19" max="19" width="13.5703125" bestFit="1" customWidth="1"/>
    <col min="20" max="20" width="17.28515625" bestFit="1" customWidth="1"/>
    <col min="21" max="21" width="13.5703125" bestFit="1" customWidth="1"/>
    <col min="22" max="22" width="17.28515625" bestFit="1" customWidth="1"/>
    <col min="23" max="23" width="13.5703125" bestFit="1" customWidth="1"/>
    <col min="24" max="24" width="17.28515625" bestFit="1" customWidth="1"/>
    <col min="25" max="25" width="13.5703125" bestFit="1" customWidth="1"/>
    <col min="26" max="26" width="17.28515625" bestFit="1" customWidth="1"/>
    <col min="27" max="27" width="13.5703125" bestFit="1" customWidth="1"/>
    <col min="28" max="28" width="17.28515625" bestFit="1" customWidth="1"/>
    <col min="29" max="29" width="13.5703125" bestFit="1" customWidth="1"/>
    <col min="30" max="30" width="17" bestFit="1" customWidth="1"/>
    <col min="31" max="31" width="15.42578125" bestFit="1" customWidth="1"/>
    <col min="32" max="32" width="186.28515625" customWidth="1"/>
    <col min="33" max="33" width="9.140625" style="670"/>
  </cols>
  <sheetData>
    <row r="1" spans="1:34" ht="18.75" x14ac:dyDescent="0.25">
      <c r="A1" s="1137" t="s">
        <v>0</v>
      </c>
      <c r="B1" s="1137"/>
      <c r="C1" s="1137"/>
      <c r="D1" s="1137"/>
      <c r="E1" s="1137"/>
      <c r="F1" s="1137"/>
      <c r="G1" s="1137"/>
      <c r="H1" s="1137"/>
      <c r="I1" s="1137"/>
      <c r="J1" s="1137"/>
      <c r="K1" s="1137"/>
      <c r="L1" s="1137"/>
      <c r="M1" s="1137"/>
      <c r="N1" s="1137"/>
      <c r="O1" s="1137"/>
      <c r="P1" s="1137"/>
      <c r="Q1" s="1137"/>
      <c r="R1" s="1137"/>
      <c r="S1" s="1137"/>
      <c r="T1" s="1137"/>
      <c r="U1" s="1137"/>
      <c r="V1" s="1137"/>
      <c r="W1" s="1137"/>
      <c r="X1" s="1137"/>
      <c r="Y1" s="1137"/>
      <c r="Z1" s="1137"/>
      <c r="AA1" s="1137"/>
      <c r="AB1" s="1137"/>
      <c r="AC1" s="1137"/>
      <c r="AD1" s="1137"/>
      <c r="AE1" s="1137"/>
      <c r="AF1" s="1137"/>
    </row>
    <row r="2" spans="1:34" ht="18.75" x14ac:dyDescent="0.25">
      <c r="A2" s="1138" t="s">
        <v>77</v>
      </c>
      <c r="B2" s="1138"/>
      <c r="C2" s="1138"/>
      <c r="D2" s="1138"/>
      <c r="E2" s="1138"/>
      <c r="F2" s="1138"/>
      <c r="G2" s="1138"/>
      <c r="H2" s="1138"/>
      <c r="I2" s="1138"/>
      <c r="J2" s="1138"/>
      <c r="K2" s="1138"/>
      <c r="L2" s="1138"/>
      <c r="M2" s="1138"/>
      <c r="N2" s="1138"/>
      <c r="O2" s="1138"/>
      <c r="P2" s="1138"/>
      <c r="Q2" s="1138"/>
      <c r="R2" s="1138"/>
      <c r="S2" s="1138"/>
      <c r="T2" s="1138"/>
      <c r="U2" s="1138"/>
      <c r="V2" s="1138"/>
      <c r="W2" s="1138"/>
      <c r="X2" s="1138"/>
      <c r="Y2" s="1138"/>
      <c r="Z2" s="1138"/>
      <c r="AA2" s="1138"/>
      <c r="AB2" s="1138"/>
      <c r="AC2" s="1138"/>
      <c r="AD2" s="1138"/>
      <c r="AE2" s="1138"/>
      <c r="AF2" s="1" t="s">
        <v>1</v>
      </c>
    </row>
    <row r="3" spans="1:34" x14ac:dyDescent="0.25">
      <c r="A3" s="1139" t="s">
        <v>2</v>
      </c>
      <c r="B3" s="1141" t="s">
        <v>3</v>
      </c>
      <c r="C3" s="1141" t="s">
        <v>3</v>
      </c>
      <c r="D3" s="1141" t="s">
        <v>4</v>
      </c>
      <c r="E3" s="1143" t="s">
        <v>5</v>
      </c>
      <c r="F3" s="1133" t="s">
        <v>6</v>
      </c>
      <c r="G3" s="1134"/>
      <c r="H3" s="1133" t="s">
        <v>7</v>
      </c>
      <c r="I3" s="1134"/>
      <c r="J3" s="1133" t="s">
        <v>8</v>
      </c>
      <c r="K3" s="1134"/>
      <c r="L3" s="1133" t="s">
        <v>9</v>
      </c>
      <c r="M3" s="1134"/>
      <c r="N3" s="1133" t="s">
        <v>10</v>
      </c>
      <c r="O3" s="1134"/>
      <c r="P3" s="1133" t="s">
        <v>11</v>
      </c>
      <c r="Q3" s="1134"/>
      <c r="R3" s="1133" t="s">
        <v>12</v>
      </c>
      <c r="S3" s="1134"/>
      <c r="T3" s="1133" t="s">
        <v>13</v>
      </c>
      <c r="U3" s="1134"/>
      <c r="V3" s="1133" t="s">
        <v>14</v>
      </c>
      <c r="W3" s="1134"/>
      <c r="X3" s="1133" t="s">
        <v>15</v>
      </c>
      <c r="Y3" s="1134"/>
      <c r="Z3" s="1133" t="s">
        <v>16</v>
      </c>
      <c r="AA3" s="1134"/>
      <c r="AB3" s="1133" t="s">
        <v>17</v>
      </c>
      <c r="AC3" s="1134"/>
      <c r="AD3" s="1133" t="s">
        <v>18</v>
      </c>
      <c r="AE3" s="1134"/>
      <c r="AF3" s="1139" t="s">
        <v>19</v>
      </c>
    </row>
    <row r="4" spans="1:34" ht="42.75" customHeight="1" x14ac:dyDescent="0.25">
      <c r="A4" s="1140"/>
      <c r="B4" s="1142"/>
      <c r="C4" s="1142"/>
      <c r="D4" s="1142"/>
      <c r="E4" s="1144"/>
      <c r="F4" s="1135"/>
      <c r="G4" s="1136"/>
      <c r="H4" s="1135"/>
      <c r="I4" s="1136"/>
      <c r="J4" s="1135"/>
      <c r="K4" s="1136"/>
      <c r="L4" s="1135"/>
      <c r="M4" s="1136"/>
      <c r="N4" s="1135"/>
      <c r="O4" s="1136"/>
      <c r="P4" s="1135"/>
      <c r="Q4" s="1136"/>
      <c r="R4" s="1135"/>
      <c r="S4" s="1136"/>
      <c r="T4" s="1135"/>
      <c r="U4" s="1136"/>
      <c r="V4" s="1135"/>
      <c r="W4" s="1136"/>
      <c r="X4" s="1135"/>
      <c r="Y4" s="1136"/>
      <c r="Z4" s="1135"/>
      <c r="AA4" s="1136"/>
      <c r="AB4" s="1135"/>
      <c r="AC4" s="1136"/>
      <c r="AD4" s="1135"/>
      <c r="AE4" s="1136"/>
      <c r="AF4" s="1140"/>
    </row>
    <row r="5" spans="1:34" ht="37.5" x14ac:dyDescent="0.25">
      <c r="A5" s="58"/>
      <c r="B5" s="3">
        <v>2024</v>
      </c>
      <c r="C5" s="4">
        <v>45658</v>
      </c>
      <c r="D5" s="4">
        <v>45658</v>
      </c>
      <c r="E5" s="4">
        <v>45657</v>
      </c>
      <c r="F5" s="5" t="s">
        <v>20</v>
      </c>
      <c r="G5" s="5" t="s">
        <v>21</v>
      </c>
      <c r="H5" s="5" t="s">
        <v>22</v>
      </c>
      <c r="I5" s="5" t="s">
        <v>23</v>
      </c>
      <c r="J5" s="5" t="s">
        <v>22</v>
      </c>
      <c r="K5" s="5" t="s">
        <v>23</v>
      </c>
      <c r="L5" s="5" t="s">
        <v>22</v>
      </c>
      <c r="M5" s="5" t="s">
        <v>23</v>
      </c>
      <c r="N5" s="5" t="s">
        <v>22</v>
      </c>
      <c r="O5" s="5" t="s">
        <v>23</v>
      </c>
      <c r="P5" s="5" t="s">
        <v>22</v>
      </c>
      <c r="Q5" s="5" t="s">
        <v>23</v>
      </c>
      <c r="R5" s="5" t="s">
        <v>22</v>
      </c>
      <c r="S5" s="5" t="s">
        <v>23</v>
      </c>
      <c r="T5" s="5" t="s">
        <v>22</v>
      </c>
      <c r="U5" s="5" t="s">
        <v>23</v>
      </c>
      <c r="V5" s="5" t="s">
        <v>22</v>
      </c>
      <c r="W5" s="5" t="s">
        <v>23</v>
      </c>
      <c r="X5" s="5" t="s">
        <v>22</v>
      </c>
      <c r="Y5" s="5" t="s">
        <v>23</v>
      </c>
      <c r="Z5" s="5" t="s">
        <v>22</v>
      </c>
      <c r="AA5" s="5" t="s">
        <v>23</v>
      </c>
      <c r="AB5" s="5" t="s">
        <v>22</v>
      </c>
      <c r="AC5" s="5" t="s">
        <v>23</v>
      </c>
      <c r="AD5" s="5" t="s">
        <v>22</v>
      </c>
      <c r="AE5" s="5" t="s">
        <v>23</v>
      </c>
      <c r="AF5" s="1145"/>
    </row>
    <row r="6" spans="1:34" ht="18.75" x14ac:dyDescent="0.25">
      <c r="A6" s="6">
        <v>1</v>
      </c>
      <c r="B6" s="6">
        <v>2</v>
      </c>
      <c r="C6" s="6">
        <v>3</v>
      </c>
      <c r="D6" s="6">
        <v>4</v>
      </c>
      <c r="E6" s="6">
        <v>5</v>
      </c>
      <c r="F6" s="6">
        <v>6</v>
      </c>
      <c r="G6" s="6">
        <v>7</v>
      </c>
      <c r="H6" s="6">
        <v>8</v>
      </c>
      <c r="I6" s="6">
        <v>9</v>
      </c>
      <c r="J6" s="6">
        <v>10</v>
      </c>
      <c r="K6" s="6">
        <v>11</v>
      </c>
      <c r="L6" s="6">
        <v>12</v>
      </c>
      <c r="M6" s="6">
        <v>13</v>
      </c>
      <c r="N6" s="6">
        <v>14</v>
      </c>
      <c r="O6" s="6">
        <v>15</v>
      </c>
      <c r="P6" s="6">
        <v>16</v>
      </c>
      <c r="Q6" s="6">
        <v>17</v>
      </c>
      <c r="R6" s="6">
        <v>18</v>
      </c>
      <c r="S6" s="6">
        <v>19</v>
      </c>
      <c r="T6" s="6">
        <v>20</v>
      </c>
      <c r="U6" s="6">
        <v>21</v>
      </c>
      <c r="V6" s="6">
        <v>22</v>
      </c>
      <c r="W6" s="6">
        <v>23</v>
      </c>
      <c r="X6" s="6">
        <v>24</v>
      </c>
      <c r="Y6" s="6">
        <v>25</v>
      </c>
      <c r="Z6" s="6">
        <v>26</v>
      </c>
      <c r="AA6" s="6">
        <v>27</v>
      </c>
      <c r="AB6" s="6">
        <v>28</v>
      </c>
      <c r="AC6" s="6">
        <v>29</v>
      </c>
      <c r="AD6" s="6">
        <v>30</v>
      </c>
      <c r="AE6" s="6">
        <v>31</v>
      </c>
      <c r="AF6" s="2">
        <v>32</v>
      </c>
    </row>
    <row r="7" spans="1:34" ht="18.75" x14ac:dyDescent="0.25">
      <c r="A7" s="62" t="s">
        <v>78</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2"/>
    </row>
    <row r="8" spans="1:34" ht="18.75" x14ac:dyDescent="0.25">
      <c r="A8" s="63" t="s">
        <v>54</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2"/>
    </row>
    <row r="9" spans="1:34" ht="56.25" customHeight="1" x14ac:dyDescent="0.25">
      <c r="A9" s="66" t="s">
        <v>79</v>
      </c>
      <c r="B9" s="757">
        <f>B10</f>
        <v>52634.395350000006</v>
      </c>
      <c r="C9" s="757">
        <f t="shared" ref="C9:E10" si="0">C10</f>
        <v>52634.395350000006</v>
      </c>
      <c r="D9" s="757">
        <f t="shared" si="0"/>
        <v>52634.395350000006</v>
      </c>
      <c r="E9" s="757">
        <f t="shared" si="0"/>
        <v>47631.812250000003</v>
      </c>
      <c r="F9" s="757">
        <f t="shared" ref="F9:AE9" si="1">F10</f>
        <v>90.495600706088482</v>
      </c>
      <c r="G9" s="757">
        <f t="shared" si="1"/>
        <v>90.495600706088482</v>
      </c>
      <c r="H9" s="757">
        <f t="shared" si="1"/>
        <v>7121.37</v>
      </c>
      <c r="I9" s="757">
        <f t="shared" si="1"/>
        <v>4317.3140000000003</v>
      </c>
      <c r="J9" s="757">
        <f t="shared" si="1"/>
        <v>5416.6620000000003</v>
      </c>
      <c r="K9" s="757">
        <f t="shared" si="1"/>
        <v>5461.0829999999996</v>
      </c>
      <c r="L9" s="757">
        <f t="shared" si="1"/>
        <v>4821.6400000000003</v>
      </c>
      <c r="M9" s="757">
        <f t="shared" si="1"/>
        <v>3395.2550000000001</v>
      </c>
      <c r="N9" s="757">
        <f t="shared" si="1"/>
        <v>12654.749100000001</v>
      </c>
      <c r="O9" s="757">
        <f t="shared" si="1"/>
        <v>4998.1279999999997</v>
      </c>
      <c r="P9" s="757">
        <f t="shared" si="1"/>
        <v>3110.4140000000002</v>
      </c>
      <c r="Q9" s="757">
        <f t="shared" si="1"/>
        <v>3146.828</v>
      </c>
      <c r="R9" s="757">
        <f t="shared" si="1"/>
        <v>2742.58</v>
      </c>
      <c r="S9" s="757">
        <f t="shared" si="1"/>
        <v>2766.3440000000001</v>
      </c>
      <c r="T9" s="757">
        <f t="shared" si="1"/>
        <v>2976.3670000000002</v>
      </c>
      <c r="U9" s="757">
        <f t="shared" si="1"/>
        <v>9233.5750000000007</v>
      </c>
      <c r="V9" s="757">
        <f t="shared" si="1"/>
        <v>2655.73</v>
      </c>
      <c r="W9" s="757">
        <f t="shared" si="1"/>
        <v>2156.6640000000002</v>
      </c>
      <c r="X9" s="757">
        <f t="shared" si="1"/>
        <v>2495.4949999999999</v>
      </c>
      <c r="Y9" s="757">
        <f t="shared" si="1"/>
        <v>2602.8789999999999</v>
      </c>
      <c r="Z9" s="757">
        <f t="shared" si="1"/>
        <v>3239.5034000000001</v>
      </c>
      <c r="AA9" s="757">
        <f t="shared" si="1"/>
        <v>2510.7869999999998</v>
      </c>
      <c r="AB9" s="757">
        <f t="shared" si="1"/>
        <v>2342.6694000000002</v>
      </c>
      <c r="AC9" s="757">
        <f t="shared" si="1"/>
        <v>2850.98</v>
      </c>
      <c r="AD9" s="757">
        <f t="shared" si="1"/>
        <v>3057.2154500000001</v>
      </c>
      <c r="AE9" s="757">
        <f t="shared" si="1"/>
        <v>4191.9752500000004</v>
      </c>
      <c r="AF9" s="21"/>
      <c r="AG9" s="673"/>
      <c r="AH9" s="616"/>
    </row>
    <row r="10" spans="1:34" ht="18.75" x14ac:dyDescent="0.3">
      <c r="A10" s="13" t="s">
        <v>31</v>
      </c>
      <c r="B10" s="758">
        <f>B11</f>
        <v>52634.395350000006</v>
      </c>
      <c r="C10" s="758">
        <f t="shared" si="0"/>
        <v>52634.395350000006</v>
      </c>
      <c r="D10" s="758">
        <f>D11</f>
        <v>52634.395350000006</v>
      </c>
      <c r="E10" s="758">
        <f>E11</f>
        <v>47631.812250000003</v>
      </c>
      <c r="F10" s="759">
        <f>E10/B10*100</f>
        <v>90.495600706088482</v>
      </c>
      <c r="G10" s="759">
        <f>E10/C10*100</f>
        <v>90.495600706088482</v>
      </c>
      <c r="H10" s="896">
        <f>H11</f>
        <v>7121.37</v>
      </c>
      <c r="I10" s="896">
        <f t="shared" ref="I10:AE10" si="2">I11</f>
        <v>4317.3140000000003</v>
      </c>
      <c r="J10" s="896">
        <f t="shared" si="2"/>
        <v>5416.6620000000003</v>
      </c>
      <c r="K10" s="896">
        <f t="shared" si="2"/>
        <v>5461.0829999999996</v>
      </c>
      <c r="L10" s="896">
        <f t="shared" si="2"/>
        <v>4821.6400000000003</v>
      </c>
      <c r="M10" s="896">
        <f t="shared" si="2"/>
        <v>3395.2550000000001</v>
      </c>
      <c r="N10" s="896">
        <f t="shared" si="2"/>
        <v>12654.749100000001</v>
      </c>
      <c r="O10" s="896">
        <f t="shared" si="2"/>
        <v>4998.1279999999997</v>
      </c>
      <c r="P10" s="896">
        <f t="shared" si="2"/>
        <v>3110.4140000000002</v>
      </c>
      <c r="Q10" s="896">
        <f t="shared" si="2"/>
        <v>3146.828</v>
      </c>
      <c r="R10" s="896">
        <f t="shared" si="2"/>
        <v>2742.58</v>
      </c>
      <c r="S10" s="896">
        <f t="shared" si="2"/>
        <v>2766.3440000000001</v>
      </c>
      <c r="T10" s="896">
        <f t="shared" si="2"/>
        <v>2976.3670000000002</v>
      </c>
      <c r="U10" s="896">
        <f t="shared" si="2"/>
        <v>9233.5750000000007</v>
      </c>
      <c r="V10" s="896">
        <f t="shared" si="2"/>
        <v>2655.73</v>
      </c>
      <c r="W10" s="896">
        <f t="shared" si="2"/>
        <v>2156.6640000000002</v>
      </c>
      <c r="X10" s="896">
        <f t="shared" si="2"/>
        <v>2495.4949999999999</v>
      </c>
      <c r="Y10" s="896">
        <f t="shared" si="2"/>
        <v>2602.8789999999999</v>
      </c>
      <c r="Z10" s="896">
        <f t="shared" si="2"/>
        <v>3239.5034000000001</v>
      </c>
      <c r="AA10" s="896">
        <f t="shared" si="2"/>
        <v>2510.7869999999998</v>
      </c>
      <c r="AB10" s="896">
        <f t="shared" si="2"/>
        <v>2342.6694000000002</v>
      </c>
      <c r="AC10" s="896">
        <f t="shared" si="2"/>
        <v>2850.98</v>
      </c>
      <c r="AD10" s="896">
        <f t="shared" si="2"/>
        <v>3057.2154500000001</v>
      </c>
      <c r="AE10" s="896">
        <f t="shared" si="2"/>
        <v>4191.9752500000004</v>
      </c>
      <c r="AF10" s="29"/>
      <c r="AG10" s="673"/>
      <c r="AH10" s="616"/>
    </row>
    <row r="11" spans="1:34" ht="18.75" x14ac:dyDescent="0.3">
      <c r="A11" s="17" t="s">
        <v>33</v>
      </c>
      <c r="B11" s="758">
        <f>H11+J11+L11+N11+P11+R11+T11+V11+X11+Z11+AB11+AD11</f>
        <v>52634.395350000006</v>
      </c>
      <c r="C11" s="758">
        <f>H11+J11+L11+N11+P11+R11+T11+V11+X11+Z11+AB11+AD11</f>
        <v>52634.395350000006</v>
      </c>
      <c r="D11" s="758">
        <f>C11</f>
        <v>52634.395350000006</v>
      </c>
      <c r="E11" s="759">
        <f>I11+K11+M11+O11+Q11+S11+U11+W11+Y11+AA11+AC11+AE11</f>
        <v>47631.812250000003</v>
      </c>
      <c r="F11" s="759">
        <f>E11/B11*100</f>
        <v>90.495600706088482</v>
      </c>
      <c r="G11" s="759">
        <f>E11/C11*100</f>
        <v>90.495600706088482</v>
      </c>
      <c r="H11" s="897">
        <v>7121.37</v>
      </c>
      <c r="I11" s="897">
        <v>4317.3140000000003</v>
      </c>
      <c r="J11" s="897">
        <v>5416.6620000000003</v>
      </c>
      <c r="K11" s="897">
        <v>5461.0829999999996</v>
      </c>
      <c r="L11" s="897">
        <v>4821.6400000000003</v>
      </c>
      <c r="M11" s="897">
        <v>3395.2550000000001</v>
      </c>
      <c r="N11" s="897">
        <v>12654.749100000001</v>
      </c>
      <c r="O11" s="897">
        <v>4998.1279999999997</v>
      </c>
      <c r="P11" s="897">
        <v>3110.4140000000002</v>
      </c>
      <c r="Q11" s="897">
        <v>3146.828</v>
      </c>
      <c r="R11" s="897">
        <v>2742.58</v>
      </c>
      <c r="S11" s="897">
        <v>2766.3440000000001</v>
      </c>
      <c r="T11" s="897">
        <v>2976.3670000000002</v>
      </c>
      <c r="U11" s="897">
        <v>9233.5750000000007</v>
      </c>
      <c r="V11" s="897">
        <v>2655.73</v>
      </c>
      <c r="W11" s="897">
        <v>2156.6640000000002</v>
      </c>
      <c r="X11" s="897">
        <v>2495.4949999999999</v>
      </c>
      <c r="Y11" s="897">
        <v>2602.8789999999999</v>
      </c>
      <c r="Z11" s="897">
        <v>3239.5034000000001</v>
      </c>
      <c r="AA11" s="897">
        <v>2510.7869999999998</v>
      </c>
      <c r="AB11" s="897">
        <v>2342.6694000000002</v>
      </c>
      <c r="AC11" s="897">
        <v>2850.98</v>
      </c>
      <c r="AD11" s="897">
        <v>3057.2154500000001</v>
      </c>
      <c r="AE11" s="897">
        <v>4191.9752500000004</v>
      </c>
      <c r="AF11" s="742" t="s">
        <v>518</v>
      </c>
      <c r="AG11" s="673"/>
      <c r="AH11" s="616"/>
    </row>
    <row r="12" spans="1:34" ht="18.75" x14ac:dyDescent="0.3">
      <c r="A12" s="53" t="s">
        <v>53</v>
      </c>
      <c r="B12" s="108"/>
      <c r="C12" s="108"/>
      <c r="D12" s="108"/>
      <c r="E12" s="108"/>
      <c r="F12" s="108"/>
      <c r="G12" s="108"/>
      <c r="H12" s="898"/>
      <c r="I12" s="898"/>
      <c r="J12" s="898"/>
      <c r="K12" s="898"/>
      <c r="L12" s="898"/>
      <c r="M12" s="898"/>
      <c r="N12" s="898"/>
      <c r="O12" s="898"/>
      <c r="P12" s="898"/>
      <c r="Q12" s="898"/>
      <c r="R12" s="898"/>
      <c r="S12" s="898"/>
      <c r="T12" s="898"/>
      <c r="U12" s="898"/>
      <c r="V12" s="898"/>
      <c r="W12" s="898"/>
      <c r="X12" s="898"/>
      <c r="Y12" s="898"/>
      <c r="Z12" s="898"/>
      <c r="AA12" s="898"/>
      <c r="AB12" s="898"/>
      <c r="AC12" s="898"/>
      <c r="AD12" s="898"/>
      <c r="AE12" s="898"/>
      <c r="AF12" s="742"/>
      <c r="AG12" s="673"/>
      <c r="AH12" s="616"/>
    </row>
    <row r="13" spans="1:34" ht="18.75" x14ac:dyDescent="0.3">
      <c r="A13" s="13" t="s">
        <v>31</v>
      </c>
      <c r="B13" s="108">
        <f>B14</f>
        <v>52634.395350000006</v>
      </c>
      <c r="C13" s="108">
        <f>C14</f>
        <v>52634.395350000006</v>
      </c>
      <c r="D13" s="108">
        <f>D14</f>
        <v>52634.395350000006</v>
      </c>
      <c r="E13" s="108">
        <f>E14</f>
        <v>47631.812250000003</v>
      </c>
      <c r="F13" s="759">
        <f>E13/B13*100</f>
        <v>90.495600706088482</v>
      </c>
      <c r="G13" s="759">
        <f>E13/C13*100</f>
        <v>90.495600706088482</v>
      </c>
      <c r="H13" s="898">
        <f>H14</f>
        <v>7121.37</v>
      </c>
      <c r="I13" s="898">
        <f t="shared" ref="I13:AE13" si="3">I14</f>
        <v>4317.3140000000003</v>
      </c>
      <c r="J13" s="898">
        <f t="shared" si="3"/>
        <v>5416.6620000000003</v>
      </c>
      <c r="K13" s="898">
        <f t="shared" si="3"/>
        <v>5461.0829999999996</v>
      </c>
      <c r="L13" s="898">
        <f t="shared" si="3"/>
        <v>4821.6400000000003</v>
      </c>
      <c r="M13" s="898">
        <f t="shared" si="3"/>
        <v>3395.2550000000001</v>
      </c>
      <c r="N13" s="898">
        <f t="shared" si="3"/>
        <v>12654.749100000001</v>
      </c>
      <c r="O13" s="898">
        <f t="shared" si="3"/>
        <v>4998.1279999999997</v>
      </c>
      <c r="P13" s="898">
        <f t="shared" si="3"/>
        <v>3110.4140000000002</v>
      </c>
      <c r="Q13" s="898">
        <f t="shared" si="3"/>
        <v>3146.828</v>
      </c>
      <c r="R13" s="898">
        <f t="shared" si="3"/>
        <v>2742.58</v>
      </c>
      <c r="S13" s="898">
        <f t="shared" si="3"/>
        <v>2766.3440000000001</v>
      </c>
      <c r="T13" s="898">
        <f t="shared" si="3"/>
        <v>2976.3670000000002</v>
      </c>
      <c r="U13" s="898">
        <f t="shared" si="3"/>
        <v>9233.5750000000007</v>
      </c>
      <c r="V13" s="898">
        <f t="shared" si="3"/>
        <v>2655.73</v>
      </c>
      <c r="W13" s="898">
        <f t="shared" si="3"/>
        <v>2156.6640000000002</v>
      </c>
      <c r="X13" s="898">
        <f t="shared" si="3"/>
        <v>2495.4949999999999</v>
      </c>
      <c r="Y13" s="898">
        <f t="shared" si="3"/>
        <v>2602.8789999999999</v>
      </c>
      <c r="Z13" s="898">
        <f t="shared" si="3"/>
        <v>3239.5034000000001</v>
      </c>
      <c r="AA13" s="898">
        <f t="shared" si="3"/>
        <v>2510.7869999999998</v>
      </c>
      <c r="AB13" s="898">
        <f t="shared" si="3"/>
        <v>2342.6694000000002</v>
      </c>
      <c r="AC13" s="898">
        <f t="shared" si="3"/>
        <v>2850.98</v>
      </c>
      <c r="AD13" s="898">
        <f t="shared" si="3"/>
        <v>3057.2154500000001</v>
      </c>
      <c r="AE13" s="898">
        <f t="shared" si="3"/>
        <v>4191.9752500000004</v>
      </c>
      <c r="AF13" s="742"/>
      <c r="AG13" s="673"/>
      <c r="AH13" s="616"/>
    </row>
    <row r="14" spans="1:34" ht="18.75" x14ac:dyDescent="0.3">
      <c r="A14" s="13" t="s">
        <v>33</v>
      </c>
      <c r="B14" s="108">
        <f>B11</f>
        <v>52634.395350000006</v>
      </c>
      <c r="C14" s="108">
        <f>C11</f>
        <v>52634.395350000006</v>
      </c>
      <c r="D14" s="108">
        <f>D11</f>
        <v>52634.395350000006</v>
      </c>
      <c r="E14" s="108">
        <f>E11</f>
        <v>47631.812250000003</v>
      </c>
      <c r="F14" s="759">
        <f>E14/B14*100</f>
        <v>90.495600706088482</v>
      </c>
      <c r="G14" s="759">
        <f>E14/C14*100</f>
        <v>90.495600706088482</v>
      </c>
      <c r="H14" s="898">
        <f>H11</f>
        <v>7121.37</v>
      </c>
      <c r="I14" s="898">
        <f t="shared" ref="I14:AE14" si="4">I11</f>
        <v>4317.3140000000003</v>
      </c>
      <c r="J14" s="898">
        <f t="shared" si="4"/>
        <v>5416.6620000000003</v>
      </c>
      <c r="K14" s="898">
        <f t="shared" si="4"/>
        <v>5461.0829999999996</v>
      </c>
      <c r="L14" s="898">
        <f t="shared" si="4"/>
        <v>4821.6400000000003</v>
      </c>
      <c r="M14" s="898">
        <f t="shared" si="4"/>
        <v>3395.2550000000001</v>
      </c>
      <c r="N14" s="898">
        <f t="shared" si="4"/>
        <v>12654.749100000001</v>
      </c>
      <c r="O14" s="898">
        <f t="shared" si="4"/>
        <v>4998.1279999999997</v>
      </c>
      <c r="P14" s="898">
        <f t="shared" si="4"/>
        <v>3110.4140000000002</v>
      </c>
      <c r="Q14" s="898">
        <f t="shared" si="4"/>
        <v>3146.828</v>
      </c>
      <c r="R14" s="898">
        <f t="shared" si="4"/>
        <v>2742.58</v>
      </c>
      <c r="S14" s="898">
        <f t="shared" si="4"/>
        <v>2766.3440000000001</v>
      </c>
      <c r="T14" s="898">
        <f t="shared" si="4"/>
        <v>2976.3670000000002</v>
      </c>
      <c r="U14" s="898">
        <f t="shared" si="4"/>
        <v>9233.5750000000007</v>
      </c>
      <c r="V14" s="898">
        <f t="shared" si="4"/>
        <v>2655.73</v>
      </c>
      <c r="W14" s="898">
        <f t="shared" si="4"/>
        <v>2156.6640000000002</v>
      </c>
      <c r="X14" s="898">
        <f t="shared" si="4"/>
        <v>2495.4949999999999</v>
      </c>
      <c r="Y14" s="898">
        <f t="shared" si="4"/>
        <v>2602.8789999999999</v>
      </c>
      <c r="Z14" s="898">
        <f t="shared" si="4"/>
        <v>3239.5034000000001</v>
      </c>
      <c r="AA14" s="898">
        <f t="shared" si="4"/>
        <v>2510.7869999999998</v>
      </c>
      <c r="AB14" s="898">
        <f t="shared" si="4"/>
        <v>2342.6694000000002</v>
      </c>
      <c r="AC14" s="898">
        <f t="shared" si="4"/>
        <v>2850.98</v>
      </c>
      <c r="AD14" s="898">
        <f t="shared" si="4"/>
        <v>3057.2154500000001</v>
      </c>
      <c r="AE14" s="898">
        <f t="shared" si="4"/>
        <v>4191.9752500000004</v>
      </c>
      <c r="AF14" s="742"/>
      <c r="AG14" s="673"/>
      <c r="AH14" s="616"/>
    </row>
    <row r="15" spans="1:34" ht="37.5" x14ac:dyDescent="0.3">
      <c r="A15" s="28" t="s">
        <v>72</v>
      </c>
      <c r="B15" s="108"/>
      <c r="C15" s="108"/>
      <c r="D15" s="108"/>
      <c r="E15" s="108"/>
      <c r="F15" s="108"/>
      <c r="G15" s="108"/>
      <c r="H15" s="898"/>
      <c r="I15" s="898"/>
      <c r="J15" s="898"/>
      <c r="K15" s="898"/>
      <c r="L15" s="898"/>
      <c r="M15" s="898"/>
      <c r="N15" s="898"/>
      <c r="O15" s="898"/>
      <c r="P15" s="898"/>
      <c r="Q15" s="898"/>
      <c r="R15" s="898"/>
      <c r="S15" s="898"/>
      <c r="T15" s="898"/>
      <c r="U15" s="898"/>
      <c r="V15" s="898"/>
      <c r="W15" s="898"/>
      <c r="X15" s="898"/>
      <c r="Y15" s="898"/>
      <c r="Z15" s="898"/>
      <c r="AA15" s="898"/>
      <c r="AB15" s="898"/>
      <c r="AC15" s="898"/>
      <c r="AD15" s="898"/>
      <c r="AE15" s="898"/>
      <c r="AF15" s="29"/>
      <c r="AG15" s="673"/>
      <c r="AH15" s="616"/>
    </row>
    <row r="16" spans="1:34" ht="18.75" x14ac:dyDescent="0.3">
      <c r="A16" s="8" t="s">
        <v>31</v>
      </c>
      <c r="B16" s="108">
        <f>B17</f>
        <v>52634.395350000006</v>
      </c>
      <c r="C16" s="108">
        <f>C17</f>
        <v>52634.395350000006</v>
      </c>
      <c r="D16" s="108">
        <f>D17</f>
        <v>52634.395350000006</v>
      </c>
      <c r="E16" s="108">
        <f>E17</f>
        <v>47631.812250000003</v>
      </c>
      <c r="F16" s="759">
        <f>E16/B16*100</f>
        <v>90.495600706088482</v>
      </c>
      <c r="G16" s="759">
        <f>E16/C16*100</f>
        <v>90.495600706088482</v>
      </c>
      <c r="H16" s="898">
        <f>H17</f>
        <v>7121.37</v>
      </c>
      <c r="I16" s="898">
        <f t="shared" ref="I16:AE16" si="5">I17</f>
        <v>4317.3140000000003</v>
      </c>
      <c r="J16" s="898">
        <f t="shared" si="5"/>
        <v>5416.6620000000003</v>
      </c>
      <c r="K16" s="898">
        <f t="shared" si="5"/>
        <v>5461.0829999999996</v>
      </c>
      <c r="L16" s="898">
        <f t="shared" si="5"/>
        <v>4821.6400000000003</v>
      </c>
      <c r="M16" s="898">
        <f t="shared" si="5"/>
        <v>3395.2550000000001</v>
      </c>
      <c r="N16" s="898">
        <f t="shared" si="5"/>
        <v>12654.749100000001</v>
      </c>
      <c r="O16" s="898">
        <f t="shared" si="5"/>
        <v>4998.1279999999997</v>
      </c>
      <c r="P16" s="898">
        <f t="shared" si="5"/>
        <v>3110.4140000000002</v>
      </c>
      <c r="Q16" s="898">
        <f t="shared" si="5"/>
        <v>3146.828</v>
      </c>
      <c r="R16" s="898">
        <f t="shared" si="5"/>
        <v>2742.58</v>
      </c>
      <c r="S16" s="898">
        <f t="shared" si="5"/>
        <v>2766.3440000000001</v>
      </c>
      <c r="T16" s="898">
        <f t="shared" si="5"/>
        <v>2976.3670000000002</v>
      </c>
      <c r="U16" s="898">
        <f t="shared" si="5"/>
        <v>9233.5750000000007</v>
      </c>
      <c r="V16" s="898">
        <f t="shared" si="5"/>
        <v>2655.73</v>
      </c>
      <c r="W16" s="898">
        <f t="shared" si="5"/>
        <v>2156.6640000000002</v>
      </c>
      <c r="X16" s="898">
        <f t="shared" si="5"/>
        <v>2495.4949999999999</v>
      </c>
      <c r="Y16" s="898">
        <f t="shared" si="5"/>
        <v>2602.8789999999999</v>
      </c>
      <c r="Z16" s="898">
        <f t="shared" si="5"/>
        <v>3239.5034000000001</v>
      </c>
      <c r="AA16" s="898">
        <f t="shared" si="5"/>
        <v>2510.7869999999998</v>
      </c>
      <c r="AB16" s="898">
        <f t="shared" si="5"/>
        <v>2342.6694000000002</v>
      </c>
      <c r="AC16" s="898">
        <f t="shared" si="5"/>
        <v>2850.98</v>
      </c>
      <c r="AD16" s="898">
        <f t="shared" si="5"/>
        <v>3057.2154500000001</v>
      </c>
      <c r="AE16" s="898">
        <f t="shared" si="5"/>
        <v>4191.9752500000004</v>
      </c>
      <c r="AF16" s="29"/>
      <c r="AG16" s="673"/>
      <c r="AH16" s="616"/>
    </row>
    <row r="17" spans="1:34" ht="18.75" x14ac:dyDescent="0.3">
      <c r="A17" s="13" t="s">
        <v>33</v>
      </c>
      <c r="B17" s="108">
        <f>B14</f>
        <v>52634.395350000006</v>
      </c>
      <c r="C17" s="108">
        <f>C14</f>
        <v>52634.395350000006</v>
      </c>
      <c r="D17" s="108">
        <f>D14</f>
        <v>52634.395350000006</v>
      </c>
      <c r="E17" s="108">
        <f>E14</f>
        <v>47631.812250000003</v>
      </c>
      <c r="F17" s="759">
        <f>E17/B17*100</f>
        <v>90.495600706088482</v>
      </c>
      <c r="G17" s="759">
        <f>E17/C17*100</f>
        <v>90.495600706088482</v>
      </c>
      <c r="H17" s="898">
        <f>H14</f>
        <v>7121.37</v>
      </c>
      <c r="I17" s="898">
        <f t="shared" ref="I17:AE17" si="6">I14</f>
        <v>4317.3140000000003</v>
      </c>
      <c r="J17" s="898">
        <f t="shared" si="6"/>
        <v>5416.6620000000003</v>
      </c>
      <c r="K17" s="898">
        <f t="shared" si="6"/>
        <v>5461.0829999999996</v>
      </c>
      <c r="L17" s="898">
        <f t="shared" si="6"/>
        <v>4821.6400000000003</v>
      </c>
      <c r="M17" s="898">
        <f t="shared" si="6"/>
        <v>3395.2550000000001</v>
      </c>
      <c r="N17" s="898">
        <f t="shared" si="6"/>
        <v>12654.749100000001</v>
      </c>
      <c r="O17" s="898">
        <f t="shared" si="6"/>
        <v>4998.1279999999997</v>
      </c>
      <c r="P17" s="898">
        <f t="shared" si="6"/>
        <v>3110.4140000000002</v>
      </c>
      <c r="Q17" s="898">
        <f t="shared" si="6"/>
        <v>3146.828</v>
      </c>
      <c r="R17" s="898">
        <f t="shared" si="6"/>
        <v>2742.58</v>
      </c>
      <c r="S17" s="898">
        <f t="shared" si="6"/>
        <v>2766.3440000000001</v>
      </c>
      <c r="T17" s="898">
        <f t="shared" si="6"/>
        <v>2976.3670000000002</v>
      </c>
      <c r="U17" s="898">
        <f t="shared" si="6"/>
        <v>9233.5750000000007</v>
      </c>
      <c r="V17" s="898">
        <f t="shared" si="6"/>
        <v>2655.73</v>
      </c>
      <c r="W17" s="898">
        <f t="shared" si="6"/>
        <v>2156.6640000000002</v>
      </c>
      <c r="X17" s="898">
        <f t="shared" si="6"/>
        <v>2495.4949999999999</v>
      </c>
      <c r="Y17" s="898">
        <f t="shared" si="6"/>
        <v>2602.8789999999999</v>
      </c>
      <c r="Z17" s="898">
        <f t="shared" si="6"/>
        <v>3239.5034000000001</v>
      </c>
      <c r="AA17" s="898">
        <f t="shared" si="6"/>
        <v>2510.7869999999998</v>
      </c>
      <c r="AB17" s="898">
        <f t="shared" si="6"/>
        <v>2342.6694000000002</v>
      </c>
      <c r="AC17" s="898">
        <f t="shared" si="6"/>
        <v>2850.98</v>
      </c>
      <c r="AD17" s="898">
        <f t="shared" si="6"/>
        <v>3057.2154500000001</v>
      </c>
      <c r="AE17" s="898">
        <f t="shared" si="6"/>
        <v>4191.9752500000004</v>
      </c>
      <c r="AF17" s="29"/>
      <c r="AG17" s="673"/>
      <c r="AH17" s="616"/>
    </row>
    <row r="18" spans="1:34" ht="18.75" x14ac:dyDescent="0.3">
      <c r="A18" s="59" t="s">
        <v>80</v>
      </c>
      <c r="B18" s="108"/>
      <c r="C18" s="108"/>
      <c r="D18" s="108"/>
      <c r="E18" s="108"/>
      <c r="F18" s="108"/>
      <c r="G18" s="108"/>
      <c r="H18" s="898"/>
      <c r="I18" s="898"/>
      <c r="J18" s="898"/>
      <c r="K18" s="898"/>
      <c r="L18" s="898"/>
      <c r="M18" s="898"/>
      <c r="N18" s="898"/>
      <c r="O18" s="898"/>
      <c r="P18" s="898"/>
      <c r="Q18" s="898"/>
      <c r="R18" s="898"/>
      <c r="S18" s="898"/>
      <c r="T18" s="898"/>
      <c r="U18" s="898"/>
      <c r="V18" s="898"/>
      <c r="W18" s="898"/>
      <c r="X18" s="898"/>
      <c r="Y18" s="898"/>
      <c r="Z18" s="898"/>
      <c r="AA18" s="898"/>
      <c r="AB18" s="898"/>
      <c r="AC18" s="898"/>
      <c r="AD18" s="898"/>
      <c r="AE18" s="898"/>
      <c r="AF18" s="29"/>
      <c r="AG18" s="673"/>
      <c r="AH18" s="616"/>
    </row>
    <row r="19" spans="1:34" ht="18.75" x14ac:dyDescent="0.3">
      <c r="A19" s="52" t="s">
        <v>54</v>
      </c>
      <c r="B19" s="108"/>
      <c r="C19" s="108"/>
      <c r="D19" s="108"/>
      <c r="E19" s="108"/>
      <c r="F19" s="108"/>
      <c r="G19" s="108"/>
      <c r="H19" s="898"/>
      <c r="I19" s="898"/>
      <c r="J19" s="898"/>
      <c r="K19" s="898"/>
      <c r="L19" s="898"/>
      <c r="M19" s="898"/>
      <c r="N19" s="898"/>
      <c r="O19" s="898"/>
      <c r="P19" s="898"/>
      <c r="Q19" s="898"/>
      <c r="R19" s="898"/>
      <c r="S19" s="898"/>
      <c r="T19" s="898"/>
      <c r="U19" s="898"/>
      <c r="V19" s="898"/>
      <c r="W19" s="898"/>
      <c r="X19" s="898"/>
      <c r="Y19" s="898"/>
      <c r="Z19" s="898"/>
      <c r="AA19" s="898"/>
      <c r="AB19" s="898"/>
      <c r="AC19" s="898"/>
      <c r="AD19" s="898"/>
      <c r="AE19" s="898"/>
      <c r="AF19" s="29"/>
      <c r="AG19" s="673"/>
      <c r="AH19" s="616"/>
    </row>
    <row r="20" spans="1:34" ht="75" x14ac:dyDescent="0.3">
      <c r="A20" s="67" t="s">
        <v>81</v>
      </c>
      <c r="B20" s="108"/>
      <c r="C20" s="108"/>
      <c r="D20" s="108"/>
      <c r="E20" s="108"/>
      <c r="F20" s="108"/>
      <c r="G20" s="108"/>
      <c r="H20" s="898"/>
      <c r="I20" s="898"/>
      <c r="J20" s="898"/>
      <c r="K20" s="898"/>
      <c r="L20" s="898"/>
      <c r="M20" s="898"/>
      <c r="N20" s="898"/>
      <c r="O20" s="898"/>
      <c r="P20" s="898"/>
      <c r="Q20" s="898"/>
      <c r="R20" s="898"/>
      <c r="S20" s="898"/>
      <c r="T20" s="898"/>
      <c r="U20" s="898"/>
      <c r="V20" s="898"/>
      <c r="W20" s="898"/>
      <c r="X20" s="898"/>
      <c r="Y20" s="898"/>
      <c r="Z20" s="898"/>
      <c r="AA20" s="898"/>
      <c r="AB20" s="898"/>
      <c r="AC20" s="898"/>
      <c r="AD20" s="898"/>
      <c r="AE20" s="898"/>
      <c r="AF20" s="29"/>
      <c r="AG20" s="673"/>
      <c r="AH20" s="616"/>
    </row>
    <row r="21" spans="1:34" ht="18.75" x14ac:dyDescent="0.3">
      <c r="A21" s="13" t="s">
        <v>31</v>
      </c>
      <c r="B21" s="758">
        <f>B22</f>
        <v>306281.20646000002</v>
      </c>
      <c r="C21" s="758">
        <f>C22</f>
        <v>306281.20646000002</v>
      </c>
      <c r="D21" s="758">
        <f>D22</f>
        <v>306281.20646000002</v>
      </c>
      <c r="E21" s="758">
        <f>E22</f>
        <v>299455.74002999999</v>
      </c>
      <c r="F21" s="759">
        <f>E21/B21*100</f>
        <v>97.77150334854403</v>
      </c>
      <c r="G21" s="759">
        <f>E21/C21*100</f>
        <v>97.77150334854403</v>
      </c>
      <c r="H21" s="896">
        <f>H22</f>
        <v>21722.24885</v>
      </c>
      <c r="I21" s="896">
        <f t="shared" ref="I21:AE21" si="7">I22</f>
        <v>17924.219490000003</v>
      </c>
      <c r="J21" s="896">
        <f t="shared" si="7"/>
        <v>30110.05385</v>
      </c>
      <c r="K21" s="896">
        <f t="shared" si="7"/>
        <v>29266.189620000001</v>
      </c>
      <c r="L21" s="896">
        <f t="shared" si="7"/>
        <v>23587.819729999999</v>
      </c>
      <c r="M21" s="896">
        <f t="shared" si="7"/>
        <v>21758.617310000001</v>
      </c>
      <c r="N21" s="896">
        <f t="shared" si="7"/>
        <v>27981.220780000003</v>
      </c>
      <c r="O21" s="896">
        <f t="shared" si="7"/>
        <v>25990.672839999999</v>
      </c>
      <c r="P21" s="896">
        <f t="shared" si="7"/>
        <v>24057.093099999998</v>
      </c>
      <c r="Q21" s="896">
        <f t="shared" si="7"/>
        <v>23249.978619999998</v>
      </c>
      <c r="R21" s="896">
        <f t="shared" si="7"/>
        <v>27940.046180000001</v>
      </c>
      <c r="S21" s="896">
        <f t="shared" si="7"/>
        <v>25449.100510000004</v>
      </c>
      <c r="T21" s="896">
        <f t="shared" si="7"/>
        <v>33303.824720000004</v>
      </c>
      <c r="U21" s="896">
        <f t="shared" si="7"/>
        <v>32542.381430000001</v>
      </c>
      <c r="V21" s="896">
        <f t="shared" si="7"/>
        <v>24497.809249999998</v>
      </c>
      <c r="W21" s="896">
        <f t="shared" si="7"/>
        <v>26433.222740000001</v>
      </c>
      <c r="X21" s="896">
        <f t="shared" si="7"/>
        <v>20893.712369999997</v>
      </c>
      <c r="Y21" s="896">
        <f t="shared" si="7"/>
        <v>19080.59287</v>
      </c>
      <c r="Z21" s="896">
        <f t="shared" si="7"/>
        <v>25616.904679999996</v>
      </c>
      <c r="AA21" s="896">
        <f t="shared" si="7"/>
        <v>23839.747000000003</v>
      </c>
      <c r="AB21" s="896">
        <f t="shared" si="7"/>
        <v>20873.16504</v>
      </c>
      <c r="AC21" s="896">
        <f t="shared" si="7"/>
        <v>21074.97192</v>
      </c>
      <c r="AD21" s="896">
        <f t="shared" si="7"/>
        <v>25697.30791</v>
      </c>
      <c r="AE21" s="896">
        <f t="shared" si="7"/>
        <v>32846.045679999996</v>
      </c>
      <c r="AF21" s="29"/>
      <c r="AG21" s="673"/>
      <c r="AH21" s="616"/>
    </row>
    <row r="22" spans="1:34" ht="18.75" x14ac:dyDescent="0.3">
      <c r="A22" s="13" t="s">
        <v>33</v>
      </c>
      <c r="B22" s="758">
        <f>B25+B28+B37+B40</f>
        <v>306281.20646000002</v>
      </c>
      <c r="C22" s="758">
        <f>C25+C28+C37+C40</f>
        <v>306281.20646000002</v>
      </c>
      <c r="D22" s="758">
        <f>D24+D27+D36+D39</f>
        <v>306281.20646000002</v>
      </c>
      <c r="E22" s="758">
        <f>E25+E28+E37+E40</f>
        <v>299455.74002999999</v>
      </c>
      <c r="F22" s="759">
        <f>E22/B22*100</f>
        <v>97.77150334854403</v>
      </c>
      <c r="G22" s="759">
        <f>E22/C22*100</f>
        <v>97.77150334854403</v>
      </c>
      <c r="H22" s="896">
        <f>H25+H28+H37+H40</f>
        <v>21722.24885</v>
      </c>
      <c r="I22" s="896">
        <f>I25+I28+I37+I40</f>
        <v>17924.219490000003</v>
      </c>
      <c r="J22" s="896">
        <f t="shared" ref="J22:AE22" si="8">J25+J28+J37+J40</f>
        <v>30110.05385</v>
      </c>
      <c r="K22" s="896">
        <f t="shared" si="8"/>
        <v>29266.189620000001</v>
      </c>
      <c r="L22" s="896">
        <f t="shared" si="8"/>
        <v>23587.819729999999</v>
      </c>
      <c r="M22" s="896">
        <f t="shared" si="8"/>
        <v>21758.617310000001</v>
      </c>
      <c r="N22" s="896">
        <f t="shared" si="8"/>
        <v>27981.220780000003</v>
      </c>
      <c r="O22" s="896">
        <f t="shared" si="8"/>
        <v>25990.672839999999</v>
      </c>
      <c r="P22" s="896">
        <f t="shared" si="8"/>
        <v>24057.093099999998</v>
      </c>
      <c r="Q22" s="896">
        <f t="shared" si="8"/>
        <v>23249.978619999998</v>
      </c>
      <c r="R22" s="896">
        <f t="shared" si="8"/>
        <v>27940.046180000001</v>
      </c>
      <c r="S22" s="896">
        <f t="shared" si="8"/>
        <v>25449.100510000004</v>
      </c>
      <c r="T22" s="896">
        <f t="shared" si="8"/>
        <v>33303.824720000004</v>
      </c>
      <c r="U22" s="896">
        <f t="shared" si="8"/>
        <v>32542.381430000001</v>
      </c>
      <c r="V22" s="896">
        <f t="shared" si="8"/>
        <v>24497.809249999998</v>
      </c>
      <c r="W22" s="896">
        <f t="shared" si="8"/>
        <v>26433.222740000001</v>
      </c>
      <c r="X22" s="896">
        <f t="shared" si="8"/>
        <v>20893.712369999997</v>
      </c>
      <c r="Y22" s="896">
        <f t="shared" si="8"/>
        <v>19080.59287</v>
      </c>
      <c r="Z22" s="896">
        <f t="shared" si="8"/>
        <v>25616.904679999996</v>
      </c>
      <c r="AA22" s="896">
        <f t="shared" si="8"/>
        <v>23839.747000000003</v>
      </c>
      <c r="AB22" s="896">
        <f t="shared" si="8"/>
        <v>20873.16504</v>
      </c>
      <c r="AC22" s="896">
        <f t="shared" si="8"/>
        <v>21074.97192</v>
      </c>
      <c r="AD22" s="896">
        <f t="shared" si="8"/>
        <v>25697.30791</v>
      </c>
      <c r="AE22" s="896">
        <f t="shared" si="8"/>
        <v>32846.045679999996</v>
      </c>
      <c r="AF22" s="29"/>
      <c r="AG22" s="673"/>
      <c r="AH22" s="616"/>
    </row>
    <row r="23" spans="1:34" ht="75" x14ac:dyDescent="0.3">
      <c r="A23" s="51" t="s">
        <v>86</v>
      </c>
      <c r="B23" s="108"/>
      <c r="C23" s="108"/>
      <c r="D23" s="108"/>
      <c r="E23" s="108"/>
      <c r="F23" s="108"/>
      <c r="G23" s="108"/>
      <c r="H23" s="898"/>
      <c r="I23" s="898"/>
      <c r="J23" s="898"/>
      <c r="K23" s="898"/>
      <c r="L23" s="898"/>
      <c r="M23" s="898"/>
      <c r="N23" s="898"/>
      <c r="O23" s="898"/>
      <c r="P23" s="898"/>
      <c r="Q23" s="898"/>
      <c r="R23" s="898"/>
      <c r="S23" s="898"/>
      <c r="T23" s="898"/>
      <c r="U23" s="898"/>
      <c r="V23" s="898"/>
      <c r="W23" s="898"/>
      <c r="X23" s="898"/>
      <c r="Y23" s="898"/>
      <c r="Z23" s="898"/>
      <c r="AA23" s="898"/>
      <c r="AB23" s="898"/>
      <c r="AC23" s="898"/>
      <c r="AD23" s="898"/>
      <c r="AE23" s="898"/>
      <c r="AF23" s="29"/>
      <c r="AG23" s="673"/>
      <c r="AH23" s="616"/>
    </row>
    <row r="24" spans="1:34" ht="18.75" x14ac:dyDescent="0.3">
      <c r="A24" s="13" t="s">
        <v>31</v>
      </c>
      <c r="B24" s="758">
        <f>B25</f>
        <v>41359.625999999997</v>
      </c>
      <c r="C24" s="758">
        <f>C25</f>
        <v>41359.625999999997</v>
      </c>
      <c r="D24" s="758">
        <f>D25</f>
        <v>41359.625999999997</v>
      </c>
      <c r="E24" s="758">
        <f>E25</f>
        <v>40752.606090000001</v>
      </c>
      <c r="F24" s="759">
        <f>E24/B24*100</f>
        <v>98.532337042893005</v>
      </c>
      <c r="G24" s="759">
        <f>E24/C24*100</f>
        <v>98.532337042893005</v>
      </c>
      <c r="H24" s="898"/>
      <c r="I24" s="898"/>
      <c r="J24" s="898"/>
      <c r="K24" s="898"/>
      <c r="L24" s="898"/>
      <c r="M24" s="898"/>
      <c r="N24" s="898"/>
      <c r="O24" s="898"/>
      <c r="P24" s="898"/>
      <c r="Q24" s="898"/>
      <c r="R24" s="898"/>
      <c r="S24" s="898"/>
      <c r="T24" s="898"/>
      <c r="U24" s="898"/>
      <c r="V24" s="898"/>
      <c r="W24" s="898"/>
      <c r="X24" s="898"/>
      <c r="Y24" s="898"/>
      <c r="Z24" s="898"/>
      <c r="AA24" s="898"/>
      <c r="AB24" s="898"/>
      <c r="AC24" s="898"/>
      <c r="AD24" s="898"/>
      <c r="AE24" s="898"/>
      <c r="AF24" s="29"/>
      <c r="AG24" s="673"/>
      <c r="AH24" s="616"/>
    </row>
    <row r="25" spans="1:34" ht="18.75" x14ac:dyDescent="0.3">
      <c r="A25" s="13" t="s">
        <v>33</v>
      </c>
      <c r="B25" s="758">
        <f>H25+J25+L25+N25+P25+R25+T25+V25+X25+Z25+AB25+AD25</f>
        <v>41359.625999999997</v>
      </c>
      <c r="C25" s="759">
        <f>H25+J25+L25+N25+P25+R25+T25+V25+X25+Z25+AB25+AD25</f>
        <v>41359.625999999997</v>
      </c>
      <c r="D25" s="759">
        <f>H25+J25+L25+N25+P25+R25+T25+V25+X25+Z25+AB25+AD25</f>
        <v>41359.625999999997</v>
      </c>
      <c r="E25" s="759">
        <f>I25+K25+M25+O25+Q25+S25+U25+W25+Y25+AA25+AC25+AE25</f>
        <v>40752.606090000001</v>
      </c>
      <c r="F25" s="759">
        <f>E25/B25*100</f>
        <v>98.532337042893005</v>
      </c>
      <c r="G25" s="759">
        <f>E25/C25*100</f>
        <v>98.532337042893005</v>
      </c>
      <c r="H25" s="897">
        <v>4622.8797500000001</v>
      </c>
      <c r="I25" s="897">
        <v>2728.5154900000002</v>
      </c>
      <c r="J25" s="897">
        <v>4534.2068499999996</v>
      </c>
      <c r="K25" s="897">
        <v>4153.1286200000004</v>
      </c>
      <c r="L25" s="897">
        <v>3372.5481799999998</v>
      </c>
      <c r="M25" s="897">
        <v>3487.1113099999998</v>
      </c>
      <c r="N25" s="897">
        <v>3143.3742900000002</v>
      </c>
      <c r="O25" s="897">
        <v>2969.49784</v>
      </c>
      <c r="P25" s="897">
        <v>3379.6268799999998</v>
      </c>
      <c r="Q25" s="897">
        <v>2729.9006199999999</v>
      </c>
      <c r="R25" s="897">
        <v>3033.82908</v>
      </c>
      <c r="S25" s="897">
        <v>3561.4615100000001</v>
      </c>
      <c r="T25" s="897">
        <v>3486.8381100000001</v>
      </c>
      <c r="U25" s="897">
        <v>4037.6734299999998</v>
      </c>
      <c r="V25" s="897">
        <v>2742.20901</v>
      </c>
      <c r="W25" s="897">
        <v>3145.8457400000002</v>
      </c>
      <c r="X25" s="897">
        <v>2811.6044400000001</v>
      </c>
      <c r="Y25" s="897">
        <v>2342.4065500000002</v>
      </c>
      <c r="Z25" s="897">
        <v>2419.9393399999999</v>
      </c>
      <c r="AA25" s="897">
        <v>2804.8069999999998</v>
      </c>
      <c r="AB25" s="897">
        <v>2563.0987599999999</v>
      </c>
      <c r="AC25" s="897">
        <v>2541.8873400000002</v>
      </c>
      <c r="AD25" s="897">
        <v>5249.4713099999999</v>
      </c>
      <c r="AE25" s="897">
        <v>6250.3706400000001</v>
      </c>
      <c r="AF25" s="738" t="s">
        <v>482</v>
      </c>
      <c r="AG25" s="673"/>
      <c r="AH25" s="616"/>
    </row>
    <row r="26" spans="1:34" ht="75" x14ac:dyDescent="0.3">
      <c r="A26" s="48" t="s">
        <v>87</v>
      </c>
      <c r="B26" s="108"/>
      <c r="C26" s="108"/>
      <c r="D26" s="108"/>
      <c r="E26" s="108"/>
      <c r="F26" s="108"/>
      <c r="G26" s="108"/>
      <c r="H26" s="898"/>
      <c r="I26" s="898"/>
      <c r="J26" s="898"/>
      <c r="K26" s="898"/>
      <c r="L26" s="898"/>
      <c r="M26" s="898"/>
      <c r="N26" s="898"/>
      <c r="O26" s="898"/>
      <c r="P26" s="898"/>
      <c r="Q26" s="898"/>
      <c r="R26" s="898"/>
      <c r="S26" s="898"/>
      <c r="T26" s="898"/>
      <c r="U26" s="898"/>
      <c r="V26" s="898"/>
      <c r="W26" s="898"/>
      <c r="X26" s="898"/>
      <c r="Y26" s="898"/>
      <c r="Z26" s="898"/>
      <c r="AA26" s="898"/>
      <c r="AB26" s="898"/>
      <c r="AC26" s="898"/>
      <c r="AD26" s="898"/>
      <c r="AE26" s="898"/>
      <c r="AF26" s="739"/>
      <c r="AG26" s="673"/>
      <c r="AH26" s="616"/>
    </row>
    <row r="27" spans="1:34" ht="18.75" x14ac:dyDescent="0.3">
      <c r="A27" s="13" t="s">
        <v>31</v>
      </c>
      <c r="B27" s="108">
        <f>B28</f>
        <v>79218.892999999996</v>
      </c>
      <c r="C27" s="108">
        <f>C28</f>
        <v>79218.892999999996</v>
      </c>
      <c r="D27" s="108">
        <f>D28</f>
        <v>79218.892999999996</v>
      </c>
      <c r="E27" s="108">
        <f>E28</f>
        <v>79167.279790000001</v>
      </c>
      <c r="F27" s="759">
        <f>E27/B27*100</f>
        <v>99.934847347589169</v>
      </c>
      <c r="G27" s="758">
        <f>E27/C27*100</f>
        <v>99.934847347589169</v>
      </c>
      <c r="H27" s="898">
        <f>H28</f>
        <v>6250.1940000000004</v>
      </c>
      <c r="I27" s="898">
        <f t="shared" ref="I27:AE27" si="9">I28</f>
        <v>6250.1940000000004</v>
      </c>
      <c r="J27" s="898">
        <f t="shared" si="9"/>
        <v>7648.817</v>
      </c>
      <c r="K27" s="898">
        <f t="shared" si="9"/>
        <v>7648.817</v>
      </c>
      <c r="L27" s="898">
        <f t="shared" si="9"/>
        <v>7329.7910000000002</v>
      </c>
      <c r="M27" s="898">
        <f t="shared" si="9"/>
        <v>7329.7910000000002</v>
      </c>
      <c r="N27" s="898">
        <f t="shared" si="9"/>
        <v>7481.9189999999999</v>
      </c>
      <c r="O27" s="898">
        <f t="shared" si="9"/>
        <v>7481.9189999999999</v>
      </c>
      <c r="P27" s="898">
        <f t="shared" si="9"/>
        <v>7307.2470000000003</v>
      </c>
      <c r="Q27" s="898">
        <f t="shared" si="9"/>
        <v>7307.25</v>
      </c>
      <c r="R27" s="898">
        <f t="shared" si="9"/>
        <v>7532.3419999999996</v>
      </c>
      <c r="S27" s="898">
        <f t="shared" si="9"/>
        <v>7532.3419999999996</v>
      </c>
      <c r="T27" s="898">
        <f t="shared" si="9"/>
        <v>7421.77</v>
      </c>
      <c r="U27" s="898">
        <f t="shared" si="9"/>
        <v>7421.77</v>
      </c>
      <c r="V27" s="898">
        <f t="shared" si="9"/>
        <v>6571.1930000000002</v>
      </c>
      <c r="W27" s="898">
        <f t="shared" si="9"/>
        <v>6571.1930000000002</v>
      </c>
      <c r="X27" s="898">
        <f t="shared" si="9"/>
        <v>5816.335</v>
      </c>
      <c r="Y27" s="898">
        <f t="shared" si="9"/>
        <v>5816.335</v>
      </c>
      <c r="Z27" s="898">
        <f t="shared" si="9"/>
        <v>5605.5739999999996</v>
      </c>
      <c r="AA27" s="898">
        <f t="shared" si="9"/>
        <v>5605.57</v>
      </c>
      <c r="AB27" s="898">
        <f t="shared" si="9"/>
        <v>5157.3819999999996</v>
      </c>
      <c r="AC27" s="898">
        <f t="shared" si="9"/>
        <v>5157.3819999999996</v>
      </c>
      <c r="AD27" s="898">
        <f t="shared" si="9"/>
        <v>5096.3289999999997</v>
      </c>
      <c r="AE27" s="898">
        <f t="shared" si="9"/>
        <v>5044.7167900000004</v>
      </c>
      <c r="AF27" s="739"/>
      <c r="AG27" s="673"/>
      <c r="AH27" s="616"/>
    </row>
    <row r="28" spans="1:34" ht="18.75" x14ac:dyDescent="0.3">
      <c r="A28" s="14" t="s">
        <v>93</v>
      </c>
      <c r="B28" s="758">
        <f>B31+B34</f>
        <v>79218.892999999996</v>
      </c>
      <c r="C28" s="758">
        <f>C31+C34</f>
        <v>79218.892999999996</v>
      </c>
      <c r="D28" s="758">
        <f>D31+D34</f>
        <v>79218.892999999996</v>
      </c>
      <c r="E28" s="758">
        <f>E31+E34</f>
        <v>79167.279790000001</v>
      </c>
      <c r="F28" s="759">
        <f>E28/B28*100</f>
        <v>99.934847347589169</v>
      </c>
      <c r="G28" s="758">
        <f>E28/C28*100</f>
        <v>99.934847347589169</v>
      </c>
      <c r="H28" s="896">
        <f>H31+H34</f>
        <v>6250.1940000000004</v>
      </c>
      <c r="I28" s="896">
        <f>I31+I34</f>
        <v>6250.1940000000004</v>
      </c>
      <c r="J28" s="896">
        <f t="shared" ref="J28:AE28" si="10">J31+J34</f>
        <v>7648.817</v>
      </c>
      <c r="K28" s="896">
        <f t="shared" si="10"/>
        <v>7648.817</v>
      </c>
      <c r="L28" s="896">
        <f t="shared" si="10"/>
        <v>7329.7910000000002</v>
      </c>
      <c r="M28" s="896">
        <f t="shared" si="10"/>
        <v>7329.7910000000002</v>
      </c>
      <c r="N28" s="896">
        <f t="shared" si="10"/>
        <v>7481.9189999999999</v>
      </c>
      <c r="O28" s="896">
        <f t="shared" si="10"/>
        <v>7481.9189999999999</v>
      </c>
      <c r="P28" s="896">
        <f t="shared" si="10"/>
        <v>7307.2470000000003</v>
      </c>
      <c r="Q28" s="896">
        <f t="shared" si="10"/>
        <v>7307.25</v>
      </c>
      <c r="R28" s="896">
        <f t="shared" si="10"/>
        <v>7532.3419999999996</v>
      </c>
      <c r="S28" s="896">
        <f t="shared" si="10"/>
        <v>7532.3419999999996</v>
      </c>
      <c r="T28" s="896">
        <f t="shared" si="10"/>
        <v>7421.77</v>
      </c>
      <c r="U28" s="896">
        <f t="shared" si="10"/>
        <v>7421.77</v>
      </c>
      <c r="V28" s="896">
        <f t="shared" si="10"/>
        <v>6571.1930000000002</v>
      </c>
      <c r="W28" s="896">
        <f t="shared" si="10"/>
        <v>6571.1930000000002</v>
      </c>
      <c r="X28" s="896">
        <f t="shared" si="10"/>
        <v>5816.335</v>
      </c>
      <c r="Y28" s="896">
        <f t="shared" si="10"/>
        <v>5816.335</v>
      </c>
      <c r="Z28" s="896">
        <f t="shared" si="10"/>
        <v>5605.5739999999996</v>
      </c>
      <c r="AA28" s="896">
        <f t="shared" si="10"/>
        <v>5605.57</v>
      </c>
      <c r="AB28" s="896">
        <f t="shared" si="10"/>
        <v>5157.3819999999996</v>
      </c>
      <c r="AC28" s="896">
        <f t="shared" si="10"/>
        <v>5157.3819999999996</v>
      </c>
      <c r="AD28" s="896">
        <f t="shared" si="10"/>
        <v>5096.3289999999997</v>
      </c>
      <c r="AE28" s="896">
        <f t="shared" si="10"/>
        <v>5044.7167900000004</v>
      </c>
      <c r="AF28" s="740"/>
      <c r="AG28" s="673"/>
      <c r="AH28" s="616"/>
    </row>
    <row r="29" spans="1:34" ht="112.5" x14ac:dyDescent="0.3">
      <c r="A29" s="14" t="s">
        <v>88</v>
      </c>
      <c r="B29" s="758"/>
      <c r="C29" s="759"/>
      <c r="D29" s="759"/>
      <c r="E29" s="759"/>
      <c r="F29" s="759"/>
      <c r="G29" s="758"/>
      <c r="H29" s="896"/>
      <c r="I29" s="896"/>
      <c r="J29" s="896"/>
      <c r="K29" s="896"/>
      <c r="L29" s="896"/>
      <c r="M29" s="896"/>
      <c r="N29" s="896"/>
      <c r="O29" s="896"/>
      <c r="P29" s="896"/>
      <c r="Q29" s="896"/>
      <c r="R29" s="896"/>
      <c r="S29" s="896"/>
      <c r="T29" s="896"/>
      <c r="U29" s="896"/>
      <c r="V29" s="896"/>
      <c r="W29" s="896"/>
      <c r="X29" s="896"/>
      <c r="Y29" s="896"/>
      <c r="Z29" s="896"/>
      <c r="AA29" s="896"/>
      <c r="AB29" s="896"/>
      <c r="AC29" s="896"/>
      <c r="AD29" s="896"/>
      <c r="AE29" s="896"/>
      <c r="AF29" s="943"/>
      <c r="AG29" s="673"/>
      <c r="AH29" s="616"/>
    </row>
    <row r="30" spans="1:34" ht="18.75" x14ac:dyDescent="0.3">
      <c r="A30" s="13" t="s">
        <v>31</v>
      </c>
      <c r="B30" s="759">
        <f>B31</f>
        <v>77762.892999999996</v>
      </c>
      <c r="C30" s="759">
        <f>C31</f>
        <v>77762.892999999996</v>
      </c>
      <c r="D30" s="759">
        <f>D31</f>
        <v>77762.892999999996</v>
      </c>
      <c r="E30" s="759">
        <f>E31</f>
        <v>77711.279790000001</v>
      </c>
      <c r="F30" s="759">
        <f>E30/B30*100</f>
        <v>99.933627456478519</v>
      </c>
      <c r="G30" s="758">
        <f>E30/C30*100</f>
        <v>99.933627456478519</v>
      </c>
      <c r="H30" s="896">
        <f>H31</f>
        <v>6250.1940000000004</v>
      </c>
      <c r="I30" s="896">
        <f t="shared" ref="I30:AE30" si="11">I31</f>
        <v>6250.1940000000004</v>
      </c>
      <c r="J30" s="896">
        <f t="shared" si="11"/>
        <v>7648.817</v>
      </c>
      <c r="K30" s="896">
        <f t="shared" si="11"/>
        <v>7648.817</v>
      </c>
      <c r="L30" s="896">
        <f t="shared" si="11"/>
        <v>7329.7910000000002</v>
      </c>
      <c r="M30" s="896">
        <f t="shared" si="11"/>
        <v>7329.7910000000002</v>
      </c>
      <c r="N30" s="896">
        <f t="shared" si="11"/>
        <v>7481.9189999999999</v>
      </c>
      <c r="O30" s="896">
        <f t="shared" si="11"/>
        <v>7481.9189999999999</v>
      </c>
      <c r="P30" s="896">
        <f t="shared" si="11"/>
        <v>7307.2470000000003</v>
      </c>
      <c r="Q30" s="896">
        <f t="shared" si="11"/>
        <v>7307.25</v>
      </c>
      <c r="R30" s="896">
        <f t="shared" si="11"/>
        <v>7532.3419999999996</v>
      </c>
      <c r="S30" s="896">
        <f t="shared" si="11"/>
        <v>7532.3419999999996</v>
      </c>
      <c r="T30" s="896">
        <f t="shared" si="11"/>
        <v>7421.77</v>
      </c>
      <c r="U30" s="896">
        <f t="shared" si="11"/>
        <v>7421.77</v>
      </c>
      <c r="V30" s="896">
        <f t="shared" si="11"/>
        <v>6571.1930000000002</v>
      </c>
      <c r="W30" s="896">
        <f t="shared" si="11"/>
        <v>6571.1930000000002</v>
      </c>
      <c r="X30" s="896">
        <f t="shared" si="11"/>
        <v>4360.335</v>
      </c>
      <c r="Y30" s="896">
        <f t="shared" si="11"/>
        <v>4360.335</v>
      </c>
      <c r="Z30" s="896">
        <f t="shared" si="11"/>
        <v>5605.5739999999996</v>
      </c>
      <c r="AA30" s="896">
        <f t="shared" si="11"/>
        <v>5605.57</v>
      </c>
      <c r="AB30" s="896">
        <f t="shared" si="11"/>
        <v>5157.3819999999996</v>
      </c>
      <c r="AC30" s="896">
        <f t="shared" si="11"/>
        <v>5157.3819999999996</v>
      </c>
      <c r="AD30" s="896">
        <f t="shared" si="11"/>
        <v>5096.3289999999997</v>
      </c>
      <c r="AE30" s="896">
        <f t="shared" si="11"/>
        <v>5044.7167900000004</v>
      </c>
      <c r="AF30" s="832"/>
      <c r="AG30" s="673"/>
      <c r="AH30" s="616"/>
    </row>
    <row r="31" spans="1:34" s="620" customFormat="1" ht="18.75" x14ac:dyDescent="0.3">
      <c r="A31" s="13" t="s">
        <v>33</v>
      </c>
      <c r="B31" s="759">
        <f>H31+J31+L31+N31+P31+R31+T31+V31+X31+Z31+AB31+AD31</f>
        <v>77762.892999999996</v>
      </c>
      <c r="C31" s="759">
        <f>H31+J31+L31+N31+P31+R31+T31+V31+X31+Z31+AB31+AD31</f>
        <v>77762.892999999996</v>
      </c>
      <c r="D31" s="759">
        <f>H31+J31+L31+N31+P31+R31+T31+V31+X31+Z31+AB31+AD31</f>
        <v>77762.892999999996</v>
      </c>
      <c r="E31" s="759">
        <f>I31+K31+M31+O31+Q31+S31+U31+W31+Y31+AA31+AC31+AE31</f>
        <v>77711.279790000001</v>
      </c>
      <c r="F31" s="758">
        <f>D31/B31*100</f>
        <v>100</v>
      </c>
      <c r="G31" s="758">
        <f>E31/C31*100</f>
        <v>99.933627456478519</v>
      </c>
      <c r="H31" s="897">
        <v>6250.1940000000004</v>
      </c>
      <c r="I31" s="897">
        <v>6250.1940000000004</v>
      </c>
      <c r="J31" s="897">
        <v>7648.817</v>
      </c>
      <c r="K31" s="897">
        <v>7648.817</v>
      </c>
      <c r="L31" s="897">
        <v>7329.7910000000002</v>
      </c>
      <c r="M31" s="897">
        <v>7329.7910000000002</v>
      </c>
      <c r="N31" s="897">
        <v>7481.9189999999999</v>
      </c>
      <c r="O31" s="897">
        <v>7481.9189999999999</v>
      </c>
      <c r="P31" s="897">
        <v>7307.2470000000003</v>
      </c>
      <c r="Q31" s="897">
        <v>7307.25</v>
      </c>
      <c r="R31" s="897">
        <v>7532.3419999999996</v>
      </c>
      <c r="S31" s="897">
        <v>7532.3419999999996</v>
      </c>
      <c r="T31" s="897">
        <v>7421.77</v>
      </c>
      <c r="U31" s="897">
        <v>7421.77</v>
      </c>
      <c r="V31" s="897">
        <v>6571.1930000000002</v>
      </c>
      <c r="W31" s="897">
        <v>6571.1930000000002</v>
      </c>
      <c r="X31" s="897">
        <v>4360.335</v>
      </c>
      <c r="Y31" s="897">
        <v>4360.335</v>
      </c>
      <c r="Z31" s="897">
        <v>5605.5739999999996</v>
      </c>
      <c r="AA31" s="897">
        <v>5605.57</v>
      </c>
      <c r="AB31" s="897">
        <v>5157.3819999999996</v>
      </c>
      <c r="AC31" s="897">
        <v>5157.3819999999996</v>
      </c>
      <c r="AD31" s="897">
        <v>5096.3289999999997</v>
      </c>
      <c r="AE31" s="897">
        <v>5044.7167900000004</v>
      </c>
      <c r="AF31" s="832"/>
      <c r="AG31" s="672"/>
      <c r="AH31" s="894"/>
    </row>
    <row r="32" spans="1:34" ht="168.75" x14ac:dyDescent="0.3">
      <c r="A32" s="13" t="s">
        <v>89</v>
      </c>
      <c r="B32" s="758"/>
      <c r="C32" s="759"/>
      <c r="D32" s="759"/>
      <c r="E32" s="759"/>
      <c r="F32" s="759"/>
      <c r="G32" s="758"/>
      <c r="H32" s="896"/>
      <c r="I32" s="896"/>
      <c r="J32" s="896"/>
      <c r="K32" s="896"/>
      <c r="L32" s="896"/>
      <c r="M32" s="896"/>
      <c r="N32" s="896"/>
      <c r="O32" s="896"/>
      <c r="P32" s="896"/>
      <c r="Q32" s="896"/>
      <c r="R32" s="896"/>
      <c r="S32" s="896"/>
      <c r="T32" s="896"/>
      <c r="U32" s="896"/>
      <c r="V32" s="896"/>
      <c r="W32" s="896"/>
      <c r="X32" s="896"/>
      <c r="Y32" s="896"/>
      <c r="Z32" s="896"/>
      <c r="AA32" s="896"/>
      <c r="AB32" s="896"/>
      <c r="AC32" s="896"/>
      <c r="AD32" s="896"/>
      <c r="AE32" s="896"/>
      <c r="AF32" s="833"/>
      <c r="AG32" s="671"/>
    </row>
    <row r="33" spans="1:33" ht="18.75" x14ac:dyDescent="0.3">
      <c r="A33" s="13" t="s">
        <v>31</v>
      </c>
      <c r="B33" s="759">
        <f>B34</f>
        <v>1456</v>
      </c>
      <c r="C33" s="759">
        <f>C34</f>
        <v>1456</v>
      </c>
      <c r="D33" s="759">
        <f>D34</f>
        <v>1456</v>
      </c>
      <c r="E33" s="759">
        <f>E34</f>
        <v>1456</v>
      </c>
      <c r="F33" s="759">
        <f>E33/B33*100</f>
        <v>100</v>
      </c>
      <c r="G33" s="758">
        <f>E33/C33*100</f>
        <v>100</v>
      </c>
      <c r="H33" s="896">
        <f>H34</f>
        <v>0</v>
      </c>
      <c r="I33" s="896">
        <f t="shared" ref="I33:AE33" si="12">I34</f>
        <v>0</v>
      </c>
      <c r="J33" s="896">
        <f t="shared" si="12"/>
        <v>0</v>
      </c>
      <c r="K33" s="896">
        <f t="shared" si="12"/>
        <v>0</v>
      </c>
      <c r="L33" s="896">
        <f t="shared" si="12"/>
        <v>0</v>
      </c>
      <c r="M33" s="896">
        <f t="shared" si="12"/>
        <v>0</v>
      </c>
      <c r="N33" s="896">
        <f t="shared" si="12"/>
        <v>0</v>
      </c>
      <c r="O33" s="896">
        <f t="shared" si="12"/>
        <v>0</v>
      </c>
      <c r="P33" s="896">
        <f t="shared" si="12"/>
        <v>0</v>
      </c>
      <c r="Q33" s="896">
        <f t="shared" si="12"/>
        <v>0</v>
      </c>
      <c r="R33" s="896">
        <f t="shared" si="12"/>
        <v>0</v>
      </c>
      <c r="S33" s="896">
        <f t="shared" si="12"/>
        <v>0</v>
      </c>
      <c r="T33" s="896">
        <f t="shared" si="12"/>
        <v>0</v>
      </c>
      <c r="U33" s="896">
        <f t="shared" si="12"/>
        <v>0</v>
      </c>
      <c r="V33" s="896">
        <f t="shared" si="12"/>
        <v>0</v>
      </c>
      <c r="W33" s="896">
        <f t="shared" si="12"/>
        <v>0</v>
      </c>
      <c r="X33" s="896">
        <f t="shared" si="12"/>
        <v>1456</v>
      </c>
      <c r="Y33" s="896">
        <f t="shared" si="12"/>
        <v>1456</v>
      </c>
      <c r="Z33" s="896">
        <f t="shared" si="12"/>
        <v>0</v>
      </c>
      <c r="AA33" s="896">
        <f t="shared" si="12"/>
        <v>0</v>
      </c>
      <c r="AB33" s="896">
        <f t="shared" si="12"/>
        <v>0</v>
      </c>
      <c r="AC33" s="896">
        <f t="shared" si="12"/>
        <v>0</v>
      </c>
      <c r="AD33" s="896">
        <f t="shared" si="12"/>
        <v>0</v>
      </c>
      <c r="AE33" s="896">
        <f t="shared" si="12"/>
        <v>0</v>
      </c>
      <c r="AF33" s="47"/>
      <c r="AG33" s="671"/>
    </row>
    <row r="34" spans="1:33" ht="18.75" x14ac:dyDescent="0.3">
      <c r="A34" s="13" t="s">
        <v>33</v>
      </c>
      <c r="B34" s="759">
        <f>H34+J34+L34+N34+P34+R34+T34+V34+X34+Z34+AB34+AD34</f>
        <v>1456</v>
      </c>
      <c r="C34" s="759">
        <f>H34+J34+L34+N34+P34+R34+T34+V34+X34+Z34+AB34+AD34</f>
        <v>1456</v>
      </c>
      <c r="D34" s="759">
        <f>C34</f>
        <v>1456</v>
      </c>
      <c r="E34" s="759">
        <f>I34+K34+M34+O34+Q34+S34+U34+W34+Y34+AA34+AC34+AE34</f>
        <v>1456</v>
      </c>
      <c r="F34" s="758">
        <f>D34/B34*100</f>
        <v>100</v>
      </c>
      <c r="G34" s="758">
        <f>E34/C34*100</f>
        <v>100</v>
      </c>
      <c r="H34" s="896">
        <v>0</v>
      </c>
      <c r="I34" s="896">
        <v>0</v>
      </c>
      <c r="J34" s="896">
        <v>0</v>
      </c>
      <c r="K34" s="896">
        <v>0</v>
      </c>
      <c r="L34" s="896">
        <v>0</v>
      </c>
      <c r="M34" s="896">
        <v>0</v>
      </c>
      <c r="N34" s="896">
        <v>0</v>
      </c>
      <c r="O34" s="896">
        <v>0</v>
      </c>
      <c r="P34" s="896">
        <v>0</v>
      </c>
      <c r="Q34" s="896">
        <v>0</v>
      </c>
      <c r="R34" s="896">
        <v>0</v>
      </c>
      <c r="S34" s="896">
        <v>0</v>
      </c>
      <c r="T34" s="896">
        <v>0</v>
      </c>
      <c r="U34" s="896">
        <v>0</v>
      </c>
      <c r="V34" s="896">
        <v>0</v>
      </c>
      <c r="W34" s="896">
        <v>0</v>
      </c>
      <c r="X34" s="896">
        <v>1456</v>
      </c>
      <c r="Y34" s="896">
        <v>1456</v>
      </c>
      <c r="Z34" s="896">
        <v>0</v>
      </c>
      <c r="AA34" s="896">
        <v>0</v>
      </c>
      <c r="AB34" s="896">
        <v>0</v>
      </c>
      <c r="AC34" s="896">
        <v>0</v>
      </c>
      <c r="AD34" s="896">
        <v>0</v>
      </c>
      <c r="AE34" s="896">
        <v>0</v>
      </c>
      <c r="AF34" s="47"/>
      <c r="AG34" s="671"/>
    </row>
    <row r="35" spans="1:33" ht="56.25" x14ac:dyDescent="0.3">
      <c r="A35" s="48" t="s">
        <v>90</v>
      </c>
      <c r="B35" s="758"/>
      <c r="C35" s="759"/>
      <c r="D35" s="759"/>
      <c r="E35" s="759"/>
      <c r="F35" s="759"/>
      <c r="G35" s="758"/>
      <c r="H35" s="896"/>
      <c r="I35" s="896"/>
      <c r="J35" s="896"/>
      <c r="K35" s="896"/>
      <c r="L35" s="896"/>
      <c r="M35" s="896"/>
      <c r="N35" s="896"/>
      <c r="O35" s="896"/>
      <c r="P35" s="896"/>
      <c r="Q35" s="896"/>
      <c r="R35" s="896"/>
      <c r="S35" s="896"/>
      <c r="T35" s="896"/>
      <c r="U35" s="896"/>
      <c r="V35" s="896"/>
      <c r="W35" s="896"/>
      <c r="X35" s="896"/>
      <c r="Y35" s="896"/>
      <c r="Z35" s="896"/>
      <c r="AA35" s="896"/>
      <c r="AB35" s="896"/>
      <c r="AC35" s="896"/>
      <c r="AD35" s="896"/>
      <c r="AE35" s="896"/>
      <c r="AF35" s="47"/>
      <c r="AG35" s="671"/>
    </row>
    <row r="36" spans="1:33" ht="18.75" x14ac:dyDescent="0.3">
      <c r="A36" s="13" t="s">
        <v>31</v>
      </c>
      <c r="B36" s="759">
        <f>B37</f>
        <v>157431.34161999999</v>
      </c>
      <c r="C36" s="759">
        <f>C37</f>
        <v>157431.34161999999</v>
      </c>
      <c r="D36" s="759">
        <f>C36</f>
        <v>157431.34161999999</v>
      </c>
      <c r="E36" s="759">
        <f>E37</f>
        <v>151894.50401999999</v>
      </c>
      <c r="F36" s="759">
        <f>E36/B36*100</f>
        <v>96.483014409313398</v>
      </c>
      <c r="G36" s="758">
        <f>E36/C36*100</f>
        <v>96.483014409313398</v>
      </c>
      <c r="H36" s="896">
        <f>H37</f>
        <v>9322.1929999999993</v>
      </c>
      <c r="I36" s="896">
        <f t="shared" ref="I36:AE36" si="13">I37</f>
        <v>8417.2170000000006</v>
      </c>
      <c r="J36" s="896">
        <f t="shared" si="13"/>
        <v>15651.73</v>
      </c>
      <c r="K36" s="896">
        <f t="shared" si="13"/>
        <v>15007.847</v>
      </c>
      <c r="L36" s="896">
        <f t="shared" si="13"/>
        <v>10534.123</v>
      </c>
      <c r="M36" s="896">
        <f t="shared" si="13"/>
        <v>9181.9920000000002</v>
      </c>
      <c r="N36" s="896">
        <f t="shared" si="13"/>
        <v>14923.394</v>
      </c>
      <c r="O36" s="896">
        <f t="shared" si="13"/>
        <v>13393.883</v>
      </c>
      <c r="P36" s="896">
        <f t="shared" si="13"/>
        <v>10603.39</v>
      </c>
      <c r="Q36" s="896">
        <f t="shared" si="13"/>
        <v>10984.352000000001</v>
      </c>
      <c r="R36" s="896">
        <f>R37</f>
        <v>15010.114</v>
      </c>
      <c r="S36" s="896">
        <f t="shared" si="13"/>
        <v>11750.573</v>
      </c>
      <c r="T36" s="896">
        <f t="shared" si="13"/>
        <v>20061.246999999999</v>
      </c>
      <c r="U36" s="896">
        <f t="shared" si="13"/>
        <v>18166.401000000002</v>
      </c>
      <c r="V36" s="896">
        <f t="shared" si="13"/>
        <v>12912.986999999999</v>
      </c>
      <c r="W36" s="896">
        <f t="shared" si="13"/>
        <v>14312.242</v>
      </c>
      <c r="X36" s="896">
        <f t="shared" si="13"/>
        <v>10046.64962</v>
      </c>
      <c r="Y36" s="896">
        <f t="shared" si="13"/>
        <v>8746.7120300000006</v>
      </c>
      <c r="Z36" s="896">
        <f t="shared" si="13"/>
        <v>14992.82</v>
      </c>
      <c r="AA36" s="896">
        <f t="shared" si="13"/>
        <v>13020.94</v>
      </c>
      <c r="AB36" s="896">
        <f t="shared" si="13"/>
        <v>10921.919</v>
      </c>
      <c r="AC36" s="896">
        <f t="shared" si="13"/>
        <v>11309.51</v>
      </c>
      <c r="AD36" s="896">
        <f t="shared" si="13"/>
        <v>12450.775</v>
      </c>
      <c r="AE36" s="896">
        <f t="shared" si="13"/>
        <v>17602.834989999999</v>
      </c>
      <c r="AF36" s="874"/>
      <c r="AG36" s="671"/>
    </row>
    <row r="37" spans="1:33" ht="246" customHeight="1" x14ac:dyDescent="0.3">
      <c r="A37" s="13" t="s">
        <v>33</v>
      </c>
      <c r="B37" s="759">
        <f>H37+J37+L37+N37+P37+R37+T37+V37+X37+Z37+AB37+AD37</f>
        <v>157431.34161999999</v>
      </c>
      <c r="C37" s="759">
        <f>H37+J37+L37+N37+P37+R37+T37+V37+X37+Z37+AB37+AD37</f>
        <v>157431.34161999999</v>
      </c>
      <c r="D37" s="759">
        <f>C37</f>
        <v>157431.34161999999</v>
      </c>
      <c r="E37" s="759">
        <f>I37+K37+M37+O37+Q37+S37+U37+W37+Y37+AA37+AC37+AE37</f>
        <v>151894.50401999999</v>
      </c>
      <c r="F37" s="759">
        <f>D37/B37*100</f>
        <v>100</v>
      </c>
      <c r="G37" s="758">
        <f>E37/C37*100</f>
        <v>96.483014409313398</v>
      </c>
      <c r="H37" s="899">
        <v>9322.1929999999993</v>
      </c>
      <c r="I37" s="899">
        <v>8417.2170000000006</v>
      </c>
      <c r="J37" s="899">
        <v>15651.73</v>
      </c>
      <c r="K37" s="899">
        <v>15007.847</v>
      </c>
      <c r="L37" s="899">
        <v>10534.123</v>
      </c>
      <c r="M37" s="899">
        <v>9181.9920000000002</v>
      </c>
      <c r="N37" s="899">
        <v>14923.394</v>
      </c>
      <c r="O37" s="899">
        <v>13393.883</v>
      </c>
      <c r="P37" s="899">
        <v>10603.39</v>
      </c>
      <c r="Q37" s="899">
        <v>10984.352000000001</v>
      </c>
      <c r="R37" s="899">
        <v>15010.114</v>
      </c>
      <c r="S37" s="899">
        <v>11750.573</v>
      </c>
      <c r="T37" s="899">
        <v>20061.246999999999</v>
      </c>
      <c r="U37" s="899">
        <v>18166.401000000002</v>
      </c>
      <c r="V37" s="899">
        <v>12912.986999999999</v>
      </c>
      <c r="W37" s="899">
        <v>14312.242</v>
      </c>
      <c r="X37" s="899">
        <v>10046.64962</v>
      </c>
      <c r="Y37" s="899">
        <v>8746.7120300000006</v>
      </c>
      <c r="Z37" s="899">
        <v>14992.82</v>
      </c>
      <c r="AA37" s="899">
        <v>13020.94</v>
      </c>
      <c r="AB37" s="899">
        <v>10921.919</v>
      </c>
      <c r="AC37" s="899">
        <v>11309.51</v>
      </c>
      <c r="AD37" s="899">
        <v>12450.775</v>
      </c>
      <c r="AE37" s="899">
        <v>17602.834989999999</v>
      </c>
      <c r="AF37" s="913"/>
      <c r="AG37" s="671"/>
    </row>
    <row r="38" spans="1:33" ht="112.5" x14ac:dyDescent="0.3">
      <c r="A38" s="48" t="s">
        <v>91</v>
      </c>
      <c r="B38" s="758"/>
      <c r="C38" s="759"/>
      <c r="D38" s="759"/>
      <c r="E38" s="759"/>
      <c r="F38" s="759"/>
      <c r="G38" s="758"/>
      <c r="H38" s="896"/>
      <c r="I38" s="896"/>
      <c r="J38" s="896"/>
      <c r="K38" s="896"/>
      <c r="L38" s="896"/>
      <c r="M38" s="896"/>
      <c r="N38" s="896"/>
      <c r="O38" s="896"/>
      <c r="P38" s="896"/>
      <c r="Q38" s="896"/>
      <c r="R38" s="896"/>
      <c r="S38" s="896"/>
      <c r="T38" s="896"/>
      <c r="U38" s="896"/>
      <c r="V38" s="896"/>
      <c r="W38" s="896"/>
      <c r="X38" s="896"/>
      <c r="Y38" s="896"/>
      <c r="Z38" s="896"/>
      <c r="AA38" s="896"/>
      <c r="AB38" s="896"/>
      <c r="AC38" s="896"/>
      <c r="AD38" s="896"/>
      <c r="AE38" s="896"/>
      <c r="AF38" s="907" t="s">
        <v>600</v>
      </c>
      <c r="AG38" s="671"/>
    </row>
    <row r="39" spans="1:33" ht="18.75" x14ac:dyDescent="0.3">
      <c r="A39" s="13" t="s">
        <v>31</v>
      </c>
      <c r="B39" s="759">
        <f>B40</f>
        <v>28271.345839999998</v>
      </c>
      <c r="C39" s="759">
        <f>C40</f>
        <v>28271.345839999998</v>
      </c>
      <c r="D39" s="759">
        <f>C39</f>
        <v>28271.345839999998</v>
      </c>
      <c r="E39" s="759">
        <f>E40</f>
        <v>27641.350129999999</v>
      </c>
      <c r="F39" s="759">
        <f>E39/B39*100</f>
        <v>97.771610472435867</v>
      </c>
      <c r="G39" s="758">
        <f>E39/C39*100</f>
        <v>97.771610472435867</v>
      </c>
      <c r="H39" s="896">
        <f>H40</f>
        <v>1526.9820999999999</v>
      </c>
      <c r="I39" s="896">
        <f t="shared" ref="I39:AE39" si="14">I40</f>
        <v>528.29300000000001</v>
      </c>
      <c r="J39" s="896">
        <f t="shared" si="14"/>
        <v>2275.3000000000002</v>
      </c>
      <c r="K39" s="896">
        <f t="shared" si="14"/>
        <v>2456.3969999999999</v>
      </c>
      <c r="L39" s="896">
        <f t="shared" si="14"/>
        <v>2351.3575500000002</v>
      </c>
      <c r="M39" s="896">
        <f t="shared" si="14"/>
        <v>1759.723</v>
      </c>
      <c r="N39" s="896">
        <f t="shared" si="14"/>
        <v>2432.5334899999998</v>
      </c>
      <c r="O39" s="896">
        <f t="shared" si="14"/>
        <v>2145.373</v>
      </c>
      <c r="P39" s="896">
        <f t="shared" si="14"/>
        <v>2766.8292200000001</v>
      </c>
      <c r="Q39" s="896">
        <f t="shared" si="14"/>
        <v>2228.4760000000001</v>
      </c>
      <c r="R39" s="896">
        <f t="shared" si="14"/>
        <v>2363.7611000000002</v>
      </c>
      <c r="S39" s="896">
        <f t="shared" si="14"/>
        <v>2604.7240000000002</v>
      </c>
      <c r="T39" s="896">
        <f t="shared" si="14"/>
        <v>2333.9696100000001</v>
      </c>
      <c r="U39" s="896">
        <f t="shared" si="14"/>
        <v>2916.5369999999998</v>
      </c>
      <c r="V39" s="896">
        <f t="shared" si="14"/>
        <v>2271.4202399999999</v>
      </c>
      <c r="W39" s="896">
        <f t="shared" si="14"/>
        <v>2403.942</v>
      </c>
      <c r="X39" s="896">
        <f t="shared" si="14"/>
        <v>2219.1233099999999</v>
      </c>
      <c r="Y39" s="896">
        <f t="shared" si="14"/>
        <v>2175.1392900000001</v>
      </c>
      <c r="Z39" s="896">
        <f t="shared" si="14"/>
        <v>2598.57134</v>
      </c>
      <c r="AA39" s="896">
        <f t="shared" si="14"/>
        <v>2408.4299999999998</v>
      </c>
      <c r="AB39" s="896">
        <f t="shared" si="14"/>
        <v>2230.7652800000001</v>
      </c>
      <c r="AC39" s="896">
        <f t="shared" si="14"/>
        <v>2066.1925799999999</v>
      </c>
      <c r="AD39" s="896">
        <f t="shared" si="14"/>
        <v>2900.7325999999998</v>
      </c>
      <c r="AE39" s="896">
        <f t="shared" si="14"/>
        <v>3948.1232599999998</v>
      </c>
      <c r="AF39" s="830"/>
      <c r="AG39" s="671"/>
    </row>
    <row r="40" spans="1:33" ht="18.75" x14ac:dyDescent="0.3">
      <c r="A40" s="13" t="s">
        <v>33</v>
      </c>
      <c r="B40" s="759">
        <f>H40+J40+L40+N40+P40+R40+T40+V40+X40+Z40+AB40+AD40</f>
        <v>28271.345839999998</v>
      </c>
      <c r="C40" s="759">
        <f>H40+J40+L40+N40+P40+R40+T40+V40+X40+Z40+AB40+AD40</f>
        <v>28271.345839999998</v>
      </c>
      <c r="D40" s="759">
        <f>C40</f>
        <v>28271.345839999998</v>
      </c>
      <c r="E40" s="759">
        <f>I40+K40+M40+O40+Q40+S40+U40+W40+Y40+AA40+AC40+AE40</f>
        <v>27641.350129999999</v>
      </c>
      <c r="F40" s="759">
        <f>D40/B40*100</f>
        <v>100</v>
      </c>
      <c r="G40" s="758">
        <f>E40/C40*100</f>
        <v>97.771610472435867</v>
      </c>
      <c r="H40" s="897">
        <v>1526.9820999999999</v>
      </c>
      <c r="I40" s="897">
        <v>528.29300000000001</v>
      </c>
      <c r="J40" s="897">
        <v>2275.3000000000002</v>
      </c>
      <c r="K40" s="897">
        <v>2456.3969999999999</v>
      </c>
      <c r="L40" s="897">
        <v>2351.3575500000002</v>
      </c>
      <c r="M40" s="897">
        <v>1759.723</v>
      </c>
      <c r="N40" s="897">
        <v>2432.5334899999998</v>
      </c>
      <c r="O40" s="897">
        <v>2145.373</v>
      </c>
      <c r="P40" s="897">
        <v>2766.8292200000001</v>
      </c>
      <c r="Q40" s="897">
        <v>2228.4760000000001</v>
      </c>
      <c r="R40" s="897">
        <v>2363.7611000000002</v>
      </c>
      <c r="S40" s="897">
        <v>2604.7240000000002</v>
      </c>
      <c r="T40" s="897">
        <v>2333.9696100000001</v>
      </c>
      <c r="U40" s="897">
        <v>2916.5369999999998</v>
      </c>
      <c r="V40" s="897">
        <v>2271.4202399999999</v>
      </c>
      <c r="W40" s="897">
        <v>2403.942</v>
      </c>
      <c r="X40" s="897">
        <v>2219.1233099999999</v>
      </c>
      <c r="Y40" s="897">
        <v>2175.1392900000001</v>
      </c>
      <c r="Z40" s="897">
        <v>2598.57134</v>
      </c>
      <c r="AA40" s="897">
        <v>2408.4299999999998</v>
      </c>
      <c r="AB40" s="897">
        <v>2230.7652800000001</v>
      </c>
      <c r="AC40" s="897">
        <v>2066.1925799999999</v>
      </c>
      <c r="AD40" s="897">
        <v>2900.7325999999998</v>
      </c>
      <c r="AE40" s="897">
        <v>3948.1232599999998</v>
      </c>
      <c r="AF40" s="830"/>
      <c r="AG40" s="671"/>
    </row>
    <row r="41" spans="1:33" ht="18.75" x14ac:dyDescent="0.3">
      <c r="A41" s="55" t="s">
        <v>35</v>
      </c>
      <c r="B41" s="758"/>
      <c r="C41" s="759"/>
      <c r="D41" s="759"/>
      <c r="E41" s="759"/>
      <c r="F41" s="758"/>
      <c r="G41" s="758"/>
      <c r="H41" s="896"/>
      <c r="I41" s="896"/>
      <c r="J41" s="896"/>
      <c r="K41" s="896"/>
      <c r="L41" s="896"/>
      <c r="M41" s="896"/>
      <c r="N41" s="896"/>
      <c r="O41" s="896"/>
      <c r="P41" s="896"/>
      <c r="Q41" s="896"/>
      <c r="R41" s="896"/>
      <c r="S41" s="896"/>
      <c r="T41" s="896"/>
      <c r="U41" s="896"/>
      <c r="V41" s="896"/>
      <c r="W41" s="896"/>
      <c r="X41" s="896"/>
      <c r="Y41" s="896"/>
      <c r="Z41" s="896"/>
      <c r="AA41" s="896"/>
      <c r="AB41" s="896"/>
      <c r="AC41" s="896"/>
      <c r="AD41" s="896"/>
      <c r="AE41" s="896"/>
      <c r="AF41" s="831"/>
      <c r="AG41" s="671"/>
    </row>
    <row r="42" spans="1:33" ht="18.75" x14ac:dyDescent="0.3">
      <c r="A42" s="13" t="s">
        <v>31</v>
      </c>
      <c r="B42" s="758">
        <f>B43</f>
        <v>306281.20646000002</v>
      </c>
      <c r="C42" s="758">
        <f>C43</f>
        <v>306281.20646000002</v>
      </c>
      <c r="D42" s="758">
        <f>D43</f>
        <v>306281.20646000002</v>
      </c>
      <c r="E42" s="758">
        <f>E43</f>
        <v>299455.74002999999</v>
      </c>
      <c r="F42" s="758">
        <f>D42/B42*100</f>
        <v>100</v>
      </c>
      <c r="G42" s="758">
        <f>E42/C42*100</f>
        <v>97.77150334854403</v>
      </c>
      <c r="H42" s="896">
        <f t="shared" ref="H42:AE42" si="15">H43</f>
        <v>21722.24885</v>
      </c>
      <c r="I42" s="896">
        <f t="shared" si="15"/>
        <v>17924.219490000003</v>
      </c>
      <c r="J42" s="896">
        <f t="shared" si="15"/>
        <v>30110.05385</v>
      </c>
      <c r="K42" s="896">
        <f t="shared" si="15"/>
        <v>29266.189620000001</v>
      </c>
      <c r="L42" s="896">
        <f t="shared" si="15"/>
        <v>23587.819729999999</v>
      </c>
      <c r="M42" s="896">
        <f t="shared" si="15"/>
        <v>21758.617310000001</v>
      </c>
      <c r="N42" s="896">
        <f t="shared" si="15"/>
        <v>27981.220780000003</v>
      </c>
      <c r="O42" s="896">
        <f t="shared" si="15"/>
        <v>25990.672839999999</v>
      </c>
      <c r="P42" s="896">
        <f t="shared" si="15"/>
        <v>24057.093099999998</v>
      </c>
      <c r="Q42" s="896">
        <f t="shared" si="15"/>
        <v>23249.978619999998</v>
      </c>
      <c r="R42" s="896">
        <f t="shared" si="15"/>
        <v>27940.046180000001</v>
      </c>
      <c r="S42" s="896">
        <f t="shared" si="15"/>
        <v>25449.100510000004</v>
      </c>
      <c r="T42" s="896">
        <f t="shared" si="15"/>
        <v>33303.824720000004</v>
      </c>
      <c r="U42" s="896">
        <f t="shared" si="15"/>
        <v>32542.381430000001</v>
      </c>
      <c r="V42" s="896">
        <f t="shared" si="15"/>
        <v>24497.809249999998</v>
      </c>
      <c r="W42" s="896">
        <f t="shared" si="15"/>
        <v>26433.222740000001</v>
      </c>
      <c r="X42" s="896">
        <f t="shared" si="15"/>
        <v>20893.712369999997</v>
      </c>
      <c r="Y42" s="896">
        <f t="shared" si="15"/>
        <v>19080.59287</v>
      </c>
      <c r="Z42" s="896">
        <f t="shared" si="15"/>
        <v>25616.904679999996</v>
      </c>
      <c r="AA42" s="896">
        <f t="shared" si="15"/>
        <v>23839.747000000003</v>
      </c>
      <c r="AB42" s="896">
        <f t="shared" si="15"/>
        <v>20873.16504</v>
      </c>
      <c r="AC42" s="896">
        <f t="shared" si="15"/>
        <v>21074.97192</v>
      </c>
      <c r="AD42" s="896">
        <f t="shared" si="15"/>
        <v>25697.30791</v>
      </c>
      <c r="AE42" s="896">
        <f t="shared" si="15"/>
        <v>32846.045679999996</v>
      </c>
      <c r="AF42" s="741"/>
      <c r="AG42" s="671"/>
    </row>
    <row r="43" spans="1:33" ht="18.75" x14ac:dyDescent="0.3">
      <c r="A43" s="13" t="s">
        <v>33</v>
      </c>
      <c r="B43" s="758">
        <f>B22</f>
        <v>306281.20646000002</v>
      </c>
      <c r="C43" s="758">
        <f>C22</f>
        <v>306281.20646000002</v>
      </c>
      <c r="D43" s="758">
        <f>D22</f>
        <v>306281.20646000002</v>
      </c>
      <c r="E43" s="758">
        <f>E22</f>
        <v>299455.74002999999</v>
      </c>
      <c r="F43" s="758">
        <f>D43/B43*100</f>
        <v>100</v>
      </c>
      <c r="G43" s="758">
        <f>E43/C43*100</f>
        <v>97.77150334854403</v>
      </c>
      <c r="H43" s="896">
        <f>H22</f>
        <v>21722.24885</v>
      </c>
      <c r="I43" s="896">
        <f>I22</f>
        <v>17924.219490000003</v>
      </c>
      <c r="J43" s="896">
        <f t="shared" ref="J43:AE43" si="16">J22</f>
        <v>30110.05385</v>
      </c>
      <c r="K43" s="896">
        <f t="shared" si="16"/>
        <v>29266.189620000001</v>
      </c>
      <c r="L43" s="896">
        <f t="shared" si="16"/>
        <v>23587.819729999999</v>
      </c>
      <c r="M43" s="896">
        <f t="shared" si="16"/>
        <v>21758.617310000001</v>
      </c>
      <c r="N43" s="896">
        <f t="shared" si="16"/>
        <v>27981.220780000003</v>
      </c>
      <c r="O43" s="896">
        <f t="shared" si="16"/>
        <v>25990.672839999999</v>
      </c>
      <c r="P43" s="896">
        <f t="shared" si="16"/>
        <v>24057.093099999998</v>
      </c>
      <c r="Q43" s="896">
        <f t="shared" si="16"/>
        <v>23249.978619999998</v>
      </c>
      <c r="R43" s="896">
        <f t="shared" si="16"/>
        <v>27940.046180000001</v>
      </c>
      <c r="S43" s="896">
        <f t="shared" si="16"/>
        <v>25449.100510000004</v>
      </c>
      <c r="T43" s="896">
        <f t="shared" si="16"/>
        <v>33303.824720000004</v>
      </c>
      <c r="U43" s="896">
        <f t="shared" si="16"/>
        <v>32542.381430000001</v>
      </c>
      <c r="V43" s="896">
        <f t="shared" si="16"/>
        <v>24497.809249999998</v>
      </c>
      <c r="W43" s="896">
        <f t="shared" si="16"/>
        <v>26433.222740000001</v>
      </c>
      <c r="X43" s="896">
        <f t="shared" si="16"/>
        <v>20893.712369999997</v>
      </c>
      <c r="Y43" s="896">
        <f t="shared" si="16"/>
        <v>19080.59287</v>
      </c>
      <c r="Z43" s="896">
        <f t="shared" si="16"/>
        <v>25616.904679999996</v>
      </c>
      <c r="AA43" s="896">
        <f t="shared" si="16"/>
        <v>23839.747000000003</v>
      </c>
      <c r="AB43" s="896">
        <f t="shared" si="16"/>
        <v>20873.16504</v>
      </c>
      <c r="AC43" s="896">
        <f t="shared" si="16"/>
        <v>21074.97192</v>
      </c>
      <c r="AD43" s="896">
        <f t="shared" si="16"/>
        <v>25697.30791</v>
      </c>
      <c r="AE43" s="896">
        <f t="shared" si="16"/>
        <v>32846.045679999996</v>
      </c>
      <c r="AF43" s="740"/>
      <c r="AG43" s="671"/>
    </row>
    <row r="44" spans="1:33" ht="37.5" x14ac:dyDescent="0.3">
      <c r="A44" s="28" t="s">
        <v>73</v>
      </c>
      <c r="B44" s="499"/>
      <c r="C44" s="499"/>
      <c r="D44" s="499"/>
      <c r="E44" s="499"/>
      <c r="F44" s="108"/>
      <c r="G44" s="108"/>
      <c r="H44" s="898"/>
      <c r="I44" s="898"/>
      <c r="J44" s="898"/>
      <c r="K44" s="898"/>
      <c r="L44" s="898"/>
      <c r="M44" s="898"/>
      <c r="N44" s="898"/>
      <c r="O44" s="898"/>
      <c r="P44" s="898"/>
      <c r="Q44" s="898"/>
      <c r="R44" s="898"/>
      <c r="S44" s="898"/>
      <c r="T44" s="898"/>
      <c r="U44" s="898"/>
      <c r="V44" s="898"/>
      <c r="W44" s="898"/>
      <c r="X44" s="898"/>
      <c r="Y44" s="898"/>
      <c r="Z44" s="898"/>
      <c r="AA44" s="898"/>
      <c r="AB44" s="898"/>
      <c r="AC44" s="898"/>
      <c r="AD44" s="898"/>
      <c r="AE44" s="898"/>
      <c r="AF44" s="739"/>
      <c r="AG44" s="671"/>
    </row>
    <row r="45" spans="1:33" ht="18.75" x14ac:dyDescent="0.3">
      <c r="A45" s="8" t="s">
        <v>31</v>
      </c>
      <c r="B45" s="499">
        <f>B46</f>
        <v>306281.20646000002</v>
      </c>
      <c r="C45" s="499">
        <f>C46</f>
        <v>306281.20646000002</v>
      </c>
      <c r="D45" s="499">
        <f>D46</f>
        <v>306281.20646000002</v>
      </c>
      <c r="E45" s="499">
        <f>E46</f>
        <v>299455.74002999999</v>
      </c>
      <c r="F45" s="759">
        <f>E45/B45*100</f>
        <v>97.77150334854403</v>
      </c>
      <c r="G45" s="758">
        <f>E45/C45*100</f>
        <v>97.77150334854403</v>
      </c>
      <c r="H45" s="898">
        <f t="shared" ref="H45:AE45" si="17">H46</f>
        <v>21722.24885</v>
      </c>
      <c r="I45" s="898">
        <f t="shared" si="17"/>
        <v>17924.219490000003</v>
      </c>
      <c r="J45" s="898">
        <f t="shared" si="17"/>
        <v>30110.05385</v>
      </c>
      <c r="K45" s="898">
        <f t="shared" si="17"/>
        <v>29266.189620000001</v>
      </c>
      <c r="L45" s="898">
        <f t="shared" si="17"/>
        <v>23587.819729999999</v>
      </c>
      <c r="M45" s="898">
        <f t="shared" si="17"/>
        <v>21758.617310000001</v>
      </c>
      <c r="N45" s="898">
        <f t="shared" si="17"/>
        <v>27981.220780000003</v>
      </c>
      <c r="O45" s="898">
        <f t="shared" si="17"/>
        <v>25990.672839999999</v>
      </c>
      <c r="P45" s="898">
        <f t="shared" si="17"/>
        <v>24057.093099999998</v>
      </c>
      <c r="Q45" s="898">
        <f t="shared" si="17"/>
        <v>23249.978619999998</v>
      </c>
      <c r="R45" s="898">
        <f t="shared" si="17"/>
        <v>27940.046180000001</v>
      </c>
      <c r="S45" s="898">
        <f t="shared" si="17"/>
        <v>25449.100510000004</v>
      </c>
      <c r="T45" s="898">
        <f t="shared" si="17"/>
        <v>33303.824720000004</v>
      </c>
      <c r="U45" s="898">
        <f t="shared" si="17"/>
        <v>32542.381430000001</v>
      </c>
      <c r="V45" s="898">
        <f t="shared" si="17"/>
        <v>24497.809249999998</v>
      </c>
      <c r="W45" s="898">
        <f t="shared" si="17"/>
        <v>26433.222740000001</v>
      </c>
      <c r="X45" s="898">
        <f t="shared" si="17"/>
        <v>20893.712369999997</v>
      </c>
      <c r="Y45" s="898">
        <f t="shared" si="17"/>
        <v>19080.59287</v>
      </c>
      <c r="Z45" s="898">
        <f t="shared" si="17"/>
        <v>25616.904679999996</v>
      </c>
      <c r="AA45" s="898">
        <f t="shared" si="17"/>
        <v>23839.747000000003</v>
      </c>
      <c r="AB45" s="898">
        <f t="shared" si="17"/>
        <v>20873.16504</v>
      </c>
      <c r="AC45" s="898">
        <f t="shared" si="17"/>
        <v>21074.97192</v>
      </c>
      <c r="AD45" s="898">
        <f t="shared" si="17"/>
        <v>25697.30791</v>
      </c>
      <c r="AE45" s="898">
        <f t="shared" si="17"/>
        <v>32846.045679999996</v>
      </c>
      <c r="AF45" s="29"/>
      <c r="AG45" s="671"/>
    </row>
    <row r="46" spans="1:33" ht="18.75" x14ac:dyDescent="0.3">
      <c r="A46" s="13" t="s">
        <v>33</v>
      </c>
      <c r="B46" s="499">
        <f>B43</f>
        <v>306281.20646000002</v>
      </c>
      <c r="C46" s="499">
        <f>C43</f>
        <v>306281.20646000002</v>
      </c>
      <c r="D46" s="499">
        <f>D43</f>
        <v>306281.20646000002</v>
      </c>
      <c r="E46" s="499">
        <f>E43</f>
        <v>299455.74002999999</v>
      </c>
      <c r="F46" s="759">
        <f>E46/B46*100</f>
        <v>97.77150334854403</v>
      </c>
      <c r="G46" s="758">
        <f>E46/C46*100</f>
        <v>97.77150334854403</v>
      </c>
      <c r="H46" s="898">
        <f t="shared" ref="H46:AE46" si="18">H43</f>
        <v>21722.24885</v>
      </c>
      <c r="I46" s="898">
        <f>I43</f>
        <v>17924.219490000003</v>
      </c>
      <c r="J46" s="898">
        <f t="shared" si="18"/>
        <v>30110.05385</v>
      </c>
      <c r="K46" s="898">
        <f t="shared" si="18"/>
        <v>29266.189620000001</v>
      </c>
      <c r="L46" s="898">
        <f t="shared" si="18"/>
        <v>23587.819729999999</v>
      </c>
      <c r="M46" s="898">
        <f t="shared" si="18"/>
        <v>21758.617310000001</v>
      </c>
      <c r="N46" s="898">
        <f t="shared" si="18"/>
        <v>27981.220780000003</v>
      </c>
      <c r="O46" s="898">
        <f t="shared" si="18"/>
        <v>25990.672839999999</v>
      </c>
      <c r="P46" s="898">
        <f t="shared" si="18"/>
        <v>24057.093099999998</v>
      </c>
      <c r="Q46" s="898">
        <f t="shared" si="18"/>
        <v>23249.978619999998</v>
      </c>
      <c r="R46" s="898">
        <f t="shared" si="18"/>
        <v>27940.046180000001</v>
      </c>
      <c r="S46" s="898">
        <f t="shared" si="18"/>
        <v>25449.100510000004</v>
      </c>
      <c r="T46" s="898">
        <f t="shared" si="18"/>
        <v>33303.824720000004</v>
      </c>
      <c r="U46" s="898">
        <f t="shared" si="18"/>
        <v>32542.381430000001</v>
      </c>
      <c r="V46" s="898">
        <f t="shared" si="18"/>
        <v>24497.809249999998</v>
      </c>
      <c r="W46" s="898">
        <f t="shared" si="18"/>
        <v>26433.222740000001</v>
      </c>
      <c r="X46" s="898">
        <f t="shared" si="18"/>
        <v>20893.712369999997</v>
      </c>
      <c r="Y46" s="898">
        <f t="shared" si="18"/>
        <v>19080.59287</v>
      </c>
      <c r="Z46" s="898">
        <f t="shared" si="18"/>
        <v>25616.904679999996</v>
      </c>
      <c r="AA46" s="898">
        <f t="shared" si="18"/>
        <v>23839.747000000003</v>
      </c>
      <c r="AB46" s="898">
        <f t="shared" si="18"/>
        <v>20873.16504</v>
      </c>
      <c r="AC46" s="898">
        <f t="shared" si="18"/>
        <v>21074.97192</v>
      </c>
      <c r="AD46" s="898">
        <f t="shared" si="18"/>
        <v>25697.30791</v>
      </c>
      <c r="AE46" s="898">
        <f t="shared" si="18"/>
        <v>32846.045679999996</v>
      </c>
      <c r="AF46" s="29"/>
      <c r="AG46" s="671"/>
    </row>
    <row r="47" spans="1:33" ht="18.75" x14ac:dyDescent="0.3">
      <c r="A47" s="59" t="s">
        <v>82</v>
      </c>
      <c r="B47" s="499"/>
      <c r="C47" s="499"/>
      <c r="D47" s="499"/>
      <c r="E47" s="499"/>
      <c r="F47" s="108"/>
      <c r="G47" s="108"/>
      <c r="H47" s="898"/>
      <c r="I47" s="898"/>
      <c r="J47" s="898"/>
      <c r="K47" s="898"/>
      <c r="L47" s="898"/>
      <c r="M47" s="898"/>
      <c r="N47" s="898"/>
      <c r="O47" s="898"/>
      <c r="P47" s="898"/>
      <c r="Q47" s="898"/>
      <c r="R47" s="898"/>
      <c r="S47" s="898"/>
      <c r="T47" s="898"/>
      <c r="U47" s="898"/>
      <c r="V47" s="898"/>
      <c r="W47" s="898"/>
      <c r="X47" s="898"/>
      <c r="Y47" s="898"/>
      <c r="Z47" s="898"/>
      <c r="AA47" s="898"/>
      <c r="AB47" s="898"/>
      <c r="AC47" s="898"/>
      <c r="AD47" s="898"/>
      <c r="AE47" s="898"/>
      <c r="AF47" s="29"/>
      <c r="AG47" s="671"/>
    </row>
    <row r="48" spans="1:33" ht="18.75" x14ac:dyDescent="0.3">
      <c r="A48" s="52" t="s">
        <v>54</v>
      </c>
      <c r="B48" s="499"/>
      <c r="C48" s="499"/>
      <c r="D48" s="499"/>
      <c r="E48" s="499"/>
      <c r="F48" s="108"/>
      <c r="G48" s="108"/>
      <c r="H48" s="898"/>
      <c r="I48" s="898"/>
      <c r="J48" s="898"/>
      <c r="K48" s="898"/>
      <c r="L48" s="898"/>
      <c r="M48" s="898"/>
      <c r="N48" s="898"/>
      <c r="O48" s="898"/>
      <c r="P48" s="898"/>
      <c r="Q48" s="898"/>
      <c r="R48" s="898"/>
      <c r="S48" s="898"/>
      <c r="T48" s="898"/>
      <c r="U48" s="898"/>
      <c r="V48" s="898"/>
      <c r="W48" s="898"/>
      <c r="X48" s="898"/>
      <c r="Y48" s="898"/>
      <c r="Z48" s="898"/>
      <c r="AA48" s="898"/>
      <c r="AB48" s="898"/>
      <c r="AC48" s="898"/>
      <c r="AD48" s="898"/>
      <c r="AE48" s="898"/>
      <c r="AF48" s="29"/>
      <c r="AG48" s="671"/>
    </row>
    <row r="49" spans="1:33" ht="75" x14ac:dyDescent="0.3">
      <c r="A49" s="66" t="s">
        <v>83</v>
      </c>
      <c r="B49" s="760"/>
      <c r="C49" s="499"/>
      <c r="D49" s="499"/>
      <c r="E49" s="499"/>
      <c r="F49" s="108"/>
      <c r="G49" s="108"/>
      <c r="H49" s="898"/>
      <c r="I49" s="898"/>
      <c r="J49" s="898"/>
      <c r="K49" s="898"/>
      <c r="L49" s="898"/>
      <c r="M49" s="898"/>
      <c r="N49" s="898"/>
      <c r="O49" s="898"/>
      <c r="P49" s="898"/>
      <c r="Q49" s="898"/>
      <c r="R49" s="898"/>
      <c r="S49" s="898"/>
      <c r="T49" s="898"/>
      <c r="U49" s="898"/>
      <c r="V49" s="898"/>
      <c r="W49" s="898"/>
      <c r="X49" s="898"/>
      <c r="Y49" s="898"/>
      <c r="Z49" s="898"/>
      <c r="AA49" s="898"/>
      <c r="AB49" s="898"/>
      <c r="AC49" s="898"/>
      <c r="AD49" s="898"/>
      <c r="AE49" s="898"/>
      <c r="AF49" s="29"/>
      <c r="AG49" s="671"/>
    </row>
    <row r="50" spans="1:33" ht="18.75" x14ac:dyDescent="0.3">
      <c r="A50" s="18" t="s">
        <v>31</v>
      </c>
      <c r="B50" s="499">
        <f>B51</f>
        <v>103039.2102</v>
      </c>
      <c r="C50" s="499">
        <f>C51</f>
        <v>103039.2102</v>
      </c>
      <c r="D50" s="499">
        <f>D51</f>
        <v>103039.2102</v>
      </c>
      <c r="E50" s="499">
        <f>E51</f>
        <v>84151.044689999995</v>
      </c>
      <c r="F50" s="759">
        <f>E50/B50*100</f>
        <v>81.668953524257503</v>
      </c>
      <c r="G50" s="758">
        <f>E50/C50*100</f>
        <v>81.668953524257503</v>
      </c>
      <c r="H50" s="898">
        <f>H51</f>
        <v>0</v>
      </c>
      <c r="I50" s="898">
        <f t="shared" ref="I50:AE50" si="19">I51</f>
        <v>0</v>
      </c>
      <c r="J50" s="898">
        <f t="shared" si="19"/>
        <v>5532.5064700000003</v>
      </c>
      <c r="K50" s="898">
        <f t="shared" si="19"/>
        <v>5532.5</v>
      </c>
      <c r="L50" s="898">
        <f t="shared" si="19"/>
        <v>125.99379</v>
      </c>
      <c r="M50" s="898">
        <f t="shared" si="19"/>
        <v>125.99379</v>
      </c>
      <c r="N50" s="898">
        <f t="shared" si="19"/>
        <v>6.2100000000000002E-3</v>
      </c>
      <c r="O50" s="898">
        <f t="shared" si="19"/>
        <v>0</v>
      </c>
      <c r="P50" s="898">
        <f t="shared" si="19"/>
        <v>0</v>
      </c>
      <c r="Q50" s="898">
        <f t="shared" si="19"/>
        <v>0</v>
      </c>
      <c r="R50" s="898">
        <f t="shared" si="19"/>
        <v>0</v>
      </c>
      <c r="S50" s="898">
        <f t="shared" si="19"/>
        <v>0</v>
      </c>
      <c r="T50" s="898">
        <f t="shared" si="19"/>
        <v>15213.420480000001</v>
      </c>
      <c r="U50" s="898">
        <f t="shared" si="19"/>
        <v>15213.424800000001</v>
      </c>
      <c r="V50" s="898">
        <f t="shared" si="19"/>
        <v>1237.6235200000001</v>
      </c>
      <c r="W50" s="898">
        <f t="shared" si="19"/>
        <v>0</v>
      </c>
      <c r="X50" s="898">
        <f t="shared" si="19"/>
        <v>574.80057999999997</v>
      </c>
      <c r="Y50" s="898">
        <f t="shared" si="19"/>
        <v>672.32532000000003</v>
      </c>
      <c r="Z50" s="898">
        <f t="shared" si="19"/>
        <v>21531.725190000001</v>
      </c>
      <c r="AA50" s="898">
        <f t="shared" si="19"/>
        <v>12579.289000000001</v>
      </c>
      <c r="AB50" s="898">
        <f t="shared" si="19"/>
        <v>33823.476549999999</v>
      </c>
      <c r="AC50" s="898">
        <f t="shared" si="19"/>
        <v>42283.666929999999</v>
      </c>
      <c r="AD50" s="898">
        <f t="shared" si="19"/>
        <v>24999.65741</v>
      </c>
      <c r="AE50" s="898">
        <f t="shared" si="19"/>
        <v>7743.8448500000004</v>
      </c>
      <c r="AF50" s="29"/>
      <c r="AG50" s="671"/>
    </row>
    <row r="51" spans="1:33" s="616" customFormat="1" ht="338.25" customHeight="1" x14ac:dyDescent="0.3">
      <c r="A51" s="912" t="s">
        <v>33</v>
      </c>
      <c r="B51" s="758">
        <f>H51+J51+L51+N51+P51+R51+T51+V51+X51+Z51+AB51+AD51</f>
        <v>103039.2102</v>
      </c>
      <c r="C51" s="759">
        <f>H51+J51+L51+N51+P51+R51+T51+V51+X51+Z51+AB51+AD51</f>
        <v>103039.2102</v>
      </c>
      <c r="D51" s="759">
        <f>C51</f>
        <v>103039.2102</v>
      </c>
      <c r="E51" s="759">
        <f>I51+K51+M51+O51+Q51+S51+U51+W51+Y51+AA51+AC51+AE51</f>
        <v>84151.044689999995</v>
      </c>
      <c r="F51" s="759">
        <f>E51/B51*100</f>
        <v>81.668953524257503</v>
      </c>
      <c r="G51" s="758">
        <f>E51/C51*100</f>
        <v>81.668953524257503</v>
      </c>
      <c r="H51" s="896">
        <v>0</v>
      </c>
      <c r="I51" s="900">
        <v>0</v>
      </c>
      <c r="J51" s="900">
        <v>5532.5064700000003</v>
      </c>
      <c r="K51" s="900">
        <v>5532.5</v>
      </c>
      <c r="L51" s="900">
        <v>125.99379</v>
      </c>
      <c r="M51" s="900">
        <v>125.99379</v>
      </c>
      <c r="N51" s="900">
        <v>6.2100000000000002E-3</v>
      </c>
      <c r="O51" s="900">
        <v>0</v>
      </c>
      <c r="P51" s="900">
        <v>0</v>
      </c>
      <c r="Q51" s="900">
        <v>0</v>
      </c>
      <c r="R51" s="900">
        <v>0</v>
      </c>
      <c r="S51" s="900">
        <v>0</v>
      </c>
      <c r="T51" s="900">
        <v>15213.420480000001</v>
      </c>
      <c r="U51" s="900">
        <v>15213.424800000001</v>
      </c>
      <c r="V51" s="900">
        <v>1237.6235200000001</v>
      </c>
      <c r="W51" s="900">
        <v>0</v>
      </c>
      <c r="X51" s="900">
        <v>574.80057999999997</v>
      </c>
      <c r="Y51" s="900">
        <v>672.32532000000003</v>
      </c>
      <c r="Z51" s="901">
        <v>21531.725190000001</v>
      </c>
      <c r="AA51" s="901">
        <v>12579.289000000001</v>
      </c>
      <c r="AB51" s="901">
        <v>33823.476549999999</v>
      </c>
      <c r="AC51" s="901">
        <v>42283.666929999999</v>
      </c>
      <c r="AD51" s="901">
        <v>24999.65741</v>
      </c>
      <c r="AE51" s="901">
        <v>7743.8448500000004</v>
      </c>
      <c r="AF51" s="914"/>
      <c r="AG51" s="673"/>
    </row>
    <row r="52" spans="1:33" ht="18.75" x14ac:dyDescent="0.3">
      <c r="A52" s="735" t="s">
        <v>62</v>
      </c>
      <c r="B52" s="499"/>
      <c r="C52" s="499"/>
      <c r="D52" s="499"/>
      <c r="E52" s="499"/>
      <c r="F52" s="108"/>
      <c r="G52" s="108"/>
      <c r="H52" s="898"/>
      <c r="I52" s="896"/>
      <c r="J52" s="896"/>
      <c r="K52" s="896"/>
      <c r="L52" s="896"/>
      <c r="M52" s="896"/>
      <c r="N52" s="896"/>
      <c r="O52" s="898"/>
      <c r="P52" s="898"/>
      <c r="Q52" s="898"/>
      <c r="R52" s="898"/>
      <c r="S52" s="898"/>
      <c r="T52" s="898"/>
      <c r="U52" s="898"/>
      <c r="V52" s="898"/>
      <c r="W52" s="898"/>
      <c r="X52" s="898"/>
      <c r="Y52" s="898"/>
      <c r="Z52" s="898"/>
      <c r="AA52" s="898"/>
      <c r="AB52" s="898"/>
      <c r="AC52" s="898"/>
      <c r="AD52" s="898"/>
      <c r="AE52" s="898"/>
      <c r="AF52" s="875"/>
      <c r="AG52" s="671"/>
    </row>
    <row r="53" spans="1:33" ht="18.75" x14ac:dyDescent="0.3">
      <c r="A53" s="19" t="s">
        <v>31</v>
      </c>
      <c r="B53" s="108">
        <f>B54</f>
        <v>103039.2102</v>
      </c>
      <c r="C53" s="108">
        <f>C54</f>
        <v>103039.2102</v>
      </c>
      <c r="D53" s="108">
        <f>D54</f>
        <v>103039.2102</v>
      </c>
      <c r="E53" s="108">
        <f>E54</f>
        <v>84151.044689999995</v>
      </c>
      <c r="F53" s="759">
        <f>E53/B53*100</f>
        <v>81.668953524257503</v>
      </c>
      <c r="G53" s="758">
        <f>E53/C53*100</f>
        <v>81.668953524257503</v>
      </c>
      <c r="H53" s="898">
        <f>H54</f>
        <v>0</v>
      </c>
      <c r="I53" s="898">
        <f t="shared" ref="I53:AE53" si="20">I54</f>
        <v>0</v>
      </c>
      <c r="J53" s="898">
        <f t="shared" si="20"/>
        <v>0</v>
      </c>
      <c r="K53" s="898">
        <f t="shared" si="20"/>
        <v>0</v>
      </c>
      <c r="L53" s="898">
        <f t="shared" si="20"/>
        <v>0</v>
      </c>
      <c r="M53" s="898">
        <f t="shared" si="20"/>
        <v>0</v>
      </c>
      <c r="N53" s="898">
        <f t="shared" si="20"/>
        <v>0</v>
      </c>
      <c r="O53" s="898">
        <f t="shared" si="20"/>
        <v>0</v>
      </c>
      <c r="P53" s="898">
        <f t="shared" si="20"/>
        <v>0</v>
      </c>
      <c r="Q53" s="898">
        <f t="shared" si="20"/>
        <v>0</v>
      </c>
      <c r="R53" s="898">
        <f t="shared" si="20"/>
        <v>0</v>
      </c>
      <c r="S53" s="898">
        <f t="shared" si="20"/>
        <v>0</v>
      </c>
      <c r="T53" s="898">
        <f t="shared" si="20"/>
        <v>0</v>
      </c>
      <c r="U53" s="898">
        <f t="shared" si="20"/>
        <v>0</v>
      </c>
      <c r="V53" s="898">
        <f t="shared" si="20"/>
        <v>0</v>
      </c>
      <c r="W53" s="898">
        <f t="shared" si="20"/>
        <v>0</v>
      </c>
      <c r="X53" s="898">
        <f t="shared" si="20"/>
        <v>0</v>
      </c>
      <c r="Y53" s="898">
        <f t="shared" si="20"/>
        <v>0</v>
      </c>
      <c r="Z53" s="898">
        <f t="shared" si="20"/>
        <v>10381.9</v>
      </c>
      <c r="AA53" s="898">
        <f t="shared" si="20"/>
        <v>0</v>
      </c>
      <c r="AB53" s="898">
        <f t="shared" si="20"/>
        <v>0</v>
      </c>
      <c r="AC53" s="898">
        <f t="shared" si="20"/>
        <v>0</v>
      </c>
      <c r="AD53" s="898">
        <f t="shared" si="20"/>
        <v>3850.2</v>
      </c>
      <c r="AE53" s="898">
        <f t="shared" si="20"/>
        <v>0</v>
      </c>
      <c r="AF53" s="875"/>
      <c r="AG53" s="671"/>
    </row>
    <row r="54" spans="1:33" ht="18.75" x14ac:dyDescent="0.3">
      <c r="A54" s="15" t="s">
        <v>33</v>
      </c>
      <c r="B54" s="108">
        <f>B51</f>
        <v>103039.2102</v>
      </c>
      <c r="C54" s="108">
        <f>C51</f>
        <v>103039.2102</v>
      </c>
      <c r="D54" s="108">
        <f>D51</f>
        <v>103039.2102</v>
      </c>
      <c r="E54" s="108">
        <f>E51</f>
        <v>84151.044689999995</v>
      </c>
      <c r="F54" s="759">
        <f>E54/B54*100</f>
        <v>81.668953524257503</v>
      </c>
      <c r="G54" s="758">
        <f>E54/C54*100</f>
        <v>81.668953524257503</v>
      </c>
      <c r="H54" s="902">
        <v>0</v>
      </c>
      <c r="I54" s="902">
        <v>0</v>
      </c>
      <c r="J54" s="902">
        <v>0</v>
      </c>
      <c r="K54" s="902">
        <v>0</v>
      </c>
      <c r="L54" s="902">
        <v>0</v>
      </c>
      <c r="M54" s="902">
        <v>0</v>
      </c>
      <c r="N54" s="902">
        <v>0</v>
      </c>
      <c r="O54" s="902">
        <v>0</v>
      </c>
      <c r="P54" s="902">
        <v>0</v>
      </c>
      <c r="Q54" s="902">
        <v>0</v>
      </c>
      <c r="R54" s="902">
        <v>0</v>
      </c>
      <c r="S54" s="902">
        <v>0</v>
      </c>
      <c r="T54" s="902">
        <v>0</v>
      </c>
      <c r="U54" s="902">
        <v>0</v>
      </c>
      <c r="V54" s="902">
        <v>0</v>
      </c>
      <c r="W54" s="902">
        <v>0</v>
      </c>
      <c r="X54" s="902">
        <v>0</v>
      </c>
      <c r="Y54" s="902">
        <v>0</v>
      </c>
      <c r="Z54" s="902">
        <v>10381.9</v>
      </c>
      <c r="AA54" s="902">
        <v>0</v>
      </c>
      <c r="AB54" s="902">
        <v>0</v>
      </c>
      <c r="AC54" s="902">
        <v>0</v>
      </c>
      <c r="AD54" s="902">
        <v>3850.2</v>
      </c>
      <c r="AE54" s="902">
        <v>0</v>
      </c>
      <c r="AF54" s="875"/>
      <c r="AG54" s="671"/>
    </row>
    <row r="55" spans="1:33" ht="37.5" x14ac:dyDescent="0.3">
      <c r="A55" s="28" t="s">
        <v>76</v>
      </c>
      <c r="B55" s="108"/>
      <c r="C55" s="108"/>
      <c r="D55" s="108"/>
      <c r="E55" s="108"/>
      <c r="F55" s="108"/>
      <c r="G55" s="108"/>
      <c r="H55" s="898"/>
      <c r="I55" s="898"/>
      <c r="J55" s="898"/>
      <c r="K55" s="898"/>
      <c r="L55" s="898"/>
      <c r="M55" s="898"/>
      <c r="N55" s="898"/>
      <c r="O55" s="898"/>
      <c r="P55" s="898"/>
      <c r="Q55" s="898"/>
      <c r="R55" s="898"/>
      <c r="S55" s="898"/>
      <c r="T55" s="898"/>
      <c r="U55" s="898"/>
      <c r="V55" s="898"/>
      <c r="W55" s="898"/>
      <c r="X55" s="898"/>
      <c r="Y55" s="898"/>
      <c r="Z55" s="898"/>
      <c r="AA55" s="898"/>
      <c r="AB55" s="898"/>
      <c r="AC55" s="898"/>
      <c r="AD55" s="898"/>
      <c r="AE55" s="898"/>
      <c r="AF55" s="876"/>
      <c r="AG55" s="671"/>
    </row>
    <row r="56" spans="1:33" ht="18.75" x14ac:dyDescent="0.3">
      <c r="A56" s="8" t="s">
        <v>31</v>
      </c>
      <c r="B56" s="108">
        <f>B57</f>
        <v>103039.2102</v>
      </c>
      <c r="C56" s="108">
        <f>C57</f>
        <v>103039.2102</v>
      </c>
      <c r="D56" s="108">
        <f>D57</f>
        <v>103039.2102</v>
      </c>
      <c r="E56" s="108">
        <f>E57</f>
        <v>84151.044689999995</v>
      </c>
      <c r="F56" s="759">
        <f>E56/B56*100</f>
        <v>81.668953524257503</v>
      </c>
      <c r="G56" s="758">
        <f>E56/C56*100</f>
        <v>81.668953524257503</v>
      </c>
      <c r="H56" s="898">
        <f>H57</f>
        <v>0</v>
      </c>
      <c r="I56" s="898">
        <f t="shared" ref="I56:AE56" si="21">I57</f>
        <v>0</v>
      </c>
      <c r="J56" s="898">
        <f t="shared" si="21"/>
        <v>0</v>
      </c>
      <c r="K56" s="898">
        <f t="shared" si="21"/>
        <v>0</v>
      </c>
      <c r="L56" s="898">
        <f t="shared" si="21"/>
        <v>0</v>
      </c>
      <c r="M56" s="898">
        <f t="shared" si="21"/>
        <v>0</v>
      </c>
      <c r="N56" s="898">
        <f t="shared" si="21"/>
        <v>0</v>
      </c>
      <c r="O56" s="898">
        <f t="shared" si="21"/>
        <v>0</v>
      </c>
      <c r="P56" s="898">
        <f t="shared" si="21"/>
        <v>0</v>
      </c>
      <c r="Q56" s="898">
        <f t="shared" si="21"/>
        <v>0</v>
      </c>
      <c r="R56" s="898">
        <f t="shared" si="21"/>
        <v>0</v>
      </c>
      <c r="S56" s="898">
        <f t="shared" si="21"/>
        <v>0</v>
      </c>
      <c r="T56" s="898">
        <f t="shared" si="21"/>
        <v>0</v>
      </c>
      <c r="U56" s="898">
        <f t="shared" si="21"/>
        <v>0</v>
      </c>
      <c r="V56" s="898">
        <f t="shared" si="21"/>
        <v>0</v>
      </c>
      <c r="W56" s="898">
        <f t="shared" si="21"/>
        <v>0</v>
      </c>
      <c r="X56" s="898">
        <f t="shared" si="21"/>
        <v>0</v>
      </c>
      <c r="Y56" s="898">
        <f t="shared" si="21"/>
        <v>0</v>
      </c>
      <c r="Z56" s="898">
        <f t="shared" si="21"/>
        <v>10381.9</v>
      </c>
      <c r="AA56" s="898">
        <f t="shared" si="21"/>
        <v>0</v>
      </c>
      <c r="AB56" s="898">
        <f t="shared" si="21"/>
        <v>0</v>
      </c>
      <c r="AC56" s="898">
        <f t="shared" si="21"/>
        <v>0</v>
      </c>
      <c r="AD56" s="898">
        <f t="shared" si="21"/>
        <v>3850.2</v>
      </c>
      <c r="AE56" s="898">
        <f t="shared" si="21"/>
        <v>0</v>
      </c>
      <c r="AF56" s="29"/>
      <c r="AG56" s="671"/>
    </row>
    <row r="57" spans="1:33" ht="18.75" x14ac:dyDescent="0.3">
      <c r="A57" s="13" t="s">
        <v>33</v>
      </c>
      <c r="B57" s="108">
        <f>B54</f>
        <v>103039.2102</v>
      </c>
      <c r="C57" s="108">
        <f>C54</f>
        <v>103039.2102</v>
      </c>
      <c r="D57" s="108">
        <f>D54</f>
        <v>103039.2102</v>
      </c>
      <c r="E57" s="108">
        <f>E54</f>
        <v>84151.044689999995</v>
      </c>
      <c r="F57" s="759">
        <f>E57/B57*100</f>
        <v>81.668953524257503</v>
      </c>
      <c r="G57" s="758">
        <f>E57/C57*100</f>
        <v>81.668953524257503</v>
      </c>
      <c r="H57" s="898">
        <f>H54</f>
        <v>0</v>
      </c>
      <c r="I57" s="898">
        <f t="shared" ref="I57:AE57" si="22">I54</f>
        <v>0</v>
      </c>
      <c r="J57" s="898">
        <f t="shared" si="22"/>
        <v>0</v>
      </c>
      <c r="K57" s="898">
        <f t="shared" si="22"/>
        <v>0</v>
      </c>
      <c r="L57" s="898">
        <f t="shared" si="22"/>
        <v>0</v>
      </c>
      <c r="M57" s="898">
        <f t="shared" si="22"/>
        <v>0</v>
      </c>
      <c r="N57" s="898">
        <f t="shared" si="22"/>
        <v>0</v>
      </c>
      <c r="O57" s="898">
        <f t="shared" si="22"/>
        <v>0</v>
      </c>
      <c r="P57" s="898">
        <f t="shared" si="22"/>
        <v>0</v>
      </c>
      <c r="Q57" s="898">
        <f t="shared" si="22"/>
        <v>0</v>
      </c>
      <c r="R57" s="898">
        <f t="shared" si="22"/>
        <v>0</v>
      </c>
      <c r="S57" s="898">
        <f t="shared" si="22"/>
        <v>0</v>
      </c>
      <c r="T57" s="898">
        <f t="shared" si="22"/>
        <v>0</v>
      </c>
      <c r="U57" s="898">
        <f t="shared" si="22"/>
        <v>0</v>
      </c>
      <c r="V57" s="898">
        <f t="shared" si="22"/>
        <v>0</v>
      </c>
      <c r="W57" s="898">
        <f t="shared" si="22"/>
        <v>0</v>
      </c>
      <c r="X57" s="898">
        <f t="shared" si="22"/>
        <v>0</v>
      </c>
      <c r="Y57" s="898">
        <f t="shared" si="22"/>
        <v>0</v>
      </c>
      <c r="Z57" s="898">
        <f t="shared" si="22"/>
        <v>10381.9</v>
      </c>
      <c r="AA57" s="898">
        <f t="shared" si="22"/>
        <v>0</v>
      </c>
      <c r="AB57" s="898">
        <f t="shared" si="22"/>
        <v>0</v>
      </c>
      <c r="AC57" s="898">
        <f t="shared" si="22"/>
        <v>0</v>
      </c>
      <c r="AD57" s="898">
        <f t="shared" si="22"/>
        <v>3850.2</v>
      </c>
      <c r="AE57" s="898">
        <f t="shared" si="22"/>
        <v>0</v>
      </c>
      <c r="AF57" s="29"/>
      <c r="AG57" s="671"/>
    </row>
    <row r="58" spans="1:33" ht="18.75" x14ac:dyDescent="0.3">
      <c r="A58" s="59" t="s">
        <v>126</v>
      </c>
      <c r="B58" s="108"/>
      <c r="C58" s="108"/>
      <c r="D58" s="108"/>
      <c r="E58" s="108"/>
      <c r="F58" s="759"/>
      <c r="G58" s="758"/>
      <c r="H58" s="898"/>
      <c r="I58" s="898"/>
      <c r="J58" s="898"/>
      <c r="K58" s="898"/>
      <c r="L58" s="898"/>
      <c r="M58" s="898"/>
      <c r="N58" s="898"/>
      <c r="O58" s="898"/>
      <c r="P58" s="898"/>
      <c r="Q58" s="898"/>
      <c r="R58" s="898"/>
      <c r="S58" s="898"/>
      <c r="T58" s="898"/>
      <c r="U58" s="898"/>
      <c r="V58" s="898"/>
      <c r="W58" s="898"/>
      <c r="X58" s="898"/>
      <c r="Y58" s="898"/>
      <c r="Z58" s="898"/>
      <c r="AA58" s="898"/>
      <c r="AB58" s="898"/>
      <c r="AC58" s="898"/>
      <c r="AD58" s="898"/>
      <c r="AE58" s="898"/>
      <c r="AF58" s="29"/>
      <c r="AG58" s="671"/>
    </row>
    <row r="59" spans="1:33" ht="168.75" x14ac:dyDescent="0.3">
      <c r="A59" s="13" t="s">
        <v>84</v>
      </c>
      <c r="B59" s="108"/>
      <c r="C59" s="108"/>
      <c r="D59" s="108"/>
      <c r="E59" s="108"/>
      <c r="F59" s="759"/>
      <c r="G59" s="758"/>
      <c r="H59" s="898"/>
      <c r="I59" s="898"/>
      <c r="J59" s="898"/>
      <c r="K59" s="898"/>
      <c r="L59" s="898"/>
      <c r="M59" s="898"/>
      <c r="N59" s="898"/>
      <c r="O59" s="898"/>
      <c r="P59" s="898"/>
      <c r="Q59" s="898"/>
      <c r="R59" s="898"/>
      <c r="S59" s="898"/>
      <c r="T59" s="898"/>
      <c r="U59" s="898"/>
      <c r="V59" s="898"/>
      <c r="W59" s="898"/>
      <c r="X59" s="898"/>
      <c r="Y59" s="898"/>
      <c r="Z59" s="898"/>
      <c r="AA59" s="898"/>
      <c r="AB59" s="898"/>
      <c r="AC59" s="898"/>
      <c r="AD59" s="898"/>
      <c r="AE59" s="898"/>
      <c r="AF59" s="29"/>
      <c r="AG59" s="671"/>
    </row>
    <row r="60" spans="1:33" ht="18.75" x14ac:dyDescent="0.3">
      <c r="A60" s="19" t="s">
        <v>31</v>
      </c>
      <c r="B60" s="759">
        <f>B61</f>
        <v>360.9</v>
      </c>
      <c r="C60" s="759">
        <f>C61</f>
        <v>360.9</v>
      </c>
      <c r="D60" s="759">
        <f>D61</f>
        <v>360.9</v>
      </c>
      <c r="E60" s="759">
        <f>E61</f>
        <v>0</v>
      </c>
      <c r="F60" s="759">
        <f>E60/B60*100</f>
        <v>0</v>
      </c>
      <c r="G60" s="758">
        <f>E60/C60*100</f>
        <v>0</v>
      </c>
      <c r="H60" s="903">
        <f>H61</f>
        <v>0</v>
      </c>
      <c r="I60" s="903">
        <f t="shared" ref="I60:AE60" si="23">I61</f>
        <v>0</v>
      </c>
      <c r="J60" s="903">
        <f t="shared" si="23"/>
        <v>0</v>
      </c>
      <c r="K60" s="903">
        <f t="shared" si="23"/>
        <v>0</v>
      </c>
      <c r="L60" s="903">
        <f t="shared" si="23"/>
        <v>0</v>
      </c>
      <c r="M60" s="903">
        <f t="shared" si="23"/>
        <v>0</v>
      </c>
      <c r="N60" s="903">
        <f t="shared" si="23"/>
        <v>0</v>
      </c>
      <c r="O60" s="903">
        <f t="shared" si="23"/>
        <v>0</v>
      </c>
      <c r="P60" s="903">
        <f t="shared" si="23"/>
        <v>0</v>
      </c>
      <c r="Q60" s="903">
        <f t="shared" si="23"/>
        <v>0</v>
      </c>
      <c r="R60" s="903">
        <f t="shared" si="23"/>
        <v>0</v>
      </c>
      <c r="S60" s="903">
        <f t="shared" si="23"/>
        <v>0</v>
      </c>
      <c r="T60" s="903">
        <f t="shared" si="23"/>
        <v>0</v>
      </c>
      <c r="U60" s="903">
        <f t="shared" si="23"/>
        <v>0</v>
      </c>
      <c r="V60" s="903">
        <f t="shared" si="23"/>
        <v>0</v>
      </c>
      <c r="W60" s="903">
        <f t="shared" si="23"/>
        <v>0</v>
      </c>
      <c r="X60" s="903">
        <f t="shared" si="23"/>
        <v>0</v>
      </c>
      <c r="Y60" s="903">
        <f t="shared" si="23"/>
        <v>0</v>
      </c>
      <c r="Z60" s="903">
        <f t="shared" si="23"/>
        <v>0</v>
      </c>
      <c r="AA60" s="903">
        <f t="shared" si="23"/>
        <v>0</v>
      </c>
      <c r="AB60" s="903">
        <f t="shared" si="23"/>
        <v>0</v>
      </c>
      <c r="AC60" s="903">
        <f t="shared" si="23"/>
        <v>0</v>
      </c>
      <c r="AD60" s="903">
        <f t="shared" si="23"/>
        <v>360.9</v>
      </c>
      <c r="AE60" s="903">
        <f t="shared" si="23"/>
        <v>0</v>
      </c>
      <c r="AF60" s="29"/>
      <c r="AG60" s="671"/>
    </row>
    <row r="61" spans="1:33" ht="18.75" x14ac:dyDescent="0.3">
      <c r="A61" s="15" t="s">
        <v>33</v>
      </c>
      <c r="B61" s="759">
        <f>H61+J61+L61+N61+P61+R61+T61+V61+X61+Z61+AB61+AD61</f>
        <v>360.9</v>
      </c>
      <c r="C61" s="759">
        <f>H61+J61+L61+N61+P61+R61+T61+V61+X61+Z61+AB61+AD61</f>
        <v>360.9</v>
      </c>
      <c r="D61" s="759">
        <f>C61</f>
        <v>360.9</v>
      </c>
      <c r="E61" s="759">
        <f>I61</f>
        <v>0</v>
      </c>
      <c r="F61" s="758">
        <f>D61/B61*100</f>
        <v>100</v>
      </c>
      <c r="G61" s="758">
        <f>E61/C61*100</f>
        <v>0</v>
      </c>
      <c r="H61" s="903">
        <v>0</v>
      </c>
      <c r="I61" s="898">
        <v>0</v>
      </c>
      <c r="J61" s="898">
        <v>0</v>
      </c>
      <c r="K61" s="898">
        <v>0</v>
      </c>
      <c r="L61" s="898">
        <v>0</v>
      </c>
      <c r="M61" s="898">
        <v>0</v>
      </c>
      <c r="N61" s="898">
        <v>0</v>
      </c>
      <c r="O61" s="898">
        <v>0</v>
      </c>
      <c r="P61" s="898">
        <v>0</v>
      </c>
      <c r="Q61" s="898">
        <v>0</v>
      </c>
      <c r="R61" s="898">
        <v>0</v>
      </c>
      <c r="S61" s="898">
        <v>0</v>
      </c>
      <c r="T61" s="898">
        <v>0</v>
      </c>
      <c r="U61" s="898">
        <v>0</v>
      </c>
      <c r="V61" s="898">
        <v>0</v>
      </c>
      <c r="W61" s="898">
        <v>0</v>
      </c>
      <c r="X61" s="898">
        <v>0</v>
      </c>
      <c r="Y61" s="898">
        <v>0</v>
      </c>
      <c r="Z61" s="898">
        <v>0</v>
      </c>
      <c r="AA61" s="898">
        <v>0</v>
      </c>
      <c r="AB61" s="898">
        <v>0</v>
      </c>
      <c r="AC61" s="898">
        <v>0</v>
      </c>
      <c r="AD61" s="898">
        <v>360.9</v>
      </c>
      <c r="AE61" s="898">
        <v>0</v>
      </c>
      <c r="AF61" s="29"/>
      <c r="AG61" s="671"/>
    </row>
    <row r="62" spans="1:33" ht="18.75" x14ac:dyDescent="0.3">
      <c r="A62" s="55" t="s">
        <v>85</v>
      </c>
      <c r="B62" s="108"/>
      <c r="C62" s="108"/>
      <c r="D62" s="108"/>
      <c r="E62" s="108"/>
      <c r="F62" s="759"/>
      <c r="G62" s="758"/>
      <c r="H62" s="898"/>
      <c r="I62" s="898"/>
      <c r="J62" s="898"/>
      <c r="K62" s="898"/>
      <c r="L62" s="898"/>
      <c r="M62" s="898"/>
      <c r="N62" s="898"/>
      <c r="O62" s="898"/>
      <c r="P62" s="898"/>
      <c r="Q62" s="898"/>
      <c r="R62" s="898"/>
      <c r="S62" s="898"/>
      <c r="T62" s="898"/>
      <c r="U62" s="898"/>
      <c r="V62" s="898"/>
      <c r="W62" s="898"/>
      <c r="X62" s="898"/>
      <c r="Y62" s="898"/>
      <c r="Z62" s="898"/>
      <c r="AA62" s="898"/>
      <c r="AB62" s="898"/>
      <c r="AC62" s="898"/>
      <c r="AD62" s="898"/>
      <c r="AE62" s="898"/>
      <c r="AF62" s="29"/>
      <c r="AG62" s="671"/>
    </row>
    <row r="63" spans="1:33" ht="18.75" x14ac:dyDescent="0.3">
      <c r="A63" s="19" t="s">
        <v>31</v>
      </c>
      <c r="B63" s="108">
        <f>B64</f>
        <v>360.9</v>
      </c>
      <c r="C63" s="759">
        <f>C64</f>
        <v>360.9</v>
      </c>
      <c r="D63" s="759">
        <f>D64</f>
        <v>360.9</v>
      </c>
      <c r="E63" s="759">
        <f>E64</f>
        <v>0</v>
      </c>
      <c r="F63" s="759">
        <f>E63/B63*100</f>
        <v>0</v>
      </c>
      <c r="G63" s="758">
        <f>E63/C63*100</f>
        <v>0</v>
      </c>
      <c r="H63" s="898">
        <f>H64</f>
        <v>0</v>
      </c>
      <c r="I63" s="898">
        <f t="shared" ref="I63:AE63" si="24">I64</f>
        <v>0</v>
      </c>
      <c r="J63" s="898">
        <f t="shared" si="24"/>
        <v>0</v>
      </c>
      <c r="K63" s="898">
        <f t="shared" si="24"/>
        <v>0</v>
      </c>
      <c r="L63" s="898">
        <f t="shared" si="24"/>
        <v>0</v>
      </c>
      <c r="M63" s="898">
        <f t="shared" si="24"/>
        <v>0</v>
      </c>
      <c r="N63" s="898">
        <f t="shared" si="24"/>
        <v>0</v>
      </c>
      <c r="O63" s="898">
        <f t="shared" si="24"/>
        <v>0</v>
      </c>
      <c r="P63" s="898">
        <f t="shared" si="24"/>
        <v>0</v>
      </c>
      <c r="Q63" s="898">
        <f t="shared" si="24"/>
        <v>0</v>
      </c>
      <c r="R63" s="898">
        <f t="shared" si="24"/>
        <v>0</v>
      </c>
      <c r="S63" s="898">
        <f t="shared" si="24"/>
        <v>0</v>
      </c>
      <c r="T63" s="898">
        <f t="shared" si="24"/>
        <v>0</v>
      </c>
      <c r="U63" s="898">
        <f t="shared" si="24"/>
        <v>0</v>
      </c>
      <c r="V63" s="898">
        <f t="shared" si="24"/>
        <v>0</v>
      </c>
      <c r="W63" s="898">
        <f t="shared" si="24"/>
        <v>0</v>
      </c>
      <c r="X63" s="898">
        <f t="shared" si="24"/>
        <v>0</v>
      </c>
      <c r="Y63" s="898">
        <f t="shared" si="24"/>
        <v>0</v>
      </c>
      <c r="Z63" s="898">
        <f t="shared" si="24"/>
        <v>0</v>
      </c>
      <c r="AA63" s="898">
        <f t="shared" si="24"/>
        <v>0</v>
      </c>
      <c r="AB63" s="898">
        <f t="shared" si="24"/>
        <v>0</v>
      </c>
      <c r="AC63" s="898">
        <f t="shared" si="24"/>
        <v>0</v>
      </c>
      <c r="AD63" s="898">
        <f t="shared" si="24"/>
        <v>360.9</v>
      </c>
      <c r="AE63" s="898">
        <f t="shared" si="24"/>
        <v>0</v>
      </c>
      <c r="AF63" s="29"/>
      <c r="AG63" s="671"/>
    </row>
    <row r="64" spans="1:33" ht="18.75" x14ac:dyDescent="0.3">
      <c r="A64" s="15" t="s">
        <v>33</v>
      </c>
      <c r="B64" s="499">
        <f>B61</f>
        <v>360.9</v>
      </c>
      <c r="C64" s="759">
        <f>H64+J64+L64+N64+P64+R64+T64+V64+X64+Z64+AB64+AD64</f>
        <v>360.9</v>
      </c>
      <c r="D64" s="759">
        <f>H64+J64+L64+N64+P64+R64+T64+V64+X64+Z64+AB64+AD64</f>
        <v>360.9</v>
      </c>
      <c r="E64" s="759">
        <f>I64</f>
        <v>0</v>
      </c>
      <c r="F64" s="895">
        <f>E64/B64*100</f>
        <v>0</v>
      </c>
      <c r="G64" s="758">
        <f>E64/C64*100</f>
        <v>0</v>
      </c>
      <c r="H64" s="898">
        <f>H61</f>
        <v>0</v>
      </c>
      <c r="I64" s="898">
        <f>I65</f>
        <v>0</v>
      </c>
      <c r="J64" s="898">
        <f t="shared" ref="J64:AE64" si="25">J61</f>
        <v>0</v>
      </c>
      <c r="K64" s="898">
        <f t="shared" si="25"/>
        <v>0</v>
      </c>
      <c r="L64" s="898">
        <f t="shared" si="25"/>
        <v>0</v>
      </c>
      <c r="M64" s="898">
        <f t="shared" si="25"/>
        <v>0</v>
      </c>
      <c r="N64" s="898">
        <f t="shared" si="25"/>
        <v>0</v>
      </c>
      <c r="O64" s="898">
        <f t="shared" si="25"/>
        <v>0</v>
      </c>
      <c r="P64" s="898">
        <f t="shared" si="25"/>
        <v>0</v>
      </c>
      <c r="Q64" s="898">
        <f t="shared" si="25"/>
        <v>0</v>
      </c>
      <c r="R64" s="898">
        <f t="shared" si="25"/>
        <v>0</v>
      </c>
      <c r="S64" s="898">
        <f t="shared" si="25"/>
        <v>0</v>
      </c>
      <c r="T64" s="898">
        <f t="shared" si="25"/>
        <v>0</v>
      </c>
      <c r="U64" s="898">
        <f t="shared" si="25"/>
        <v>0</v>
      </c>
      <c r="V64" s="898">
        <f t="shared" si="25"/>
        <v>0</v>
      </c>
      <c r="W64" s="898">
        <f t="shared" si="25"/>
        <v>0</v>
      </c>
      <c r="X64" s="898">
        <f t="shared" si="25"/>
        <v>0</v>
      </c>
      <c r="Y64" s="898">
        <f t="shared" si="25"/>
        <v>0</v>
      </c>
      <c r="Z64" s="898">
        <f t="shared" si="25"/>
        <v>0</v>
      </c>
      <c r="AA64" s="898">
        <f t="shared" si="25"/>
        <v>0</v>
      </c>
      <c r="AB64" s="898">
        <f t="shared" si="25"/>
        <v>0</v>
      </c>
      <c r="AC64" s="898">
        <f t="shared" si="25"/>
        <v>0</v>
      </c>
      <c r="AD64" s="898">
        <f t="shared" si="25"/>
        <v>360.9</v>
      </c>
      <c r="AE64" s="898">
        <f t="shared" si="25"/>
        <v>0</v>
      </c>
      <c r="AF64" s="29"/>
      <c r="AG64" s="671"/>
    </row>
    <row r="65" spans="1:33" ht="37.5" x14ac:dyDescent="0.3">
      <c r="A65" s="28" t="s">
        <v>92</v>
      </c>
      <c r="B65" s="108"/>
      <c r="C65" s="108"/>
      <c r="D65" s="108"/>
      <c r="E65" s="108"/>
      <c r="F65" s="759"/>
      <c r="G65" s="758"/>
      <c r="H65" s="898"/>
      <c r="I65" s="898"/>
      <c r="J65" s="898"/>
      <c r="K65" s="898"/>
      <c r="L65" s="898"/>
      <c r="M65" s="898"/>
      <c r="N65" s="898"/>
      <c r="O65" s="898"/>
      <c r="P65" s="898"/>
      <c r="Q65" s="898"/>
      <c r="R65" s="898"/>
      <c r="S65" s="898"/>
      <c r="T65" s="898"/>
      <c r="U65" s="898"/>
      <c r="V65" s="898"/>
      <c r="W65" s="898"/>
      <c r="X65" s="898"/>
      <c r="Y65" s="898"/>
      <c r="Z65" s="898"/>
      <c r="AA65" s="898"/>
      <c r="AB65" s="898"/>
      <c r="AC65" s="898"/>
      <c r="AD65" s="898"/>
      <c r="AE65" s="898"/>
      <c r="AF65" s="29"/>
      <c r="AG65" s="671"/>
    </row>
    <row r="66" spans="1:33" ht="18.75" x14ac:dyDescent="0.3">
      <c r="A66" s="8" t="s">
        <v>31</v>
      </c>
      <c r="B66" s="108">
        <f>B67</f>
        <v>360.9</v>
      </c>
      <c r="C66" s="759">
        <f>C67</f>
        <v>0</v>
      </c>
      <c r="D66" s="759">
        <f>D67</f>
        <v>0</v>
      </c>
      <c r="E66" s="759">
        <f>E67</f>
        <v>0</v>
      </c>
      <c r="F66" s="759">
        <f>E66/B66*100</f>
        <v>0</v>
      </c>
      <c r="G66" s="758" t="e">
        <f t="shared" ref="G66:G71" si="26">E66/C66*100</f>
        <v>#DIV/0!</v>
      </c>
      <c r="H66" s="898">
        <f>H67</f>
        <v>0</v>
      </c>
      <c r="I66" s="898">
        <f t="shared" ref="I66:AE66" si="27">I67</f>
        <v>0</v>
      </c>
      <c r="J66" s="898">
        <f t="shared" si="27"/>
        <v>0</v>
      </c>
      <c r="K66" s="898">
        <f t="shared" si="27"/>
        <v>0</v>
      </c>
      <c r="L66" s="898">
        <f t="shared" si="27"/>
        <v>0</v>
      </c>
      <c r="M66" s="898">
        <f t="shared" si="27"/>
        <v>0</v>
      </c>
      <c r="N66" s="898">
        <f t="shared" si="27"/>
        <v>0</v>
      </c>
      <c r="O66" s="898">
        <f t="shared" si="27"/>
        <v>0</v>
      </c>
      <c r="P66" s="898">
        <f t="shared" si="27"/>
        <v>0</v>
      </c>
      <c r="Q66" s="898">
        <f t="shared" si="27"/>
        <v>0</v>
      </c>
      <c r="R66" s="898">
        <f t="shared" si="27"/>
        <v>0</v>
      </c>
      <c r="S66" s="898">
        <f t="shared" si="27"/>
        <v>0</v>
      </c>
      <c r="T66" s="898">
        <f t="shared" si="27"/>
        <v>0</v>
      </c>
      <c r="U66" s="898">
        <f t="shared" si="27"/>
        <v>0</v>
      </c>
      <c r="V66" s="898">
        <f t="shared" si="27"/>
        <v>0</v>
      </c>
      <c r="W66" s="898">
        <f t="shared" si="27"/>
        <v>0</v>
      </c>
      <c r="X66" s="898">
        <f t="shared" si="27"/>
        <v>0</v>
      </c>
      <c r="Y66" s="898">
        <f t="shared" si="27"/>
        <v>0</v>
      </c>
      <c r="Z66" s="898">
        <f t="shared" si="27"/>
        <v>0</v>
      </c>
      <c r="AA66" s="898">
        <f t="shared" si="27"/>
        <v>0</v>
      </c>
      <c r="AB66" s="898">
        <f t="shared" si="27"/>
        <v>0</v>
      </c>
      <c r="AC66" s="898">
        <f t="shared" si="27"/>
        <v>0</v>
      </c>
      <c r="AD66" s="898">
        <f t="shared" si="27"/>
        <v>360.9</v>
      </c>
      <c r="AE66" s="898">
        <f t="shared" si="27"/>
        <v>0</v>
      </c>
      <c r="AF66" s="29"/>
      <c r="AG66" s="671"/>
    </row>
    <row r="67" spans="1:33" ht="18.75" x14ac:dyDescent="0.3">
      <c r="A67" s="13" t="s">
        <v>33</v>
      </c>
      <c r="B67" s="108">
        <f>B64</f>
        <v>360.9</v>
      </c>
      <c r="C67" s="759">
        <f>H67</f>
        <v>0</v>
      </c>
      <c r="D67" s="759"/>
      <c r="E67" s="759">
        <f>I67</f>
        <v>0</v>
      </c>
      <c r="F67" s="758">
        <f>D67/B67*100</f>
        <v>0</v>
      </c>
      <c r="G67" s="758" t="e">
        <f t="shared" si="26"/>
        <v>#DIV/0!</v>
      </c>
      <c r="H67" s="898">
        <f>H64</f>
        <v>0</v>
      </c>
      <c r="I67" s="898">
        <f t="shared" ref="I67:AE67" si="28">I64</f>
        <v>0</v>
      </c>
      <c r="J67" s="898">
        <f t="shared" si="28"/>
        <v>0</v>
      </c>
      <c r="K67" s="898">
        <f t="shared" si="28"/>
        <v>0</v>
      </c>
      <c r="L67" s="898">
        <f t="shared" si="28"/>
        <v>0</v>
      </c>
      <c r="M67" s="898">
        <f t="shared" si="28"/>
        <v>0</v>
      </c>
      <c r="N67" s="898">
        <f t="shared" si="28"/>
        <v>0</v>
      </c>
      <c r="O67" s="898">
        <f t="shared" si="28"/>
        <v>0</v>
      </c>
      <c r="P67" s="898">
        <f t="shared" si="28"/>
        <v>0</v>
      </c>
      <c r="Q67" s="898">
        <f t="shared" si="28"/>
        <v>0</v>
      </c>
      <c r="R67" s="898">
        <f t="shared" si="28"/>
        <v>0</v>
      </c>
      <c r="S67" s="898">
        <f t="shared" si="28"/>
        <v>0</v>
      </c>
      <c r="T67" s="898">
        <f t="shared" si="28"/>
        <v>0</v>
      </c>
      <c r="U67" s="898">
        <f t="shared" si="28"/>
        <v>0</v>
      </c>
      <c r="V67" s="898">
        <f t="shared" si="28"/>
        <v>0</v>
      </c>
      <c r="W67" s="898">
        <f t="shared" si="28"/>
        <v>0</v>
      </c>
      <c r="X67" s="898">
        <f t="shared" si="28"/>
        <v>0</v>
      </c>
      <c r="Y67" s="898">
        <f t="shared" si="28"/>
        <v>0</v>
      </c>
      <c r="Z67" s="898">
        <f t="shared" si="28"/>
        <v>0</v>
      </c>
      <c r="AA67" s="898">
        <f t="shared" si="28"/>
        <v>0</v>
      </c>
      <c r="AB67" s="898">
        <f t="shared" si="28"/>
        <v>0</v>
      </c>
      <c r="AC67" s="898">
        <f t="shared" si="28"/>
        <v>0</v>
      </c>
      <c r="AD67" s="898">
        <f t="shared" si="28"/>
        <v>360.9</v>
      </c>
      <c r="AE67" s="898">
        <f t="shared" si="28"/>
        <v>0</v>
      </c>
      <c r="AF67" s="29"/>
      <c r="AG67" s="671"/>
    </row>
    <row r="68" spans="1:33" ht="37.5" x14ac:dyDescent="0.3">
      <c r="A68" s="55" t="s">
        <v>63</v>
      </c>
      <c r="B68" s="134">
        <f>B10+B21+B50+B60</f>
        <v>462315.71201000002</v>
      </c>
      <c r="C68" s="499">
        <f>C69</f>
        <v>462315.71201000002</v>
      </c>
      <c r="D68" s="499">
        <f>D69</f>
        <v>462315.71201000002</v>
      </c>
      <c r="E68" s="499">
        <f>E69</f>
        <v>431238.59697000001</v>
      </c>
      <c r="F68" s="759">
        <f>E68/B68*100</f>
        <v>93.277945301731862</v>
      </c>
      <c r="G68" s="758">
        <f t="shared" si="26"/>
        <v>93.277945301731862</v>
      </c>
      <c r="H68" s="898">
        <f t="shared" ref="H68:AE68" si="29">H69</f>
        <v>8648.3521000000001</v>
      </c>
      <c r="I68" s="898">
        <f t="shared" si="29"/>
        <v>4845.607</v>
      </c>
      <c r="J68" s="898">
        <f t="shared" si="29"/>
        <v>13224.46847</v>
      </c>
      <c r="K68" s="898">
        <f t="shared" si="29"/>
        <v>13449.98</v>
      </c>
      <c r="L68" s="898">
        <f t="shared" si="29"/>
        <v>7298.9913400000005</v>
      </c>
      <c r="M68" s="898">
        <f t="shared" si="29"/>
        <v>5280.9717900000005</v>
      </c>
      <c r="N68" s="898">
        <f t="shared" si="29"/>
        <v>15087.2888</v>
      </c>
      <c r="O68" s="898">
        <f t="shared" si="29"/>
        <v>7143.5010000000002</v>
      </c>
      <c r="P68" s="898">
        <f t="shared" si="29"/>
        <v>5877.2432200000003</v>
      </c>
      <c r="Q68" s="898">
        <f t="shared" si="29"/>
        <v>5375.3040000000001</v>
      </c>
      <c r="R68" s="898">
        <f t="shared" si="29"/>
        <v>5106.3410999999996</v>
      </c>
      <c r="S68" s="898">
        <f t="shared" si="29"/>
        <v>5371.0680000000002</v>
      </c>
      <c r="T68" s="898">
        <f t="shared" si="29"/>
        <v>20523.757089999999</v>
      </c>
      <c r="U68" s="898">
        <f t="shared" si="29"/>
        <v>27363.536800000002</v>
      </c>
      <c r="V68" s="898">
        <f t="shared" si="29"/>
        <v>6164.77376</v>
      </c>
      <c r="W68" s="898">
        <f t="shared" si="29"/>
        <v>4560.6059999999998</v>
      </c>
      <c r="X68" s="898">
        <f t="shared" si="29"/>
        <v>5289.4188899999999</v>
      </c>
      <c r="Y68" s="898">
        <f t="shared" si="29"/>
        <v>5450.3436099999999</v>
      </c>
      <c r="Z68" s="898">
        <f t="shared" si="29"/>
        <v>27369.799930000001</v>
      </c>
      <c r="AA68" s="898">
        <f t="shared" si="29"/>
        <v>17498.506000000001</v>
      </c>
      <c r="AB68" s="898">
        <f t="shared" si="29"/>
        <v>38396.911229999998</v>
      </c>
      <c r="AC68" s="898">
        <f t="shared" si="29"/>
        <v>47200.839509999998</v>
      </c>
      <c r="AD68" s="898">
        <f t="shared" si="29"/>
        <v>31318.50546</v>
      </c>
      <c r="AE68" s="898">
        <f t="shared" si="29"/>
        <v>15883.943360000001</v>
      </c>
      <c r="AF68" s="29"/>
      <c r="AG68" s="671"/>
    </row>
    <row r="69" spans="1:33" ht="18.75" x14ac:dyDescent="0.3">
      <c r="A69" s="15" t="s">
        <v>33</v>
      </c>
      <c r="B69" s="108">
        <f>B11+B22+B51+B61</f>
        <v>462315.71201000002</v>
      </c>
      <c r="C69" s="499">
        <f>C13+C42+C53+C63</f>
        <v>462315.71201000002</v>
      </c>
      <c r="D69" s="499">
        <f>D13+D42+D53+D63</f>
        <v>462315.71201000002</v>
      </c>
      <c r="E69" s="499">
        <f>E13+E42+E53+E63</f>
        <v>431238.59697000001</v>
      </c>
      <c r="F69" s="759">
        <f>E69/B69*100</f>
        <v>93.277945301731862</v>
      </c>
      <c r="G69" s="758">
        <f t="shared" si="26"/>
        <v>93.277945301731862</v>
      </c>
      <c r="H69" s="898">
        <f t="shared" ref="H69:AE69" si="30">H11++H40+H51+H61</f>
        <v>8648.3521000000001</v>
      </c>
      <c r="I69" s="898">
        <f t="shared" si="30"/>
        <v>4845.607</v>
      </c>
      <c r="J69" s="898">
        <f t="shared" si="30"/>
        <v>13224.46847</v>
      </c>
      <c r="K69" s="898">
        <f t="shared" si="30"/>
        <v>13449.98</v>
      </c>
      <c r="L69" s="898">
        <f t="shared" si="30"/>
        <v>7298.9913400000005</v>
      </c>
      <c r="M69" s="898">
        <f t="shared" si="30"/>
        <v>5280.9717900000005</v>
      </c>
      <c r="N69" s="898">
        <f t="shared" si="30"/>
        <v>15087.2888</v>
      </c>
      <c r="O69" s="898">
        <f t="shared" si="30"/>
        <v>7143.5010000000002</v>
      </c>
      <c r="P69" s="898">
        <f t="shared" si="30"/>
        <v>5877.2432200000003</v>
      </c>
      <c r="Q69" s="898">
        <f t="shared" si="30"/>
        <v>5375.3040000000001</v>
      </c>
      <c r="R69" s="898">
        <f t="shared" si="30"/>
        <v>5106.3410999999996</v>
      </c>
      <c r="S69" s="898">
        <f t="shared" si="30"/>
        <v>5371.0680000000002</v>
      </c>
      <c r="T69" s="898">
        <f t="shared" si="30"/>
        <v>20523.757089999999</v>
      </c>
      <c r="U69" s="898">
        <f t="shared" si="30"/>
        <v>27363.536800000002</v>
      </c>
      <c r="V69" s="898">
        <f t="shared" si="30"/>
        <v>6164.77376</v>
      </c>
      <c r="W69" s="898">
        <f t="shared" si="30"/>
        <v>4560.6059999999998</v>
      </c>
      <c r="X69" s="898">
        <f t="shared" si="30"/>
        <v>5289.4188899999999</v>
      </c>
      <c r="Y69" s="898">
        <f t="shared" si="30"/>
        <v>5450.3436099999999</v>
      </c>
      <c r="Z69" s="898">
        <f t="shared" si="30"/>
        <v>27369.799930000001</v>
      </c>
      <c r="AA69" s="898">
        <f t="shared" si="30"/>
        <v>17498.506000000001</v>
      </c>
      <c r="AB69" s="898">
        <f t="shared" si="30"/>
        <v>38396.911229999998</v>
      </c>
      <c r="AC69" s="898">
        <f t="shared" si="30"/>
        <v>47200.839509999998</v>
      </c>
      <c r="AD69" s="898">
        <f t="shared" si="30"/>
        <v>31318.50546</v>
      </c>
      <c r="AE69" s="898">
        <f t="shared" si="30"/>
        <v>15883.943360000001</v>
      </c>
      <c r="AF69" s="29"/>
      <c r="AG69" s="671"/>
    </row>
    <row r="70" spans="1:33" ht="37.5" x14ac:dyDescent="0.3">
      <c r="A70" s="56" t="s">
        <v>100</v>
      </c>
      <c r="B70" s="108">
        <f>B71</f>
        <v>462315.71201000002</v>
      </c>
      <c r="C70" s="499">
        <f>C71</f>
        <v>462315.71201000002</v>
      </c>
      <c r="D70" s="499">
        <f>D71</f>
        <v>462315.71201000002</v>
      </c>
      <c r="E70" s="499">
        <f>E71</f>
        <v>431238.59697000001</v>
      </c>
      <c r="F70" s="759">
        <f>E70/B70*100</f>
        <v>93.277945301731862</v>
      </c>
      <c r="G70" s="758">
        <f t="shared" si="26"/>
        <v>93.277945301731862</v>
      </c>
      <c r="H70" s="898">
        <f t="shared" ref="H70:AE70" si="31">H71</f>
        <v>8648.3521000000001</v>
      </c>
      <c r="I70" s="898">
        <f t="shared" si="31"/>
        <v>4845.607</v>
      </c>
      <c r="J70" s="898">
        <f t="shared" si="31"/>
        <v>13224.46847</v>
      </c>
      <c r="K70" s="898">
        <f t="shared" si="31"/>
        <v>13449.98</v>
      </c>
      <c r="L70" s="898">
        <f t="shared" si="31"/>
        <v>7298.9913400000005</v>
      </c>
      <c r="M70" s="898">
        <f t="shared" si="31"/>
        <v>5280.9717900000005</v>
      </c>
      <c r="N70" s="898">
        <f t="shared" si="31"/>
        <v>15087.2888</v>
      </c>
      <c r="O70" s="898">
        <f t="shared" si="31"/>
        <v>7143.5010000000002</v>
      </c>
      <c r="P70" s="898">
        <f t="shared" si="31"/>
        <v>5877.2432200000003</v>
      </c>
      <c r="Q70" s="898">
        <f t="shared" si="31"/>
        <v>5375.3040000000001</v>
      </c>
      <c r="R70" s="898">
        <f t="shared" si="31"/>
        <v>5106.3410999999996</v>
      </c>
      <c r="S70" s="898">
        <f t="shared" si="31"/>
        <v>5371.0680000000002</v>
      </c>
      <c r="T70" s="898">
        <f t="shared" si="31"/>
        <v>20523.757089999999</v>
      </c>
      <c r="U70" s="898">
        <f t="shared" si="31"/>
        <v>27363.536800000002</v>
      </c>
      <c r="V70" s="898">
        <f t="shared" si="31"/>
        <v>6164.77376</v>
      </c>
      <c r="W70" s="898">
        <f t="shared" si="31"/>
        <v>4560.6059999999998</v>
      </c>
      <c r="X70" s="898">
        <f t="shared" si="31"/>
        <v>5289.4188899999999</v>
      </c>
      <c r="Y70" s="898">
        <f t="shared" si="31"/>
        <v>5450.3436099999999</v>
      </c>
      <c r="Z70" s="898">
        <f t="shared" si="31"/>
        <v>27369.799930000001</v>
      </c>
      <c r="AA70" s="898">
        <f t="shared" si="31"/>
        <v>17498.506000000001</v>
      </c>
      <c r="AB70" s="898">
        <f t="shared" si="31"/>
        <v>38396.911229999998</v>
      </c>
      <c r="AC70" s="898">
        <f t="shared" si="31"/>
        <v>47200.839509999998</v>
      </c>
      <c r="AD70" s="898">
        <f t="shared" si="31"/>
        <v>31318.50546</v>
      </c>
      <c r="AE70" s="898">
        <f t="shared" si="31"/>
        <v>15883.943360000001</v>
      </c>
      <c r="AF70" s="29"/>
      <c r="AG70" s="671"/>
    </row>
    <row r="71" spans="1:33" ht="18.75" x14ac:dyDescent="0.3">
      <c r="A71" s="15" t="s">
        <v>33</v>
      </c>
      <c r="B71" s="108">
        <f>B69</f>
        <v>462315.71201000002</v>
      </c>
      <c r="C71" s="108">
        <f>C69</f>
        <v>462315.71201000002</v>
      </c>
      <c r="D71" s="108">
        <f>D69</f>
        <v>462315.71201000002</v>
      </c>
      <c r="E71" s="499">
        <f>E69</f>
        <v>431238.59697000001</v>
      </c>
      <c r="F71" s="759">
        <f>E71/B71*100</f>
        <v>93.277945301731862</v>
      </c>
      <c r="G71" s="758">
        <f t="shared" si="26"/>
        <v>93.277945301731862</v>
      </c>
      <c r="H71" s="898">
        <f t="shared" ref="H71:AE71" si="32">H69</f>
        <v>8648.3521000000001</v>
      </c>
      <c r="I71" s="898">
        <f t="shared" si="32"/>
        <v>4845.607</v>
      </c>
      <c r="J71" s="898">
        <f t="shared" si="32"/>
        <v>13224.46847</v>
      </c>
      <c r="K71" s="898">
        <f t="shared" si="32"/>
        <v>13449.98</v>
      </c>
      <c r="L71" s="898">
        <f t="shared" si="32"/>
        <v>7298.9913400000005</v>
      </c>
      <c r="M71" s="898">
        <f t="shared" si="32"/>
        <v>5280.9717900000005</v>
      </c>
      <c r="N71" s="898">
        <f t="shared" si="32"/>
        <v>15087.2888</v>
      </c>
      <c r="O71" s="898">
        <f t="shared" si="32"/>
        <v>7143.5010000000002</v>
      </c>
      <c r="P71" s="898">
        <f t="shared" si="32"/>
        <v>5877.2432200000003</v>
      </c>
      <c r="Q71" s="898">
        <f t="shared" si="32"/>
        <v>5375.3040000000001</v>
      </c>
      <c r="R71" s="898">
        <f t="shared" si="32"/>
        <v>5106.3410999999996</v>
      </c>
      <c r="S71" s="898">
        <f t="shared" si="32"/>
        <v>5371.0680000000002</v>
      </c>
      <c r="T71" s="898">
        <f t="shared" si="32"/>
        <v>20523.757089999999</v>
      </c>
      <c r="U71" s="898">
        <f t="shared" si="32"/>
        <v>27363.536800000002</v>
      </c>
      <c r="V71" s="898">
        <f t="shared" si="32"/>
        <v>6164.77376</v>
      </c>
      <c r="W71" s="898">
        <f t="shared" si="32"/>
        <v>4560.6059999999998</v>
      </c>
      <c r="X71" s="898">
        <f t="shared" si="32"/>
        <v>5289.4188899999999</v>
      </c>
      <c r="Y71" s="898">
        <f t="shared" si="32"/>
        <v>5450.3436099999999</v>
      </c>
      <c r="Z71" s="898">
        <f t="shared" si="32"/>
        <v>27369.799930000001</v>
      </c>
      <c r="AA71" s="898">
        <f t="shared" si="32"/>
        <v>17498.506000000001</v>
      </c>
      <c r="AB71" s="898">
        <f t="shared" si="32"/>
        <v>38396.911229999998</v>
      </c>
      <c r="AC71" s="898">
        <f t="shared" si="32"/>
        <v>47200.839509999998</v>
      </c>
      <c r="AD71" s="898">
        <f t="shared" si="32"/>
        <v>31318.50546</v>
      </c>
      <c r="AE71" s="898">
        <f t="shared" si="32"/>
        <v>15883.943360000001</v>
      </c>
      <c r="AF71" s="29"/>
      <c r="AG71" s="671"/>
    </row>
    <row r="72" spans="1:33" ht="18.75" x14ac:dyDescent="0.3">
      <c r="A72" s="60"/>
      <c r="B72" s="619"/>
      <c r="C72" s="619"/>
      <c r="D72" s="619"/>
      <c r="E72" s="619"/>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row>
    <row r="73" spans="1:33" ht="37.5" x14ac:dyDescent="0.3">
      <c r="A73" s="9" t="s">
        <v>71</v>
      </c>
      <c r="B73" s="26"/>
      <c r="C73" s="26"/>
      <c r="D73" s="734" t="s">
        <v>516</v>
      </c>
      <c r="E73" s="61"/>
    </row>
    <row r="74" spans="1:33" ht="18.75" x14ac:dyDescent="0.3">
      <c r="A74" s="9"/>
      <c r="B74" s="20" t="s">
        <v>68</v>
      </c>
      <c r="C74" s="20"/>
      <c r="D74" s="22"/>
    </row>
    <row r="75" spans="1:33" ht="41.25" customHeight="1" x14ac:dyDescent="0.3">
      <c r="A75" s="25" t="s">
        <v>69</v>
      </c>
      <c r="B75" s="613" t="s">
        <v>517</v>
      </c>
      <c r="C75" s="613"/>
      <c r="D75" s="614"/>
    </row>
  </sheetData>
  <customSheetViews>
    <customSheetView guid="{7C130984-112A-4861-AA43-E2940708E3DC}" state="hidden">
      <pane xSplit="1" ySplit="6" topLeftCell="B7" activePane="bottomRight" state="frozen"/>
      <selection pane="bottomRight" activeCell="C65" sqref="C65"/>
      <pageMargins left="0.7" right="0.7" top="0.75" bottom="0.75" header="0.3" footer="0.3"/>
      <pageSetup paperSize="9" orientation="portrait" r:id="rId1"/>
    </customSheetView>
    <customSheetView guid="{533DC55B-6AD4-4674-9488-685EF2039F3E}" state="hidden">
      <pane xSplit="1" ySplit="6" topLeftCell="B7" activePane="bottomRight" state="frozen"/>
      <selection pane="bottomRight" activeCell="C65" sqref="C65"/>
      <pageMargins left="0.7" right="0.7" top="0.75" bottom="0.75" header="0.3" footer="0.3"/>
      <pageSetup paperSize="9" orientation="portrait" r:id="rId2"/>
    </customSheetView>
    <customSheetView guid="{09C3E205-981E-4A4E-BE89-8B7044192060}" scale="55">
      <pane xSplit="1" ySplit="6" topLeftCell="AA45" activePane="bottomRight" state="frozen"/>
      <selection pane="bottomRight" activeCell="AG77" sqref="AG77"/>
      <pageMargins left="0.7" right="0.7" top="0.75" bottom="0.75" header="0.3" footer="0.3"/>
      <pageSetup paperSize="9" orientation="portrait" r:id="rId3"/>
    </customSheetView>
    <customSheetView guid="{B1BF08D1-D416-4B47-ADD0-4F59132DC9E8}" scale="55">
      <pane xSplit="1" ySplit="6" topLeftCell="B7" activePane="bottomRight" state="frozen"/>
      <selection pane="bottomRight" activeCell="C62" sqref="C62"/>
      <pageMargins left="0.7" right="0.7" top="0.75" bottom="0.75" header="0.3" footer="0.3"/>
      <pageSetup paperSize="9" orientation="portrait" r:id="rId4"/>
    </customSheetView>
    <customSheetView guid="{4F41B9CC-959D-442C-80B0-1F0DB2C76D27}" scale="55">
      <pane xSplit="1" ySplit="6" topLeftCell="B7" activePane="bottomRight" state="frozen"/>
      <selection pane="bottomRight" activeCell="C62" sqref="C62"/>
      <pageMargins left="0.7" right="0.7" top="0.75" bottom="0.75" header="0.3" footer="0.3"/>
      <pageSetup paperSize="9" orientation="portrait" r:id="rId5"/>
    </customSheetView>
    <customSheetView guid="{84867370-1F3E-4368-AF79-FBCE46FFFE92}" scale="55">
      <pane xSplit="1" ySplit="6" topLeftCell="B7" activePane="bottomRight" state="frozen"/>
      <selection pane="bottomRight" activeCell="C62" sqref="C62"/>
      <pageMargins left="0.7" right="0.7" top="0.75" bottom="0.75" header="0.3" footer="0.3"/>
      <pageSetup paperSize="9" orientation="portrait" r:id="rId6"/>
    </customSheetView>
    <customSheetView guid="{E508E171-4ED9-4B07-84DF-DA28C60E1969}" scale="55">
      <pane xSplit="1" ySplit="6" topLeftCell="B55" activePane="bottomRight" state="frozen"/>
      <selection pane="bottomRight" activeCell="F82" sqref="F82"/>
      <pageMargins left="0.7" right="0.7" top="0.75" bottom="0.75" header="0.3" footer="0.3"/>
      <pageSetup paperSize="9" orientation="portrait" r:id="rId7"/>
    </customSheetView>
    <customSheetView guid="{602C8EDB-B9EF-4C85-B0D5-0558C3A0ABAB}" scale="55">
      <pane xSplit="1" ySplit="6" topLeftCell="B55" activePane="bottomRight" state="frozen"/>
      <selection pane="bottomRight" activeCell="F82" sqref="F82"/>
      <pageMargins left="0.7" right="0.7" top="0.75" bottom="0.75" header="0.3" footer="0.3"/>
      <pageSetup paperSize="9" orientation="portrait" r:id="rId8"/>
    </customSheetView>
    <customSheetView guid="{84B3377A-1CDD-4881-99FA-112F8B470D6F}" scale="55">
      <pane xSplit="1" ySplit="6" topLeftCell="B55" activePane="bottomRight" state="frozen"/>
      <selection pane="bottomRight" activeCell="F82" sqref="F82"/>
      <pageMargins left="0.7" right="0.7" top="0.75" bottom="0.75" header="0.3" footer="0.3"/>
      <pageSetup paperSize="9" orientation="portrait" r:id="rId9"/>
    </customSheetView>
    <customSheetView guid="{87218168-6C8E-4D5B-A5E5-DCCC26803AA3}" scale="55">
      <pane xSplit="1" ySplit="6" topLeftCell="B55" activePane="bottomRight" state="frozen"/>
      <selection pane="bottomRight" activeCell="F82" sqref="F82"/>
      <pageMargins left="0.7" right="0.7" top="0.75" bottom="0.75" header="0.3" footer="0.3"/>
      <pageSetup paperSize="9" orientation="portrait" r:id="rId10"/>
    </customSheetView>
    <customSheetView guid="{6A602CB8-B24C-4ED4-B378-B27354BE0A1A}" scale="55">
      <pane xSplit="1" ySplit="6" topLeftCell="B55" activePane="bottomRight" state="frozen"/>
      <selection pane="bottomRight" activeCell="F82" sqref="F82"/>
      <pageMargins left="0.7" right="0.7" top="0.75" bottom="0.75" header="0.3" footer="0.3"/>
      <pageSetup paperSize="9" orientation="portrait" r:id="rId11"/>
    </customSheetView>
    <customSheetView guid="{D01FA037-9AEC-4167-ADB8-2F327C01ECE6}" scale="55">
      <pane xSplit="1" ySplit="6" topLeftCell="Q7" activePane="bottomRight" state="frozen"/>
      <selection pane="bottomRight" activeCell="AF52" sqref="AF52"/>
      <pageMargins left="0.7" right="0.7" top="0.75" bottom="0.75" header="0.3" footer="0.3"/>
      <pageSetup paperSize="9" orientation="portrait" r:id="rId12"/>
    </customSheetView>
    <customSheetView guid="{74870EE6-26B9-40F7-9DC9-260EF16D8959}" scale="55">
      <pane xSplit="1" ySplit="6" topLeftCell="B28" activePane="bottomRight" state="frozen"/>
      <selection pane="bottomRight" activeCell="A37" sqref="A37"/>
      <pageMargins left="0.7" right="0.7" top="0.75" bottom="0.75" header="0.3" footer="0.3"/>
      <pageSetup paperSize="9" orientation="portrait" r:id="rId13"/>
    </customSheetView>
    <customSheetView guid="{7226EA2B-7866-416F-9240-410CC1BF0336}" scale="55">
      <pane xSplit="1" ySplit="6" topLeftCell="B7" activePane="bottomRight" state="frozen"/>
      <selection pane="bottomRight" activeCell="S17" sqref="S17"/>
      <pageMargins left="0.7" right="0.7" top="0.75" bottom="0.75" header="0.3" footer="0.3"/>
      <pageSetup paperSize="9" orientation="portrait" r:id="rId14"/>
    </customSheetView>
    <customSheetView guid="{F8CAB90F-9980-4EC7-B30B-1637EB515304}" scale="55">
      <pane xSplit="1" ySplit="6" topLeftCell="B52" activePane="bottomRight" state="frozen"/>
      <selection pane="bottomRight" activeCell="G75" sqref="G75"/>
      <pageMargins left="0.7" right="0.7" top="0.75" bottom="0.75" header="0.3" footer="0.3"/>
      <pageSetup paperSize="9" orientation="portrait" r:id="rId15"/>
    </customSheetView>
    <customSheetView guid="{415078CD-EB99-432D-90BA-2F3D5A746E20}" scale="55">
      <pane xSplit="1" ySplit="6" topLeftCell="B52" activePane="bottomRight" state="frozen"/>
      <selection pane="bottomRight" activeCell="G75" sqref="G75"/>
      <pageMargins left="0.7" right="0.7" top="0.75" bottom="0.75" header="0.3" footer="0.3"/>
      <pageSetup paperSize="9" orientation="portrait" r:id="rId16"/>
    </customSheetView>
    <customSheetView guid="{CB4792DB-A624-4844-AEB6-A6ADA80946BB}" scale="55">
      <pane xSplit="1" ySplit="6" topLeftCell="AF43" activePane="bottomRight" state="frozen"/>
      <selection pane="bottomRight" activeCell="AF51" sqref="AF51"/>
      <pageMargins left="0.7" right="0.7" top="0.75" bottom="0.75" header="0.3" footer="0.3"/>
      <pageSetup paperSize="9" orientation="portrait" r:id="rId17"/>
    </customSheetView>
    <customSheetView guid="{0C2B9C2A-7B94-41EF-A2E6-F8AC9A67DE25}" scale="55">
      <pane xSplit="1" ySplit="6" topLeftCell="AF43" activePane="bottomRight" state="frozen"/>
      <selection pane="bottomRight" activeCell="AF51" sqref="AF51"/>
      <pageMargins left="0.7" right="0.7" top="0.75" bottom="0.75" header="0.3" footer="0.3"/>
      <pageSetup paperSize="9" orientation="portrait" r:id="rId18"/>
    </customSheetView>
    <customSheetView guid="{391AB76E-B386-49C1-800F-016A48AA1A46}" scale="55">
      <pane xSplit="1" ySplit="6" topLeftCell="Q7" activePane="bottomRight" state="frozen"/>
      <selection pane="bottomRight" activeCell="AF30" sqref="AF30"/>
      <pageMargins left="0.7" right="0.7" top="0.75" bottom="0.75" header="0.3" footer="0.3"/>
      <pageSetup paperSize="9" orientation="portrait" r:id="rId19"/>
    </customSheetView>
    <customSheetView guid="{959E901C-5DDE-42EE-AE94-AB8976B5E00B}" scale="55">
      <pane xSplit="1" ySplit="6" topLeftCell="X45" activePane="bottomRight" state="frozen"/>
      <selection pane="bottomRight" activeCell="AF49" sqref="AF49"/>
      <pageMargins left="0.7" right="0.7" top="0.75" bottom="0.75" header="0.3" footer="0.3"/>
      <pageSetup paperSize="9" orientation="portrait" r:id="rId20"/>
    </customSheetView>
    <customSheetView guid="{F679EF4A-C5FD-4B86-B87B-D85968E0F2CA}" scale="55">
      <pane xSplit="1" ySplit="6" topLeftCell="B33" activePane="bottomRight" state="frozen"/>
      <selection pane="bottomRight" activeCell="C52" sqref="C52"/>
      <pageMargins left="0.7" right="0.7" top="0.75" bottom="0.75" header="0.3" footer="0.3"/>
      <pageSetup paperSize="9" orientation="portrait" r:id="rId21"/>
    </customSheetView>
    <customSheetView guid="{009B3074-D8EC-4952-BF50-43CD64449612}" scale="55">
      <pane xSplit="1" ySplit="6" topLeftCell="B33" activePane="bottomRight" state="frozen"/>
      <selection pane="bottomRight" activeCell="B41" sqref="B41"/>
      <pageMargins left="0.7" right="0.7" top="0.75" bottom="0.75" header="0.3" footer="0.3"/>
      <pageSetup paperSize="9" orientation="portrait" r:id="rId22"/>
    </customSheetView>
    <customSheetView guid="{770624BF-07F3-44B6-94C3-4CC447CDD45C}" scale="60">
      <pane xSplit="1" ySplit="6" topLeftCell="B7" activePane="bottomRight" state="frozen"/>
      <selection pane="bottomRight" activeCell="AB25" sqref="AB25"/>
      <pageMargins left="0.7" right="0.7" top="0.75" bottom="0.75" header="0.3" footer="0.3"/>
      <pageSetup paperSize="9" orientation="portrait" r:id="rId23"/>
    </customSheetView>
    <customSheetView guid="{B82BA08A-1A30-4F4D-A478-74A6BD09EA97}" scale="60">
      <pane xSplit="1" ySplit="6" topLeftCell="B7" activePane="bottomRight" state="frozen"/>
      <selection pane="bottomRight" activeCell="P79" sqref="P79"/>
      <pageMargins left="0.7" right="0.7" top="0.75" bottom="0.75" header="0.3" footer="0.3"/>
      <pageSetup paperSize="9" orientation="portrait" r:id="rId24"/>
    </customSheetView>
    <customSheetView guid="{874882D1-E741-4CCA-BF0D-E72FA60B771D}" scale="60">
      <pane xSplit="1" ySplit="6" topLeftCell="I64" activePane="bottomRight" state="frozen"/>
      <selection pane="bottomRight" activeCell="A2" sqref="A2:AE2"/>
      <pageMargins left="0.7" right="0.7" top="0.75" bottom="0.75" header="0.3" footer="0.3"/>
      <pageSetup paperSize="9" orientation="portrait" r:id="rId25"/>
    </customSheetView>
    <customSheetView guid="{C236B307-BD63-48C4-A75F-B3F3717BF55C}" scale="60">
      <pane xSplit="1" ySplit="6" topLeftCell="I64" activePane="bottomRight" state="frozen"/>
      <selection pane="bottomRight" activeCell="A2" sqref="A2:AE2"/>
      <pageMargins left="0.7" right="0.7" top="0.75" bottom="0.75" header="0.3" footer="0.3"/>
      <pageSetup paperSize="9" orientation="portrait" r:id="rId26"/>
    </customSheetView>
    <customSheetView guid="{BCD82A82-B724-4763-8580-D765356E09BA}" scale="60">
      <pane xSplit="1" ySplit="6" topLeftCell="I7" activePane="bottomRight" state="frozen"/>
      <selection pane="bottomRight" activeCell="A2" sqref="A2:AE2"/>
      <pageMargins left="0.7" right="0.7" top="0.75" bottom="0.75" header="0.3" footer="0.3"/>
      <pageSetup paperSize="9" orientation="portrait" r:id="rId27"/>
    </customSheetView>
    <customSheetView guid="{85F4575B-DBC5-482A-9916-255D8F0BC94E}" scale="55">
      <pane xSplit="1" ySplit="6" topLeftCell="X54" activePane="bottomRight" state="frozen"/>
      <selection pane="bottomRight" activeCell="A49" sqref="A49"/>
      <pageMargins left="0.7" right="0.7" top="0.75" bottom="0.75" header="0.3" footer="0.3"/>
      <pageSetup paperSize="9" orientation="portrait" r:id="rId28"/>
    </customSheetView>
    <customSheetView guid="{4D0DFB57-2CBA-42F2-9A97-C453A6851FBA}" scale="55">
      <pane xSplit="1" ySplit="6" topLeftCell="B7" activePane="bottomRight" state="frozen"/>
      <selection pane="bottomRight" activeCell="E20" sqref="E20"/>
      <pageMargins left="0.7" right="0.7" top="0.75" bottom="0.75" header="0.3" footer="0.3"/>
      <pageSetup paperSize="9" orientation="portrait" r:id="rId29"/>
    </customSheetView>
    <customSheetView guid="{CE1CCA00-200D-4EAA-9FBE-F8EE7C5F82FE}" scale="55">
      <pane xSplit="1" ySplit="6" topLeftCell="B58" activePane="bottomRight" state="frozen"/>
      <selection pane="bottomRight" activeCell="E20" sqref="E20"/>
      <pageMargins left="0.7" right="0.7" top="0.75" bottom="0.75" header="0.3" footer="0.3"/>
      <pageSetup paperSize="9" orientation="portrait" r:id="rId30"/>
    </customSheetView>
    <customSheetView guid="{AC2D5927-4079-4C74-AF69-1BFAC505648F}" scale="55">
      <pane xSplit="1" ySplit="6" topLeftCell="Q7" activePane="bottomRight" state="frozen"/>
      <selection pane="bottomRight" activeCell="AF30" sqref="AF30"/>
      <pageMargins left="0.7" right="0.7" top="0.75" bottom="0.75" header="0.3" footer="0.3"/>
      <pageSetup paperSize="9" orientation="portrait" r:id="rId31"/>
    </customSheetView>
    <customSheetView guid="{3C3F523F-5F34-4CF7-831E-F1ABC4278CEB}" scale="55">
      <pane xSplit="1" ySplit="6" topLeftCell="AF43" activePane="bottomRight" state="frozen"/>
      <selection pane="bottomRight" activeCell="AF51" sqref="AF51"/>
      <pageMargins left="0.7" right="0.7" top="0.75" bottom="0.75" header="0.3" footer="0.3"/>
      <pageSetup paperSize="9" orientation="portrait" r:id="rId32"/>
    </customSheetView>
    <customSheetView guid="{69DABE6F-6182-4403-A4A2-969F10F1C13A}" scale="55">
      <pane xSplit="1" ySplit="6" topLeftCell="B55" activePane="bottomRight" state="frozen"/>
      <selection pane="bottomRight" activeCell="F82" sqref="F82"/>
      <pageMargins left="0.7" right="0.7" top="0.75" bottom="0.75" header="0.3" footer="0.3"/>
      <pageSetup paperSize="9" orientation="portrait" r:id="rId33"/>
    </customSheetView>
    <customSheetView guid="{DAA8A688-7558-4B5B-8DBD-E2629BD9E9A8}" scale="55">
      <pane xSplit="1" ySplit="6" topLeftCell="B55" activePane="bottomRight" state="frozen"/>
      <selection pane="bottomRight" activeCell="F82" sqref="F82"/>
      <pageMargins left="0.7" right="0.7" top="0.75" bottom="0.75" header="0.3" footer="0.3"/>
      <pageSetup paperSize="9" orientation="portrait" r:id="rId34"/>
    </customSheetView>
    <customSheetView guid="{47B983AB-FE5F-4725-860C-A2F29420596D}" scale="55">
      <pane xSplit="1" ySplit="6" topLeftCell="B55" activePane="bottomRight" state="frozen"/>
      <selection pane="bottomRight" activeCell="F82" sqref="F82"/>
      <pageMargins left="0.7" right="0.7" top="0.75" bottom="0.75" header="0.3" footer="0.3"/>
      <pageSetup paperSize="9" orientation="portrait" r:id="rId35"/>
    </customSheetView>
    <customSheetView guid="{442F2C94-DD1B-4A01-8694-513D4D6F3BD9}" scale="55">
      <pane xSplit="1" ySplit="6" topLeftCell="B7" activePane="bottomRight" state="frozen"/>
      <selection pane="bottomRight" activeCell="C62" sqref="C62"/>
      <pageMargins left="0.7" right="0.7" top="0.75" bottom="0.75" header="0.3" footer="0.3"/>
      <pageSetup paperSize="9" orientation="portrait" r:id="rId36"/>
    </customSheetView>
    <customSheetView guid="{472DFAFE-DC7C-463D-92A0-F6A14555FDD6}" scale="55">
      <pane xSplit="1" ySplit="6" topLeftCell="B7" activePane="bottomRight" state="frozen"/>
      <selection pane="bottomRight" activeCell="C62" sqref="C62"/>
      <pageMargins left="0.7" right="0.7" top="0.75" bottom="0.75" header="0.3" footer="0.3"/>
      <pageSetup paperSize="9" orientation="portrait" r:id="rId37"/>
    </customSheetView>
    <customSheetView guid="{B43381A8-767B-4F49-BD2E-0056691293F3}" scale="55">
      <pane xSplit="1" ySplit="6" topLeftCell="B7" activePane="bottomRight" state="frozen"/>
      <selection pane="bottomRight" activeCell="C62" sqref="C62"/>
      <pageMargins left="0.7" right="0.7" top="0.75" bottom="0.75" header="0.3" footer="0.3"/>
      <pageSetup paperSize="9" orientation="portrait" r:id="rId38"/>
    </customSheetView>
  </customSheetViews>
  <mergeCells count="21">
    <mergeCell ref="V3:W4"/>
    <mergeCell ref="A1:AF1"/>
    <mergeCell ref="A2:AE2"/>
    <mergeCell ref="A3:A4"/>
    <mergeCell ref="B3:B4"/>
    <mergeCell ref="C3:C4"/>
    <mergeCell ref="D3:D4"/>
    <mergeCell ref="E3:E4"/>
    <mergeCell ref="F3:G4"/>
    <mergeCell ref="H3:I4"/>
    <mergeCell ref="J3:K4"/>
    <mergeCell ref="L3:M4"/>
    <mergeCell ref="N3:O4"/>
    <mergeCell ref="P3:Q4"/>
    <mergeCell ref="R3:S4"/>
    <mergeCell ref="T3:U4"/>
    <mergeCell ref="X3:Y4"/>
    <mergeCell ref="Z3:AA4"/>
    <mergeCell ref="AB3:AC4"/>
    <mergeCell ref="AD3:AE4"/>
    <mergeCell ref="AF3:AF5"/>
  </mergeCells>
  <hyperlinks>
    <hyperlink ref="A2:AE2" location="Оглавление!A1" display=" &quot;Управление муниципальным имуществом города Когалыма&quot;"/>
  </hyperlinks>
  <pageMargins left="0.7" right="0.7" top="0.75" bottom="0.75" header="0.3" footer="0.3"/>
  <pageSetup paperSize="9" orientation="portrait" r:id="rId3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46"/>
  <sheetViews>
    <sheetView zoomScale="55" zoomScaleNormal="55" workbookViewId="0">
      <pane xSplit="5" ySplit="6" topLeftCell="U98" activePane="bottomRight" state="frozen"/>
      <selection pane="topRight" activeCell="F1" sqref="F1"/>
      <selection pane="bottomLeft" activeCell="A7" sqref="A7"/>
      <selection pane="bottomRight" activeCell="T88" sqref="T88"/>
    </sheetView>
  </sheetViews>
  <sheetFormatPr defaultRowHeight="15" x14ac:dyDescent="0.25"/>
  <cols>
    <col min="1" max="1" width="46.140625" style="61" customWidth="1"/>
    <col min="2" max="2" width="18.7109375" bestFit="1" customWidth="1"/>
    <col min="3" max="3" width="18.28515625" customWidth="1"/>
    <col min="4" max="4" width="21" customWidth="1"/>
    <col min="5" max="5" width="17.5703125" customWidth="1"/>
    <col min="6" max="6" width="16.5703125" bestFit="1" customWidth="1"/>
    <col min="7" max="7" width="22.42578125" customWidth="1"/>
    <col min="8" max="8" width="15.5703125" bestFit="1" customWidth="1"/>
    <col min="9" max="9" width="15.28515625" customWidth="1"/>
    <col min="10" max="10" width="17.28515625" bestFit="1" customWidth="1"/>
    <col min="11" max="11" width="16.85546875" customWidth="1"/>
    <col min="12" max="12" width="15.5703125" bestFit="1" customWidth="1"/>
    <col min="13" max="13" width="16.42578125" customWidth="1"/>
    <col min="14" max="14" width="17.28515625" bestFit="1" customWidth="1"/>
    <col min="15" max="15" width="14.42578125" bestFit="1" customWidth="1"/>
    <col min="16" max="16" width="17.28515625" bestFit="1" customWidth="1"/>
    <col min="17" max="17" width="17" customWidth="1"/>
    <col min="18" max="18" width="17.28515625" bestFit="1" customWidth="1"/>
    <col min="19" max="19" width="16.7109375" customWidth="1"/>
    <col min="20" max="20" width="17.28515625" bestFit="1" customWidth="1"/>
    <col min="21" max="21" width="15.140625" customWidth="1"/>
    <col min="22" max="22" width="17.28515625" bestFit="1" customWidth="1"/>
    <col min="23" max="23" width="17" customWidth="1"/>
    <col min="24" max="24" width="15.5703125" bestFit="1" customWidth="1"/>
    <col min="25" max="25" width="16.140625" customWidth="1"/>
    <col min="26" max="26" width="17.28515625" bestFit="1" customWidth="1"/>
    <col min="27" max="27" width="16.140625" customWidth="1"/>
    <col min="28" max="28" width="15.5703125" bestFit="1" customWidth="1"/>
    <col min="29" max="29" width="18.42578125" style="616" customWidth="1"/>
    <col min="30" max="30" width="17" bestFit="1" customWidth="1"/>
    <col min="31" max="31" width="15" style="46" bestFit="1" customWidth="1"/>
    <col min="32" max="32" width="32.140625" customWidth="1"/>
    <col min="33" max="33" width="11.7109375" customWidth="1"/>
  </cols>
  <sheetData>
    <row r="1" spans="1:33" ht="18.75" x14ac:dyDescent="0.25">
      <c r="A1" s="1137" t="s">
        <v>0</v>
      </c>
      <c r="B1" s="1137"/>
      <c r="C1" s="1137"/>
      <c r="D1" s="1137"/>
      <c r="E1" s="1137"/>
      <c r="F1" s="1137"/>
      <c r="G1" s="1137"/>
      <c r="H1" s="1137"/>
      <c r="I1" s="1137"/>
      <c r="J1" s="1137"/>
      <c r="K1" s="1137"/>
      <c r="L1" s="1137"/>
      <c r="M1" s="1137"/>
      <c r="N1" s="1137"/>
      <c r="O1" s="1137"/>
      <c r="P1" s="1137"/>
      <c r="Q1" s="1137"/>
      <c r="R1" s="1137"/>
      <c r="S1" s="1137"/>
      <c r="T1" s="1137"/>
      <c r="U1" s="1137"/>
      <c r="V1" s="1137"/>
      <c r="W1" s="1137"/>
      <c r="X1" s="1137"/>
      <c r="Y1" s="1137"/>
      <c r="Z1" s="1137"/>
      <c r="AA1" s="1137"/>
      <c r="AB1" s="1137"/>
      <c r="AC1" s="1137"/>
      <c r="AD1" s="1137"/>
      <c r="AE1" s="1137"/>
      <c r="AF1" s="1137"/>
    </row>
    <row r="2" spans="1:33" ht="18.75" x14ac:dyDescent="0.25">
      <c r="A2" s="1138" t="s">
        <v>94</v>
      </c>
      <c r="B2" s="1138"/>
      <c r="C2" s="1138"/>
      <c r="D2" s="1138"/>
      <c r="E2" s="1138"/>
      <c r="F2" s="1138"/>
      <c r="G2" s="1138"/>
      <c r="H2" s="1138"/>
      <c r="I2" s="1138"/>
      <c r="J2" s="1138"/>
      <c r="K2" s="1138"/>
      <c r="L2" s="1138"/>
      <c r="M2" s="1138"/>
      <c r="N2" s="1138"/>
      <c r="O2" s="1138"/>
      <c r="P2" s="1138"/>
      <c r="Q2" s="1138"/>
      <c r="R2" s="1138"/>
      <c r="S2" s="1138"/>
      <c r="T2" s="1138"/>
      <c r="U2" s="1138"/>
      <c r="V2" s="1138"/>
      <c r="W2" s="1138"/>
      <c r="X2" s="1138"/>
      <c r="Y2" s="1138"/>
      <c r="Z2" s="1138"/>
      <c r="AA2" s="1138"/>
      <c r="AB2" s="1138"/>
      <c r="AC2" s="1138"/>
      <c r="AD2" s="1138"/>
      <c r="AE2" s="1138"/>
      <c r="AF2" s="1" t="s">
        <v>1</v>
      </c>
    </row>
    <row r="3" spans="1:33" x14ac:dyDescent="0.25">
      <c r="A3" s="1139" t="s">
        <v>2</v>
      </c>
      <c r="B3" s="1141" t="s">
        <v>3</v>
      </c>
      <c r="C3" s="1141" t="s">
        <v>3</v>
      </c>
      <c r="D3" s="1141" t="s">
        <v>4</v>
      </c>
      <c r="E3" s="1143" t="s">
        <v>5</v>
      </c>
      <c r="F3" s="1133" t="s">
        <v>6</v>
      </c>
      <c r="G3" s="1134"/>
      <c r="H3" s="1133" t="s">
        <v>7</v>
      </c>
      <c r="I3" s="1134"/>
      <c r="J3" s="1133" t="s">
        <v>8</v>
      </c>
      <c r="K3" s="1134"/>
      <c r="L3" s="1133" t="s">
        <v>9</v>
      </c>
      <c r="M3" s="1134"/>
      <c r="N3" s="1133" t="s">
        <v>10</v>
      </c>
      <c r="O3" s="1134"/>
      <c r="P3" s="1133" t="s">
        <v>11</v>
      </c>
      <c r="Q3" s="1134"/>
      <c r="R3" s="1133" t="s">
        <v>12</v>
      </c>
      <c r="S3" s="1134"/>
      <c r="T3" s="1133" t="s">
        <v>13</v>
      </c>
      <c r="U3" s="1134"/>
      <c r="V3" s="1133" t="s">
        <v>14</v>
      </c>
      <c r="W3" s="1134"/>
      <c r="X3" s="1133" t="s">
        <v>15</v>
      </c>
      <c r="Y3" s="1134"/>
      <c r="Z3" s="1133" t="s">
        <v>16</v>
      </c>
      <c r="AA3" s="1134"/>
      <c r="AB3" s="1133" t="s">
        <v>17</v>
      </c>
      <c r="AC3" s="1134"/>
      <c r="AD3" s="1133" t="s">
        <v>18</v>
      </c>
      <c r="AE3" s="1134"/>
      <c r="AF3" s="1139" t="s">
        <v>19</v>
      </c>
    </row>
    <row r="4" spans="1:33" ht="42.75" customHeight="1" x14ac:dyDescent="0.25">
      <c r="A4" s="1140"/>
      <c r="B4" s="1142"/>
      <c r="C4" s="1142"/>
      <c r="D4" s="1142"/>
      <c r="E4" s="1144"/>
      <c r="F4" s="1135"/>
      <c r="G4" s="1136"/>
      <c r="H4" s="1135"/>
      <c r="I4" s="1136"/>
      <c r="J4" s="1135"/>
      <c r="K4" s="1136"/>
      <c r="L4" s="1135"/>
      <c r="M4" s="1136"/>
      <c r="N4" s="1135"/>
      <c r="O4" s="1136"/>
      <c r="P4" s="1135"/>
      <c r="Q4" s="1136"/>
      <c r="R4" s="1135"/>
      <c r="S4" s="1136"/>
      <c r="T4" s="1135"/>
      <c r="U4" s="1136"/>
      <c r="V4" s="1135"/>
      <c r="W4" s="1136"/>
      <c r="X4" s="1135"/>
      <c r="Y4" s="1136"/>
      <c r="Z4" s="1135"/>
      <c r="AA4" s="1136"/>
      <c r="AB4" s="1135"/>
      <c r="AC4" s="1136"/>
      <c r="AD4" s="1135"/>
      <c r="AE4" s="1136"/>
      <c r="AF4" s="1140"/>
    </row>
    <row r="5" spans="1:33" ht="37.5" x14ac:dyDescent="0.25">
      <c r="A5" s="24"/>
      <c r="B5" s="3">
        <v>2024</v>
      </c>
      <c r="C5" s="4">
        <v>45658</v>
      </c>
      <c r="D5" s="4">
        <v>45658</v>
      </c>
      <c r="E5" s="4">
        <v>45658</v>
      </c>
      <c r="F5" s="5" t="s">
        <v>20</v>
      </c>
      <c r="G5" s="5" t="s">
        <v>21</v>
      </c>
      <c r="H5" s="5" t="s">
        <v>22</v>
      </c>
      <c r="I5" s="5" t="s">
        <v>23</v>
      </c>
      <c r="J5" s="5" t="s">
        <v>22</v>
      </c>
      <c r="K5" s="5" t="s">
        <v>23</v>
      </c>
      <c r="L5" s="5" t="s">
        <v>22</v>
      </c>
      <c r="M5" s="5" t="s">
        <v>23</v>
      </c>
      <c r="N5" s="5" t="s">
        <v>22</v>
      </c>
      <c r="O5" s="5" t="s">
        <v>23</v>
      </c>
      <c r="P5" s="5" t="s">
        <v>22</v>
      </c>
      <c r="Q5" s="5" t="s">
        <v>23</v>
      </c>
      <c r="R5" s="5" t="s">
        <v>22</v>
      </c>
      <c r="S5" s="5" t="s">
        <v>23</v>
      </c>
      <c r="T5" s="5" t="s">
        <v>22</v>
      </c>
      <c r="U5" s="5" t="s">
        <v>23</v>
      </c>
      <c r="V5" s="5" t="s">
        <v>22</v>
      </c>
      <c r="W5" s="5" t="s">
        <v>23</v>
      </c>
      <c r="X5" s="5" t="s">
        <v>22</v>
      </c>
      <c r="Y5" s="5" t="s">
        <v>23</v>
      </c>
      <c r="Z5" s="5" t="s">
        <v>22</v>
      </c>
      <c r="AA5" s="5" t="s">
        <v>23</v>
      </c>
      <c r="AB5" s="5" t="s">
        <v>22</v>
      </c>
      <c r="AC5" s="1020" t="s">
        <v>23</v>
      </c>
      <c r="AD5" s="5" t="s">
        <v>22</v>
      </c>
      <c r="AE5" s="957" t="s">
        <v>23</v>
      </c>
      <c r="AF5" s="1145"/>
    </row>
    <row r="6" spans="1:33" ht="18.75" x14ac:dyDescent="0.25">
      <c r="A6" s="6">
        <v>1</v>
      </c>
      <c r="B6" s="695">
        <v>2</v>
      </c>
      <c r="C6" s="695">
        <v>3</v>
      </c>
      <c r="D6" s="695">
        <v>4</v>
      </c>
      <c r="E6" s="695">
        <v>5</v>
      </c>
      <c r="F6" s="695">
        <v>6</v>
      </c>
      <c r="G6" s="695">
        <v>7</v>
      </c>
      <c r="H6" s="695">
        <v>8</v>
      </c>
      <c r="I6" s="695">
        <v>9</v>
      </c>
      <c r="J6" s="695">
        <v>10</v>
      </c>
      <c r="K6" s="695">
        <v>11</v>
      </c>
      <c r="L6" s="695">
        <v>12</v>
      </c>
      <c r="M6" s="695">
        <v>13</v>
      </c>
      <c r="N6" s="695">
        <v>14</v>
      </c>
      <c r="O6" s="695">
        <v>15</v>
      </c>
      <c r="P6" s="695">
        <v>16</v>
      </c>
      <c r="Q6" s="695">
        <v>17</v>
      </c>
      <c r="R6" s="695">
        <v>18</v>
      </c>
      <c r="S6" s="695">
        <v>19</v>
      </c>
      <c r="T6" s="695">
        <v>20</v>
      </c>
      <c r="U6" s="695">
        <v>21</v>
      </c>
      <c r="V6" s="695">
        <v>22</v>
      </c>
      <c r="W6" s="695">
        <v>23</v>
      </c>
      <c r="X6" s="695">
        <v>24</v>
      </c>
      <c r="Y6" s="695">
        <v>25</v>
      </c>
      <c r="Z6" s="695">
        <v>26</v>
      </c>
      <c r="AA6" s="695">
        <v>27</v>
      </c>
      <c r="AB6" s="695">
        <v>28</v>
      </c>
      <c r="AC6" s="695">
        <v>29</v>
      </c>
      <c r="AD6" s="695">
        <v>30</v>
      </c>
      <c r="AE6" s="958">
        <v>31</v>
      </c>
      <c r="AF6" s="2">
        <v>32</v>
      </c>
    </row>
    <row r="7" spans="1:33" ht="37.5" x14ac:dyDescent="0.25">
      <c r="A7" s="64" t="s">
        <v>95</v>
      </c>
      <c r="B7" s="695"/>
      <c r="C7" s="696"/>
      <c r="D7" s="695"/>
      <c r="E7" s="695"/>
      <c r="F7" s="695"/>
      <c r="G7" s="695"/>
      <c r="H7" s="695"/>
      <c r="I7" s="695"/>
      <c r="J7" s="695"/>
      <c r="K7" s="695"/>
      <c r="L7" s="695"/>
      <c r="M7" s="695"/>
      <c r="N7" s="695"/>
      <c r="O7" s="695"/>
      <c r="P7" s="695"/>
      <c r="Q7" s="695"/>
      <c r="R7" s="695"/>
      <c r="S7" s="695"/>
      <c r="T7" s="695"/>
      <c r="U7" s="695"/>
      <c r="V7" s="695"/>
      <c r="W7" s="695"/>
      <c r="X7" s="695"/>
      <c r="Y7" s="695"/>
      <c r="Z7" s="695"/>
      <c r="AA7" s="695"/>
      <c r="AB7" s="695"/>
      <c r="AC7" s="695"/>
      <c r="AD7" s="695"/>
      <c r="AE7" s="958"/>
      <c r="AF7" s="2"/>
    </row>
    <row r="8" spans="1:33" ht="18.75" x14ac:dyDescent="0.25">
      <c r="A8" s="63" t="s">
        <v>54</v>
      </c>
      <c r="B8" s="695"/>
      <c r="C8" s="695"/>
      <c r="D8" s="695"/>
      <c r="E8" s="695"/>
      <c r="F8" s="695"/>
      <c r="G8" s="695"/>
      <c r="H8" s="695"/>
      <c r="I8" s="695"/>
      <c r="J8" s="695"/>
      <c r="K8" s="695"/>
      <c r="L8" s="695"/>
      <c r="M8" s="695"/>
      <c r="N8" s="695"/>
      <c r="O8" s="695"/>
      <c r="P8" s="695"/>
      <c r="Q8" s="695"/>
      <c r="R8" s="695"/>
      <c r="S8" s="695"/>
      <c r="T8" s="695"/>
      <c r="U8" s="695"/>
      <c r="V8" s="695"/>
      <c r="W8" s="695"/>
      <c r="X8" s="695"/>
      <c r="Y8" s="695"/>
      <c r="Z8" s="695"/>
      <c r="AA8" s="695"/>
      <c r="AB8" s="695"/>
      <c r="AC8" s="695"/>
      <c r="AD8" s="695"/>
      <c r="AE8" s="958"/>
      <c r="AF8" s="2"/>
    </row>
    <row r="9" spans="1:33" ht="56.25" customHeight="1" x14ac:dyDescent="0.25">
      <c r="A9" s="50" t="s">
        <v>96</v>
      </c>
      <c r="B9" s="30">
        <f>B10</f>
        <v>645.09</v>
      </c>
      <c r="C9" s="662">
        <f>C10</f>
        <v>165.77</v>
      </c>
      <c r="D9" s="662">
        <f>D10</f>
        <v>531.34</v>
      </c>
      <c r="E9" s="662">
        <f>E10</f>
        <v>531.34</v>
      </c>
      <c r="F9" s="662"/>
      <c r="G9" s="30"/>
      <c r="H9" s="662"/>
      <c r="I9" s="662"/>
      <c r="J9" s="662"/>
      <c r="K9" s="662"/>
      <c r="L9" s="662"/>
      <c r="M9" s="662"/>
      <c r="N9" s="30"/>
      <c r="O9" s="30"/>
      <c r="P9" s="30"/>
      <c r="Q9" s="30"/>
      <c r="R9" s="30"/>
      <c r="S9" s="30"/>
      <c r="T9" s="30"/>
      <c r="U9" s="30"/>
      <c r="V9" s="30"/>
      <c r="W9" s="30"/>
      <c r="X9" s="30"/>
      <c r="Y9" s="30"/>
      <c r="Z9" s="30"/>
      <c r="AA9" s="30"/>
      <c r="AB9" s="30"/>
      <c r="AC9" s="30"/>
      <c r="AD9" s="30"/>
      <c r="AE9" s="959"/>
      <c r="AF9" s="21"/>
    </row>
    <row r="10" spans="1:33" ht="18.75" x14ac:dyDescent="0.3">
      <c r="A10" s="13" t="s">
        <v>31</v>
      </c>
      <c r="B10" s="47">
        <f>B12+B11</f>
        <v>645.09</v>
      </c>
      <c r="C10" s="658">
        <f>C12+C11</f>
        <v>165.77</v>
      </c>
      <c r="D10" s="658">
        <f>D11+D12</f>
        <v>531.34</v>
      </c>
      <c r="E10" s="658">
        <f>E12+E11</f>
        <v>531.34</v>
      </c>
      <c r="F10" s="659">
        <f>E10/B10*100</f>
        <v>82.366801531569251</v>
      </c>
      <c r="G10" s="32">
        <f>E10/C10*100</f>
        <v>320.52844302346625</v>
      </c>
      <c r="H10" s="658">
        <f>H11+H12</f>
        <v>0</v>
      </c>
      <c r="I10" s="658">
        <f t="shared" ref="I10:AE10" si="0">I11+I12</f>
        <v>0</v>
      </c>
      <c r="J10" s="658">
        <f t="shared" si="0"/>
        <v>0</v>
      </c>
      <c r="K10" s="658">
        <f t="shared" si="0"/>
        <v>0</v>
      </c>
      <c r="L10" s="658">
        <f t="shared" si="0"/>
        <v>0</v>
      </c>
      <c r="M10" s="658">
        <f t="shared" si="0"/>
        <v>0</v>
      </c>
      <c r="N10" s="47">
        <f>N12+N11</f>
        <v>165.77</v>
      </c>
      <c r="O10" s="658">
        <f t="shared" si="0"/>
        <v>154.07</v>
      </c>
      <c r="P10" s="658">
        <f t="shared" si="0"/>
        <v>0</v>
      </c>
      <c r="Q10" s="658">
        <f t="shared" si="0"/>
        <v>6.75</v>
      </c>
      <c r="R10" s="658">
        <f t="shared" si="0"/>
        <v>0</v>
      </c>
      <c r="S10" s="658">
        <f t="shared" si="0"/>
        <v>0</v>
      </c>
      <c r="T10" s="47">
        <v>159.02000000000001</v>
      </c>
      <c r="U10" s="658">
        <f t="shared" si="0"/>
        <v>113.76</v>
      </c>
      <c r="V10" s="658">
        <f t="shared" si="0"/>
        <v>0</v>
      </c>
      <c r="W10" s="658">
        <f t="shared" si="0"/>
        <v>0</v>
      </c>
      <c r="X10" s="658">
        <f t="shared" si="0"/>
        <v>0</v>
      </c>
      <c r="Y10" s="658">
        <f t="shared" si="0"/>
        <v>0</v>
      </c>
      <c r="Z10" s="47">
        <f t="shared" si="0"/>
        <v>159.02000000000001</v>
      </c>
      <c r="AA10" s="658">
        <f t="shared" si="0"/>
        <v>110.87</v>
      </c>
      <c r="AB10" s="658">
        <f t="shared" si="0"/>
        <v>0</v>
      </c>
      <c r="AC10" s="658">
        <f t="shared" si="0"/>
        <v>0</v>
      </c>
      <c r="AD10" s="47">
        <f t="shared" si="0"/>
        <v>161.27000000000001</v>
      </c>
      <c r="AE10" s="960">
        <f t="shared" si="0"/>
        <v>145.88999999999999</v>
      </c>
      <c r="AF10" s="29"/>
      <c r="AG10" s="663"/>
    </row>
    <row r="11" spans="1:33" ht="18.75" x14ac:dyDescent="0.3">
      <c r="A11" s="13" t="s">
        <v>97</v>
      </c>
      <c r="B11" s="47">
        <f>H11+J11+L11+N11+P11+R11+T11+V11+X11+Z11+AB11+AD11</f>
        <v>152.29</v>
      </c>
      <c r="C11" s="658">
        <f>H11+J11+L11+N11</f>
        <v>38.07</v>
      </c>
      <c r="D11" s="658">
        <f>E11</f>
        <v>152.29500000000002</v>
      </c>
      <c r="E11" s="658">
        <f>K11+M11+O11+Q11+S11+U11+W11+Y11+AA11+AC11+AE11</f>
        <v>152.29500000000002</v>
      </c>
      <c r="F11" s="659">
        <f>E11/B11*100</f>
        <v>100.00328320966578</v>
      </c>
      <c r="G11" s="32">
        <f>E11/C11*100</f>
        <v>400.03940110323094</v>
      </c>
      <c r="H11" s="658">
        <v>0</v>
      </c>
      <c r="I11" s="658">
        <v>0</v>
      </c>
      <c r="J11" s="658">
        <v>0</v>
      </c>
      <c r="K11" s="658">
        <v>0</v>
      </c>
      <c r="L11" s="658">
        <v>0</v>
      </c>
      <c r="M11" s="658">
        <v>0</v>
      </c>
      <c r="N11" s="47">
        <v>38.07</v>
      </c>
      <c r="O11" s="658">
        <v>38.07</v>
      </c>
      <c r="P11" s="658"/>
      <c r="Q11" s="658"/>
      <c r="R11" s="658"/>
      <c r="S11" s="658"/>
      <c r="T11" s="47">
        <v>38.08</v>
      </c>
      <c r="U11" s="658">
        <v>38.08</v>
      </c>
      <c r="V11" s="658"/>
      <c r="W11" s="658"/>
      <c r="X11" s="658"/>
      <c r="Y11" s="658"/>
      <c r="Z11" s="47">
        <v>38.07</v>
      </c>
      <c r="AA11" s="658">
        <v>38.07</v>
      </c>
      <c r="AB11" s="658"/>
      <c r="AC11" s="658"/>
      <c r="AD11" s="47">
        <v>38.07</v>
      </c>
      <c r="AE11" s="960">
        <v>38.075000000000003</v>
      </c>
      <c r="AF11" s="29"/>
      <c r="AG11" s="663"/>
    </row>
    <row r="12" spans="1:33" ht="53.25" customHeight="1" x14ac:dyDescent="0.3">
      <c r="A12" s="17" t="s">
        <v>33</v>
      </c>
      <c r="B12" s="47">
        <f>H12+J12+L12+N12+P12+R12+T12+V12+X12+Z12+AB12+AD12</f>
        <v>492.8</v>
      </c>
      <c r="C12" s="658">
        <f>H12+J12+L12+N12</f>
        <v>127.7</v>
      </c>
      <c r="D12" s="658">
        <f>E12</f>
        <v>379.04500000000002</v>
      </c>
      <c r="E12" s="658">
        <f>K12+M12+O12+Q12+S12+U12+W12+Y12+AA12+AC12+AE12+I12</f>
        <v>379.04500000000002</v>
      </c>
      <c r="F12" s="659">
        <f>E12/B12*100</f>
        <v>76.916599025974037</v>
      </c>
      <c r="G12" s="32">
        <f>E12/C12*100</f>
        <v>296.82458888018795</v>
      </c>
      <c r="H12" s="659">
        <v>0</v>
      </c>
      <c r="I12" s="659">
        <v>0</v>
      </c>
      <c r="J12" s="659">
        <v>0</v>
      </c>
      <c r="K12" s="659">
        <v>0</v>
      </c>
      <c r="L12" s="659">
        <v>0</v>
      </c>
      <c r="M12" s="659">
        <v>0</v>
      </c>
      <c r="N12" s="47">
        <v>127.7</v>
      </c>
      <c r="O12" s="658">
        <v>116</v>
      </c>
      <c r="P12" s="658"/>
      <c r="Q12" s="658">
        <v>6.75</v>
      </c>
      <c r="R12" s="658"/>
      <c r="S12" s="658"/>
      <c r="T12" s="47">
        <v>120.95</v>
      </c>
      <c r="U12" s="658">
        <v>75.680000000000007</v>
      </c>
      <c r="V12" s="658"/>
      <c r="W12" s="658"/>
      <c r="X12" s="658"/>
      <c r="Y12" s="658"/>
      <c r="Z12" s="47">
        <v>120.95</v>
      </c>
      <c r="AA12" s="658">
        <v>72.8</v>
      </c>
      <c r="AB12" s="658"/>
      <c r="AC12" s="658"/>
      <c r="AD12" s="47">
        <v>123.2</v>
      </c>
      <c r="AE12" s="1039">
        <v>107.815</v>
      </c>
      <c r="AF12" s="855" t="s">
        <v>574</v>
      </c>
      <c r="AG12" s="663"/>
    </row>
    <row r="13" spans="1:33" ht="37.5" x14ac:dyDescent="0.3">
      <c r="A13" s="71" t="s">
        <v>130</v>
      </c>
      <c r="B13" s="32">
        <f>H13+J13+L13+N13+P13+R13+T13+V13+X13+Z13+AB13+AD13</f>
        <v>65.319999999999993</v>
      </c>
      <c r="C13" s="658">
        <f>H13+J13+L13+N13+P13+R13+T13+V13+X13</f>
        <v>32.659999999999997</v>
      </c>
      <c r="D13" s="658">
        <f>E13</f>
        <v>16.329999999999998</v>
      </c>
      <c r="E13" s="658">
        <f>K13+M13+O13+Q13+S13+U13+W13+Y13+AA13+AC13+AE13+I13</f>
        <v>16.329999999999998</v>
      </c>
      <c r="F13" s="659">
        <f>E13/B13*100</f>
        <v>25</v>
      </c>
      <c r="G13" s="32">
        <f>E13/C13*100</f>
        <v>50</v>
      </c>
      <c r="H13" s="659"/>
      <c r="I13" s="659"/>
      <c r="J13" s="659"/>
      <c r="K13" s="659"/>
      <c r="L13" s="659"/>
      <c r="M13" s="659"/>
      <c r="N13" s="47">
        <v>16.329999999999998</v>
      </c>
      <c r="O13" s="658">
        <v>16.329999999999998</v>
      </c>
      <c r="P13" s="658"/>
      <c r="Q13" s="658"/>
      <c r="R13" s="658"/>
      <c r="S13" s="658"/>
      <c r="T13" s="47">
        <v>16.329999999999998</v>
      </c>
      <c r="U13" s="658"/>
      <c r="V13" s="658"/>
      <c r="W13" s="658"/>
      <c r="X13" s="658"/>
      <c r="Y13" s="658"/>
      <c r="Z13" s="47">
        <v>16.329999999999998</v>
      </c>
      <c r="AA13" s="658"/>
      <c r="AB13" s="658"/>
      <c r="AC13" s="658"/>
      <c r="AD13" s="47">
        <v>16.329999999999998</v>
      </c>
      <c r="AE13" s="1039"/>
      <c r="AF13" s="29"/>
      <c r="AG13" s="663"/>
    </row>
    <row r="14" spans="1:33" ht="112.5" x14ac:dyDescent="0.3">
      <c r="A14" s="50" t="s">
        <v>98</v>
      </c>
      <c r="B14" s="612"/>
      <c r="C14" s="612"/>
      <c r="D14" s="612"/>
      <c r="E14" s="612"/>
      <c r="F14" s="32"/>
      <c r="G14" s="32"/>
      <c r="H14" s="612"/>
      <c r="I14" s="612"/>
      <c r="J14" s="612"/>
      <c r="K14" s="612"/>
      <c r="L14" s="612"/>
      <c r="M14" s="612"/>
      <c r="N14" s="612"/>
      <c r="O14" s="612"/>
      <c r="P14" s="612"/>
      <c r="Q14" s="612"/>
      <c r="R14" s="612"/>
      <c r="S14" s="612"/>
      <c r="T14" s="612"/>
      <c r="U14" s="612"/>
      <c r="V14" s="612"/>
      <c r="W14" s="612"/>
      <c r="X14" s="612"/>
      <c r="Y14" s="612"/>
      <c r="Z14" s="612"/>
      <c r="AA14" s="612"/>
      <c r="AB14" s="612"/>
      <c r="AC14" s="612"/>
      <c r="AD14" s="612"/>
      <c r="AE14" s="961"/>
      <c r="AF14" s="710" t="s">
        <v>596</v>
      </c>
      <c r="AG14" s="663"/>
    </row>
    <row r="15" spans="1:33" ht="18.75" x14ac:dyDescent="0.3">
      <c r="A15" s="13" t="s">
        <v>31</v>
      </c>
      <c r="B15" s="612">
        <f>B16</f>
        <v>9983.5</v>
      </c>
      <c r="C15" s="612">
        <f>C16</f>
        <v>5790.4000000000005</v>
      </c>
      <c r="D15" s="612">
        <f>D16</f>
        <v>2673.51</v>
      </c>
      <c r="E15" s="612">
        <f>E16</f>
        <v>2673.51</v>
      </c>
      <c r="F15" s="32">
        <f>E15/B15*100</f>
        <v>26.779285821605654</v>
      </c>
      <c r="G15" s="32">
        <f>E15/C15*100</f>
        <v>46.171421663442942</v>
      </c>
      <c r="H15" s="612">
        <f>H16</f>
        <v>758.66</v>
      </c>
      <c r="I15" s="612">
        <f t="shared" ref="I15:AE15" si="1">I16</f>
        <v>733.85</v>
      </c>
      <c r="J15" s="612">
        <f t="shared" si="1"/>
        <v>838.79</v>
      </c>
      <c r="K15" s="612">
        <f t="shared" si="1"/>
        <v>646.39</v>
      </c>
      <c r="L15" s="612">
        <f t="shared" si="1"/>
        <v>838.59</v>
      </c>
      <c r="M15" s="612">
        <f t="shared" si="1"/>
        <v>647.1</v>
      </c>
      <c r="N15" s="612">
        <f t="shared" si="1"/>
        <v>838.59</v>
      </c>
      <c r="O15" s="612">
        <f t="shared" si="1"/>
        <v>646.16999999999996</v>
      </c>
      <c r="P15" s="612">
        <f t="shared" si="1"/>
        <v>838.59</v>
      </c>
      <c r="Q15" s="612">
        <f t="shared" si="1"/>
        <v>645.28</v>
      </c>
      <c r="R15" s="612">
        <f t="shared" si="1"/>
        <v>838.59</v>
      </c>
      <c r="S15" s="612">
        <f t="shared" si="1"/>
        <v>645.73</v>
      </c>
      <c r="T15" s="612">
        <f t="shared" si="1"/>
        <v>838.59</v>
      </c>
      <c r="U15" s="612">
        <f t="shared" si="1"/>
        <v>640</v>
      </c>
      <c r="V15" s="612">
        <f t="shared" si="1"/>
        <v>838.59</v>
      </c>
      <c r="W15" s="612">
        <f t="shared" si="1"/>
        <v>639.26</v>
      </c>
      <c r="X15" s="612">
        <f t="shared" si="1"/>
        <v>838.59</v>
      </c>
      <c r="Y15" s="612">
        <f t="shared" si="1"/>
        <v>1339.89</v>
      </c>
      <c r="Z15" s="612">
        <f t="shared" si="1"/>
        <v>838.59</v>
      </c>
      <c r="AA15" s="612">
        <f t="shared" si="1"/>
        <v>645.1</v>
      </c>
      <c r="AB15" s="612">
        <f t="shared" si="1"/>
        <v>838.58</v>
      </c>
      <c r="AC15" s="612">
        <f t="shared" si="1"/>
        <v>645.18499999999995</v>
      </c>
      <c r="AD15" s="612">
        <f t="shared" si="1"/>
        <v>838.75</v>
      </c>
      <c r="AE15" s="961">
        <f t="shared" si="1"/>
        <v>645.75699999999995</v>
      </c>
      <c r="AF15" s="29"/>
      <c r="AG15" s="663"/>
    </row>
    <row r="16" spans="1:33" ht="18.75" x14ac:dyDescent="0.3">
      <c r="A16" s="17" t="s">
        <v>33</v>
      </c>
      <c r="B16" s="47">
        <f>H16+J16+L16+N16+P16+R16+T16+V16+X16+Z16+AB16+AD16</f>
        <v>9983.5</v>
      </c>
      <c r="C16" s="47">
        <f>H16+J16+L16+N16+P16+R16+T16</f>
        <v>5790.4000000000005</v>
      </c>
      <c r="D16" s="47">
        <f>E16</f>
        <v>2673.51</v>
      </c>
      <c r="E16" s="47">
        <f>I16+K16+M16+O16</f>
        <v>2673.51</v>
      </c>
      <c r="F16" s="32">
        <f>E16/B16*100</f>
        <v>26.779285821605654</v>
      </c>
      <c r="G16" s="32">
        <f>E16/C16*100</f>
        <v>46.171421663442942</v>
      </c>
      <c r="H16" s="612">
        <v>758.66</v>
      </c>
      <c r="I16" s="612">
        <v>733.85</v>
      </c>
      <c r="J16" s="612">
        <v>838.79</v>
      </c>
      <c r="K16" s="612">
        <v>646.39</v>
      </c>
      <c r="L16" s="612">
        <v>838.59</v>
      </c>
      <c r="M16" s="612">
        <v>647.1</v>
      </c>
      <c r="N16" s="612">
        <v>838.59</v>
      </c>
      <c r="O16" s="612">
        <v>646.16999999999996</v>
      </c>
      <c r="P16" s="612">
        <v>838.59</v>
      </c>
      <c r="Q16" s="612">
        <v>645.28</v>
      </c>
      <c r="R16" s="612">
        <v>838.59</v>
      </c>
      <c r="S16" s="612">
        <v>645.73</v>
      </c>
      <c r="T16" s="612">
        <v>838.59</v>
      </c>
      <c r="U16" s="612">
        <v>640</v>
      </c>
      <c r="V16" s="612">
        <v>838.59</v>
      </c>
      <c r="W16" s="612">
        <v>639.26</v>
      </c>
      <c r="X16" s="612">
        <v>838.59</v>
      </c>
      <c r="Y16" s="612">
        <v>1339.89</v>
      </c>
      <c r="Z16" s="612">
        <v>838.59</v>
      </c>
      <c r="AA16" s="612">
        <v>645.1</v>
      </c>
      <c r="AB16" s="612">
        <v>838.58</v>
      </c>
      <c r="AC16" s="612">
        <v>645.18499999999995</v>
      </c>
      <c r="AD16" s="612">
        <v>838.75</v>
      </c>
      <c r="AE16" s="961">
        <v>645.75699999999995</v>
      </c>
      <c r="AF16" s="29"/>
      <c r="AG16" s="663"/>
    </row>
    <row r="17" spans="1:33" ht="168.75" x14ac:dyDescent="0.3">
      <c r="A17" s="68" t="s">
        <v>99</v>
      </c>
      <c r="B17" s="612"/>
      <c r="C17" s="612"/>
      <c r="D17" s="612"/>
      <c r="E17" s="612"/>
      <c r="F17" s="32"/>
      <c r="G17" s="32"/>
      <c r="H17" s="612"/>
      <c r="I17" s="612"/>
      <c r="J17" s="612"/>
      <c r="K17" s="612"/>
      <c r="L17" s="612"/>
      <c r="M17" s="612"/>
      <c r="N17" s="612"/>
      <c r="O17" s="612"/>
      <c r="P17" s="612"/>
      <c r="Q17" s="612"/>
      <c r="R17" s="612"/>
      <c r="S17" s="612"/>
      <c r="T17" s="612"/>
      <c r="U17" s="612"/>
      <c r="V17" s="612"/>
      <c r="W17" s="612"/>
      <c r="X17" s="612"/>
      <c r="Y17" s="612"/>
      <c r="Z17" s="612"/>
      <c r="AA17" s="612"/>
      <c r="AB17" s="612"/>
      <c r="AC17" s="612"/>
      <c r="AD17" s="612"/>
      <c r="AE17" s="961"/>
      <c r="AF17" s="805" t="s">
        <v>549</v>
      </c>
      <c r="AG17" s="663"/>
    </row>
    <row r="18" spans="1:33" ht="18.75" x14ac:dyDescent="0.3">
      <c r="A18" s="13" t="s">
        <v>31</v>
      </c>
      <c r="B18" s="612">
        <f>B19+B20</f>
        <v>3114.35</v>
      </c>
      <c r="C18" s="612">
        <f>C19+C20</f>
        <v>1017.0799999999999</v>
      </c>
      <c r="D18" s="612">
        <f>D19+D20</f>
        <v>3232.4369999999999</v>
      </c>
      <c r="E18" s="612">
        <f>E19+E20</f>
        <v>3232.4369999999999</v>
      </c>
      <c r="F18" s="32">
        <f>E18/B18*100</f>
        <v>103.79170613450638</v>
      </c>
      <c r="G18" s="32">
        <f>E18/C18*100</f>
        <v>317.81541275022613</v>
      </c>
      <c r="H18" s="612">
        <f t="shared" ref="H18:AD18" si="2">H19+H20</f>
        <v>351.32</v>
      </c>
      <c r="I18" s="612">
        <f t="shared" si="2"/>
        <v>256.21000000000004</v>
      </c>
      <c r="J18" s="612">
        <f t="shared" si="2"/>
        <v>216.67</v>
      </c>
      <c r="K18" s="612">
        <f t="shared" si="2"/>
        <v>251.63</v>
      </c>
      <c r="L18" s="612">
        <f t="shared" si="2"/>
        <v>385.99</v>
      </c>
      <c r="M18" s="612">
        <f t="shared" si="2"/>
        <v>318.68</v>
      </c>
      <c r="N18" s="612">
        <f t="shared" si="2"/>
        <v>371.54</v>
      </c>
      <c r="O18" s="612">
        <f t="shared" si="2"/>
        <v>276.31</v>
      </c>
      <c r="P18" s="612">
        <f t="shared" si="2"/>
        <v>306.22000000000003</v>
      </c>
      <c r="Q18" s="612">
        <f t="shared" si="2"/>
        <v>263.17</v>
      </c>
      <c r="R18" s="612">
        <f t="shared" si="2"/>
        <v>278.45999999999998</v>
      </c>
      <c r="S18" s="612">
        <f t="shared" si="2"/>
        <v>288.14</v>
      </c>
      <c r="T18" s="612">
        <f t="shared" si="2"/>
        <v>387.73</v>
      </c>
      <c r="U18" s="612">
        <f t="shared" si="2"/>
        <v>555.74</v>
      </c>
      <c r="V18" s="612">
        <f t="shared" si="2"/>
        <v>203.88</v>
      </c>
      <c r="W18" s="612">
        <f t="shared" si="2"/>
        <v>230.77</v>
      </c>
      <c r="X18" s="612">
        <f t="shared" si="2"/>
        <v>150.26</v>
      </c>
      <c r="Y18" s="612">
        <f t="shared" si="2"/>
        <v>122.94</v>
      </c>
      <c r="Z18" s="612">
        <f t="shared" si="2"/>
        <v>116.46</v>
      </c>
      <c r="AA18" s="612">
        <f t="shared" si="2"/>
        <v>186.72000000000003</v>
      </c>
      <c r="AB18" s="612">
        <f t="shared" si="2"/>
        <v>171.61</v>
      </c>
      <c r="AC18" s="612">
        <f t="shared" si="2"/>
        <v>108.72</v>
      </c>
      <c r="AD18" s="612">
        <f t="shared" si="2"/>
        <v>193.08</v>
      </c>
      <c r="AE18" s="961">
        <f>AE19+AE20</f>
        <v>373.40699999999998</v>
      </c>
      <c r="AF18" s="29"/>
      <c r="AG18" s="663"/>
    </row>
    <row r="19" spans="1:33" ht="135" customHeight="1" x14ac:dyDescent="0.3">
      <c r="A19" s="13" t="s">
        <v>97</v>
      </c>
      <c r="B19" s="47">
        <f>H19+J19+L19+N19+P19+R19+T19+V19+X19+Z19+AB19+AD19</f>
        <v>3040.15</v>
      </c>
      <c r="C19" s="47">
        <f>H19+J19+L19</f>
        <v>946.43</v>
      </c>
      <c r="D19" s="47">
        <f>E19</f>
        <v>2958.5189999999998</v>
      </c>
      <c r="E19" s="47">
        <f>K19+M19+O19+Q19+S19+U19+W19+Y19+AA19+AC19+AE19+I19</f>
        <v>2958.5189999999998</v>
      </c>
      <c r="F19" s="32">
        <f>E19/B19*100</f>
        <v>97.314902225219129</v>
      </c>
      <c r="G19" s="32">
        <f>E19/C19*100</f>
        <v>312.5977621165855</v>
      </c>
      <c r="H19" s="612">
        <v>343.77</v>
      </c>
      <c r="I19" s="612">
        <v>248.71</v>
      </c>
      <c r="J19" s="612">
        <v>216.67</v>
      </c>
      <c r="K19" s="612">
        <v>251.63</v>
      </c>
      <c r="L19" s="612">
        <v>385.99</v>
      </c>
      <c r="M19" s="612">
        <v>318.68</v>
      </c>
      <c r="N19" s="612">
        <v>313.99</v>
      </c>
      <c r="O19" s="612">
        <v>270.79000000000002</v>
      </c>
      <c r="P19" s="612">
        <v>306.22000000000003</v>
      </c>
      <c r="Q19" s="612">
        <v>263.17</v>
      </c>
      <c r="R19" s="612">
        <v>278.45999999999998</v>
      </c>
      <c r="S19" s="612">
        <v>288.14</v>
      </c>
      <c r="T19" s="612">
        <v>382.18</v>
      </c>
      <c r="U19" s="612">
        <v>550.19000000000005</v>
      </c>
      <c r="V19" s="612">
        <v>185.01</v>
      </c>
      <c r="W19" s="612">
        <v>211.9</v>
      </c>
      <c r="X19" s="612">
        <v>150.26</v>
      </c>
      <c r="Y19" s="612"/>
      <c r="Z19" s="612">
        <v>112.91</v>
      </c>
      <c r="AA19" s="612">
        <v>138.36000000000001</v>
      </c>
      <c r="AB19" s="612">
        <v>171.61</v>
      </c>
      <c r="AC19" s="612">
        <v>108.72</v>
      </c>
      <c r="AD19" s="612">
        <v>193.08</v>
      </c>
      <c r="AE19" s="961">
        <v>308.22899999999998</v>
      </c>
      <c r="AF19" s="808" t="s">
        <v>507</v>
      </c>
      <c r="AG19" s="663"/>
    </row>
    <row r="20" spans="1:33" ht="18.75" x14ac:dyDescent="0.3">
      <c r="A20" s="17" t="s">
        <v>33</v>
      </c>
      <c r="B20" s="47">
        <f>H20+N20+T20+Z20</f>
        <v>74.199999999999989</v>
      </c>
      <c r="C20" s="47">
        <f>H20+J20+L20+N20+P20+R20+T20</f>
        <v>70.649999999999991</v>
      </c>
      <c r="D20" s="47">
        <f>E20</f>
        <v>273.91800000000001</v>
      </c>
      <c r="E20" s="47">
        <f>K20+M20+O20+Q20+S20+U20+W20+Y20+AA20+AC20+AE20+I20</f>
        <v>273.91800000000001</v>
      </c>
      <c r="F20" s="32">
        <f>E20/B20*100</f>
        <v>369.16172506738548</v>
      </c>
      <c r="G20" s="32">
        <f>E20/C20*100</f>
        <v>387.71125265392789</v>
      </c>
      <c r="H20" s="612">
        <v>7.55</v>
      </c>
      <c r="I20" s="612">
        <v>7.5</v>
      </c>
      <c r="J20" s="612"/>
      <c r="K20" s="612"/>
      <c r="L20" s="612"/>
      <c r="M20" s="612"/>
      <c r="N20" s="612">
        <v>57.55</v>
      </c>
      <c r="O20" s="612">
        <v>5.52</v>
      </c>
      <c r="P20" s="612"/>
      <c r="Q20" s="612"/>
      <c r="R20" s="612"/>
      <c r="S20" s="612"/>
      <c r="T20" s="612">
        <v>5.55</v>
      </c>
      <c r="U20" s="612">
        <v>5.55</v>
      </c>
      <c r="V20" s="612">
        <v>18.87</v>
      </c>
      <c r="W20" s="612">
        <v>18.87</v>
      </c>
      <c r="X20" s="612"/>
      <c r="Y20" s="612">
        <v>122.94</v>
      </c>
      <c r="Z20" s="612">
        <v>3.55</v>
      </c>
      <c r="AA20" s="612">
        <v>48.36</v>
      </c>
      <c r="AB20" s="612"/>
      <c r="AC20" s="612"/>
      <c r="AD20" s="612"/>
      <c r="AE20" s="961">
        <v>65.177999999999997</v>
      </c>
      <c r="AF20" s="29"/>
      <c r="AG20" s="663"/>
    </row>
    <row r="21" spans="1:33" ht="112.5" x14ac:dyDescent="0.3">
      <c r="A21" s="68" t="s">
        <v>101</v>
      </c>
      <c r="B21" s="612"/>
      <c r="C21" s="612"/>
      <c r="D21" s="612"/>
      <c r="E21" s="612"/>
      <c r="F21" s="32"/>
      <c r="G21" s="32"/>
      <c r="H21" s="612"/>
      <c r="I21" s="612"/>
      <c r="J21" s="612"/>
      <c r="K21" s="612"/>
      <c r="L21" s="612"/>
      <c r="M21" s="612"/>
      <c r="N21" s="612"/>
      <c r="O21" s="612"/>
      <c r="P21" s="612"/>
      <c r="Q21" s="612"/>
      <c r="R21" s="612"/>
      <c r="S21" s="612"/>
      <c r="T21" s="612"/>
      <c r="U21" s="612"/>
      <c r="V21" s="612"/>
      <c r="W21" s="612"/>
      <c r="X21" s="612"/>
      <c r="Y21" s="612"/>
      <c r="Z21" s="612"/>
      <c r="AA21" s="612"/>
      <c r="AB21" s="612"/>
      <c r="AC21" s="612"/>
      <c r="AD21" s="612"/>
      <c r="AE21" s="961"/>
      <c r="AF21" s="29"/>
      <c r="AG21" s="663"/>
    </row>
    <row r="22" spans="1:33" ht="18.75" x14ac:dyDescent="0.3">
      <c r="A22" s="13" t="s">
        <v>31</v>
      </c>
      <c r="B22" s="612">
        <f>B23</f>
        <v>2.8</v>
      </c>
      <c r="C22" s="692">
        <f>C23</f>
        <v>2.8</v>
      </c>
      <c r="D22" s="692">
        <f>I22+K22+M22+O22+Q22+S22+U22+W22+Y22+AA22+AC22+AE22</f>
        <v>2.79</v>
      </c>
      <c r="E22" s="692">
        <f>E23</f>
        <v>2.79</v>
      </c>
      <c r="F22" s="659">
        <f>E22/B22*100</f>
        <v>99.642857142857153</v>
      </c>
      <c r="G22" s="32">
        <f>E22/C22*100</f>
        <v>99.642857142857153</v>
      </c>
      <c r="H22" s="692">
        <f>H23</f>
        <v>0</v>
      </c>
      <c r="I22" s="692">
        <f t="shared" ref="I22:AE23" si="3">I23</f>
        <v>0</v>
      </c>
      <c r="J22" s="692">
        <f t="shared" si="3"/>
        <v>0</v>
      </c>
      <c r="K22" s="692">
        <f t="shared" si="3"/>
        <v>0</v>
      </c>
      <c r="L22" s="692">
        <f t="shared" si="3"/>
        <v>0</v>
      </c>
      <c r="M22" s="692">
        <f t="shared" si="3"/>
        <v>0</v>
      </c>
      <c r="N22" s="692">
        <f t="shared" si="3"/>
        <v>0</v>
      </c>
      <c r="O22" s="692">
        <f t="shared" si="3"/>
        <v>0</v>
      </c>
      <c r="P22" s="612">
        <f t="shared" si="3"/>
        <v>2.8</v>
      </c>
      <c r="Q22" s="692">
        <f t="shared" si="3"/>
        <v>2.79</v>
      </c>
      <c r="R22" s="692">
        <f t="shared" si="3"/>
        <v>0</v>
      </c>
      <c r="S22" s="692">
        <f t="shared" si="3"/>
        <v>0</v>
      </c>
      <c r="T22" s="692">
        <f t="shared" si="3"/>
        <v>0</v>
      </c>
      <c r="U22" s="692">
        <f t="shared" si="3"/>
        <v>0</v>
      </c>
      <c r="V22" s="692">
        <f t="shared" si="3"/>
        <v>0</v>
      </c>
      <c r="W22" s="692">
        <f t="shared" si="3"/>
        <v>0</v>
      </c>
      <c r="X22" s="692">
        <f t="shared" si="3"/>
        <v>0</v>
      </c>
      <c r="Y22" s="692">
        <f t="shared" si="3"/>
        <v>0</v>
      </c>
      <c r="Z22" s="692">
        <f t="shared" si="3"/>
        <v>0</v>
      </c>
      <c r="AA22" s="692">
        <f t="shared" si="3"/>
        <v>0</v>
      </c>
      <c r="AB22" s="692">
        <f t="shared" si="3"/>
        <v>0</v>
      </c>
      <c r="AC22" s="692">
        <f t="shared" si="3"/>
        <v>0</v>
      </c>
      <c r="AD22" s="692">
        <f t="shared" si="3"/>
        <v>0</v>
      </c>
      <c r="AE22" s="962">
        <f t="shared" si="3"/>
        <v>0</v>
      </c>
      <c r="AF22" s="29"/>
      <c r="AG22" s="663"/>
    </row>
    <row r="23" spans="1:33" ht="18.75" x14ac:dyDescent="0.3">
      <c r="A23" s="13" t="s">
        <v>102</v>
      </c>
      <c r="B23" s="47">
        <f>H23+J23+L23+N23+P23+R23+T23+V23+X23+Z23+AB23+AD23</f>
        <v>2.8</v>
      </c>
      <c r="C23" s="658">
        <f>H23+J23+L23+N23+P23+R23+T23</f>
        <v>2.8</v>
      </c>
      <c r="D23" s="658">
        <f>I23+K23+M23+O23+Q23+S23+U23+W23+Y23+AA23+AC23+AE23</f>
        <v>2.79</v>
      </c>
      <c r="E23" s="658">
        <f>K23+M23+O23+Q23+S23+U23+W23+Y23+AA23+AC23+AE23</f>
        <v>2.79</v>
      </c>
      <c r="F23" s="659">
        <f>E23/B23*100</f>
        <v>99.642857142857153</v>
      </c>
      <c r="G23" s="32">
        <f>E23/C23*100</f>
        <v>99.642857142857153</v>
      </c>
      <c r="H23" s="692">
        <f>H24</f>
        <v>0</v>
      </c>
      <c r="I23" s="692">
        <f t="shared" si="3"/>
        <v>0</v>
      </c>
      <c r="J23" s="692">
        <f t="shared" si="3"/>
        <v>0</v>
      </c>
      <c r="K23" s="692">
        <f t="shared" si="3"/>
        <v>0</v>
      </c>
      <c r="L23" s="692">
        <f t="shared" si="3"/>
        <v>0</v>
      </c>
      <c r="M23" s="692">
        <f t="shared" si="3"/>
        <v>0</v>
      </c>
      <c r="N23" s="692">
        <f t="shared" si="3"/>
        <v>0</v>
      </c>
      <c r="O23" s="692">
        <f t="shared" si="3"/>
        <v>0</v>
      </c>
      <c r="P23" s="612">
        <v>2.8</v>
      </c>
      <c r="Q23" s="692">
        <v>2.79</v>
      </c>
      <c r="R23" s="692">
        <f t="shared" si="3"/>
        <v>0</v>
      </c>
      <c r="S23" s="692">
        <f t="shared" si="3"/>
        <v>0</v>
      </c>
      <c r="T23" s="692">
        <f t="shared" si="3"/>
        <v>0</v>
      </c>
      <c r="U23" s="692">
        <f t="shared" si="3"/>
        <v>0</v>
      </c>
      <c r="V23" s="692">
        <f t="shared" si="3"/>
        <v>0</v>
      </c>
      <c r="W23" s="692">
        <f t="shared" si="3"/>
        <v>0</v>
      </c>
      <c r="X23" s="692">
        <f t="shared" si="3"/>
        <v>0</v>
      </c>
      <c r="Y23" s="692">
        <f t="shared" si="3"/>
        <v>0</v>
      </c>
      <c r="Z23" s="692">
        <f t="shared" si="3"/>
        <v>0</v>
      </c>
      <c r="AA23" s="692">
        <f t="shared" si="3"/>
        <v>0</v>
      </c>
      <c r="AB23" s="692">
        <f t="shared" si="3"/>
        <v>0</v>
      </c>
      <c r="AC23" s="692">
        <f t="shared" si="3"/>
        <v>0</v>
      </c>
      <c r="AD23" s="692">
        <f t="shared" si="3"/>
        <v>0</v>
      </c>
      <c r="AE23" s="962">
        <f t="shared" si="3"/>
        <v>0</v>
      </c>
      <c r="AF23" s="29"/>
      <c r="AG23" s="663"/>
    </row>
    <row r="24" spans="1:33" ht="93.75" x14ac:dyDescent="0.3">
      <c r="A24" s="48" t="s">
        <v>103</v>
      </c>
      <c r="B24" s="612"/>
      <c r="C24" s="612"/>
      <c r="D24" s="612"/>
      <c r="E24" s="612"/>
      <c r="F24" s="32"/>
      <c r="G24" s="32"/>
      <c r="H24" s="612"/>
      <c r="I24" s="612"/>
      <c r="J24" s="612"/>
      <c r="K24" s="612"/>
      <c r="L24" s="612"/>
      <c r="M24" s="612"/>
      <c r="N24" s="612"/>
      <c r="O24" s="612"/>
      <c r="P24" s="612"/>
      <c r="Q24" s="612"/>
      <c r="R24" s="612"/>
      <c r="S24" s="612"/>
      <c r="T24" s="612"/>
      <c r="U24" s="612"/>
      <c r="V24" s="612"/>
      <c r="W24" s="612"/>
      <c r="X24" s="612"/>
      <c r="Y24" s="612"/>
      <c r="Z24" s="612"/>
      <c r="AA24" s="612"/>
      <c r="AB24" s="612"/>
      <c r="AC24" s="612"/>
      <c r="AD24" s="612"/>
      <c r="AE24" s="961"/>
      <c r="AF24" s="29"/>
      <c r="AG24" s="663"/>
    </row>
    <row r="25" spans="1:33" ht="18.75" x14ac:dyDescent="0.3">
      <c r="A25" s="13" t="s">
        <v>31</v>
      </c>
      <c r="B25" s="612">
        <f>B26</f>
        <v>264.5</v>
      </c>
      <c r="C25" s="692">
        <f>C26</f>
        <v>20.350000000000001</v>
      </c>
      <c r="D25" s="692">
        <f>D26</f>
        <v>0</v>
      </c>
      <c r="E25" s="692">
        <f>E26</f>
        <v>287.78800000000001</v>
      </c>
      <c r="F25" s="659">
        <f>E25/B25*100</f>
        <v>108.80453686200377</v>
      </c>
      <c r="G25" s="32">
        <f>E25/C25*100</f>
        <v>1414.191646191646</v>
      </c>
      <c r="H25" s="692">
        <f>H26</f>
        <v>0</v>
      </c>
      <c r="I25" s="692">
        <f t="shared" ref="I25:AE25" si="4">I26</f>
        <v>0</v>
      </c>
      <c r="J25" s="692">
        <f t="shared" si="4"/>
        <v>0</v>
      </c>
      <c r="K25" s="692">
        <f t="shared" si="4"/>
        <v>0</v>
      </c>
      <c r="L25" s="692">
        <f t="shared" si="4"/>
        <v>0</v>
      </c>
      <c r="M25" s="692">
        <f t="shared" si="4"/>
        <v>0</v>
      </c>
      <c r="N25" s="692">
        <f t="shared" si="4"/>
        <v>0</v>
      </c>
      <c r="O25" s="692">
        <f t="shared" si="4"/>
        <v>0</v>
      </c>
      <c r="P25" s="612">
        <f t="shared" si="4"/>
        <v>10.17</v>
      </c>
      <c r="Q25" s="612">
        <f t="shared" si="4"/>
        <v>0</v>
      </c>
      <c r="R25" s="612">
        <f t="shared" si="4"/>
        <v>10.18</v>
      </c>
      <c r="S25" s="612">
        <f t="shared" si="4"/>
        <v>4.66</v>
      </c>
      <c r="T25" s="612">
        <f t="shared" si="4"/>
        <v>10.18</v>
      </c>
      <c r="U25" s="612">
        <f t="shared" si="4"/>
        <v>4.66</v>
      </c>
      <c r="V25" s="612">
        <f t="shared" si="4"/>
        <v>10.18</v>
      </c>
      <c r="W25" s="612">
        <f t="shared" si="4"/>
        <v>4.66</v>
      </c>
      <c r="X25" s="612">
        <f t="shared" si="4"/>
        <v>10.18</v>
      </c>
      <c r="Y25" s="612">
        <f t="shared" si="4"/>
        <v>4.66</v>
      </c>
      <c r="Z25" s="612">
        <f t="shared" si="4"/>
        <v>10.17</v>
      </c>
      <c r="AA25" s="612">
        <f t="shared" si="4"/>
        <v>9.32</v>
      </c>
      <c r="AB25" s="612">
        <f t="shared" si="4"/>
        <v>10.17</v>
      </c>
      <c r="AC25" s="612">
        <f t="shared" si="4"/>
        <v>98.72</v>
      </c>
      <c r="AD25" s="612">
        <f t="shared" si="4"/>
        <v>193.26999999999998</v>
      </c>
      <c r="AE25" s="961">
        <f t="shared" si="4"/>
        <v>62.387999999999991</v>
      </c>
      <c r="AF25" s="29"/>
      <c r="AG25" s="663"/>
    </row>
    <row r="26" spans="1:33" ht="18.75" x14ac:dyDescent="0.3">
      <c r="A26" s="17" t="s">
        <v>33</v>
      </c>
      <c r="B26" s="47">
        <f>B29+B32+B35+B38</f>
        <v>264.5</v>
      </c>
      <c r="C26" s="658">
        <f>H26+J26+L26+N26+P26+R26</f>
        <v>20.350000000000001</v>
      </c>
      <c r="D26" s="658">
        <f>D29+D32+D35+D38</f>
        <v>0</v>
      </c>
      <c r="E26" s="658">
        <f>E29+E32+E35+E38+AC26</f>
        <v>287.78800000000001</v>
      </c>
      <c r="F26" s="659">
        <f>E26/B26*100</f>
        <v>108.80453686200377</v>
      </c>
      <c r="G26" s="32">
        <f>E26/C26*100</f>
        <v>1414.191646191646</v>
      </c>
      <c r="H26" s="658">
        <f>H29+H32+H35+H38</f>
        <v>0</v>
      </c>
      <c r="I26" s="658">
        <f t="shared" ref="I26:AE26" si="5">I29+I32+I35+I38</f>
        <v>0</v>
      </c>
      <c r="J26" s="658">
        <f t="shared" si="5"/>
        <v>0</v>
      </c>
      <c r="K26" s="658">
        <f t="shared" si="5"/>
        <v>0</v>
      </c>
      <c r="L26" s="658">
        <f t="shared" si="5"/>
        <v>0</v>
      </c>
      <c r="M26" s="658">
        <f t="shared" si="5"/>
        <v>0</v>
      </c>
      <c r="N26" s="658">
        <f t="shared" si="5"/>
        <v>0</v>
      </c>
      <c r="O26" s="658">
        <f t="shared" si="5"/>
        <v>0</v>
      </c>
      <c r="P26" s="47">
        <f t="shared" si="5"/>
        <v>10.17</v>
      </c>
      <c r="Q26" s="47">
        <f t="shared" si="5"/>
        <v>0</v>
      </c>
      <c r="R26" s="47">
        <f t="shared" si="5"/>
        <v>10.18</v>
      </c>
      <c r="S26" s="47">
        <f t="shared" si="5"/>
        <v>4.66</v>
      </c>
      <c r="T26" s="47">
        <f t="shared" si="5"/>
        <v>10.18</v>
      </c>
      <c r="U26" s="47">
        <f t="shared" si="5"/>
        <v>4.66</v>
      </c>
      <c r="V26" s="47">
        <f t="shared" si="5"/>
        <v>10.18</v>
      </c>
      <c r="W26" s="47">
        <f t="shared" si="5"/>
        <v>4.66</v>
      </c>
      <c r="X26" s="47">
        <f t="shared" si="5"/>
        <v>10.18</v>
      </c>
      <c r="Y26" s="47">
        <f t="shared" si="5"/>
        <v>4.66</v>
      </c>
      <c r="Z26" s="47">
        <f t="shared" si="5"/>
        <v>10.17</v>
      </c>
      <c r="AA26" s="47">
        <f t="shared" si="5"/>
        <v>9.32</v>
      </c>
      <c r="AB26" s="47">
        <f t="shared" si="5"/>
        <v>10.17</v>
      </c>
      <c r="AC26" s="47">
        <v>98.72</v>
      </c>
      <c r="AD26" s="47">
        <f t="shared" si="5"/>
        <v>193.26999999999998</v>
      </c>
      <c r="AE26" s="963">
        <f t="shared" si="5"/>
        <v>62.387999999999991</v>
      </c>
      <c r="AF26" s="29"/>
      <c r="AG26" s="663"/>
    </row>
    <row r="27" spans="1:33" ht="112.5" x14ac:dyDescent="0.3">
      <c r="A27" s="17" t="s">
        <v>104</v>
      </c>
      <c r="B27" s="612"/>
      <c r="C27" s="612"/>
      <c r="D27" s="612"/>
      <c r="E27" s="612"/>
      <c r="F27" s="32"/>
      <c r="G27" s="32"/>
      <c r="H27" s="612"/>
      <c r="I27" s="612"/>
      <c r="J27" s="612"/>
      <c r="K27" s="612"/>
      <c r="L27" s="612"/>
      <c r="M27" s="612"/>
      <c r="N27" s="612"/>
      <c r="O27" s="612"/>
      <c r="P27" s="612"/>
      <c r="Q27" s="612"/>
      <c r="R27" s="612"/>
      <c r="S27" s="612"/>
      <c r="T27" s="612"/>
      <c r="U27" s="612"/>
      <c r="V27" s="612"/>
      <c r="W27" s="612"/>
      <c r="X27" s="612"/>
      <c r="Y27" s="612"/>
      <c r="Z27" s="612"/>
      <c r="AA27" s="612"/>
      <c r="AB27" s="612"/>
      <c r="AC27" s="612"/>
      <c r="AD27" s="612"/>
      <c r="AE27" s="961"/>
      <c r="AF27" s="29"/>
      <c r="AG27" s="663"/>
    </row>
    <row r="28" spans="1:33" ht="18.75" x14ac:dyDescent="0.3">
      <c r="A28" s="13" t="s">
        <v>31</v>
      </c>
      <c r="B28" s="612">
        <f>B29</f>
        <v>100</v>
      </c>
      <c r="C28" s="692">
        <f>C29</f>
        <v>0</v>
      </c>
      <c r="D28" s="697"/>
      <c r="E28" s="697">
        <f>E29</f>
        <v>50</v>
      </c>
      <c r="F28" s="661"/>
      <c r="G28" s="661"/>
      <c r="H28" s="692">
        <f t="shared" ref="H28:AC29" si="6">H29</f>
        <v>0</v>
      </c>
      <c r="I28" s="692">
        <f t="shared" si="6"/>
        <v>0</v>
      </c>
      <c r="J28" s="692">
        <f t="shared" si="6"/>
        <v>0</v>
      </c>
      <c r="K28" s="692">
        <f t="shared" si="6"/>
        <v>0</v>
      </c>
      <c r="L28" s="692">
        <f t="shared" si="6"/>
        <v>0</v>
      </c>
      <c r="M28" s="692">
        <f t="shared" si="6"/>
        <v>0</v>
      </c>
      <c r="N28" s="692">
        <f t="shared" si="6"/>
        <v>0</v>
      </c>
      <c r="O28" s="692">
        <f t="shared" si="6"/>
        <v>0</v>
      </c>
      <c r="P28" s="692">
        <f t="shared" si="6"/>
        <v>0</v>
      </c>
      <c r="Q28" s="692">
        <f t="shared" si="6"/>
        <v>0</v>
      </c>
      <c r="R28" s="692">
        <f t="shared" si="6"/>
        <v>0</v>
      </c>
      <c r="S28" s="692">
        <f t="shared" si="6"/>
        <v>0</v>
      </c>
      <c r="T28" s="692">
        <f t="shared" si="6"/>
        <v>0</v>
      </c>
      <c r="U28" s="692">
        <f t="shared" si="6"/>
        <v>0</v>
      </c>
      <c r="V28" s="692">
        <f t="shared" si="6"/>
        <v>0</v>
      </c>
      <c r="W28" s="692">
        <f t="shared" si="6"/>
        <v>0</v>
      </c>
      <c r="X28" s="692">
        <f t="shared" si="6"/>
        <v>0</v>
      </c>
      <c r="Y28" s="692">
        <f t="shared" si="6"/>
        <v>0</v>
      </c>
      <c r="Z28" s="692">
        <f t="shared" si="6"/>
        <v>0</v>
      </c>
      <c r="AA28" s="692">
        <f t="shared" si="6"/>
        <v>0</v>
      </c>
      <c r="AB28" s="692">
        <f t="shared" si="6"/>
        <v>0</v>
      </c>
      <c r="AC28" s="692">
        <f t="shared" si="6"/>
        <v>30</v>
      </c>
      <c r="AD28" s="612">
        <f>AD29</f>
        <v>100</v>
      </c>
      <c r="AE28" s="961">
        <f>AE29</f>
        <v>20</v>
      </c>
      <c r="AF28" s="29"/>
      <c r="AG28" s="663"/>
    </row>
    <row r="29" spans="1:33" ht="18.75" x14ac:dyDescent="0.3">
      <c r="A29" s="17" t="s">
        <v>33</v>
      </c>
      <c r="B29" s="47">
        <f>H29+J29+L29+N29+P29+R29+T29+V29+X29+Z29+AB29+AD29</f>
        <v>100</v>
      </c>
      <c r="C29" s="658">
        <f>H29+J29+L29+N29+P29+R29</f>
        <v>0</v>
      </c>
      <c r="D29" s="565"/>
      <c r="E29" s="658">
        <f>K29+M29+O29+Q29+S29+U29+W29+Y29+AA29+AC29+AE29</f>
        <v>50</v>
      </c>
      <c r="F29" s="659">
        <f>E29/B29*100</f>
        <v>50</v>
      </c>
      <c r="G29" s="32" t="e">
        <f>E29/C29*100</f>
        <v>#DIV/0!</v>
      </c>
      <c r="H29" s="692">
        <f t="shared" si="6"/>
        <v>0</v>
      </c>
      <c r="I29" s="692">
        <f t="shared" si="6"/>
        <v>0</v>
      </c>
      <c r="J29" s="692">
        <f t="shared" si="6"/>
        <v>0</v>
      </c>
      <c r="K29" s="692">
        <f t="shared" si="6"/>
        <v>0</v>
      </c>
      <c r="L29" s="692">
        <f t="shared" si="6"/>
        <v>0</v>
      </c>
      <c r="M29" s="692">
        <f t="shared" si="6"/>
        <v>0</v>
      </c>
      <c r="N29" s="692">
        <f t="shared" si="6"/>
        <v>0</v>
      </c>
      <c r="O29" s="692">
        <f t="shared" si="6"/>
        <v>0</v>
      </c>
      <c r="P29" s="692">
        <f t="shared" si="6"/>
        <v>0</v>
      </c>
      <c r="Q29" s="692">
        <f t="shared" si="6"/>
        <v>0</v>
      </c>
      <c r="R29" s="692">
        <f t="shared" si="6"/>
        <v>0</v>
      </c>
      <c r="S29" s="692">
        <f t="shared" si="6"/>
        <v>0</v>
      </c>
      <c r="T29" s="692">
        <f t="shared" si="6"/>
        <v>0</v>
      </c>
      <c r="U29" s="692">
        <f t="shared" si="6"/>
        <v>0</v>
      </c>
      <c r="V29" s="692">
        <f t="shared" si="6"/>
        <v>0</v>
      </c>
      <c r="W29" s="692">
        <f t="shared" si="6"/>
        <v>0</v>
      </c>
      <c r="X29" s="692">
        <f t="shared" si="6"/>
        <v>0</v>
      </c>
      <c r="Y29" s="692">
        <f t="shared" si="6"/>
        <v>0</v>
      </c>
      <c r="Z29" s="692">
        <f t="shared" si="6"/>
        <v>0</v>
      </c>
      <c r="AA29" s="692">
        <f t="shared" si="6"/>
        <v>0</v>
      </c>
      <c r="AB29" s="692">
        <f t="shared" si="6"/>
        <v>0</v>
      </c>
      <c r="AC29" s="692">
        <v>30</v>
      </c>
      <c r="AD29" s="612">
        <v>100</v>
      </c>
      <c r="AE29" s="961">
        <v>20</v>
      </c>
      <c r="AF29" s="29"/>
      <c r="AG29" s="663"/>
    </row>
    <row r="30" spans="1:33" ht="262.5" x14ac:dyDescent="0.3">
      <c r="A30" s="17" t="s">
        <v>105</v>
      </c>
      <c r="B30" s="612"/>
      <c r="C30" s="612"/>
      <c r="D30" s="612"/>
      <c r="E30" s="612"/>
      <c r="F30" s="32"/>
      <c r="G30" s="32"/>
      <c r="H30" s="612"/>
      <c r="I30" s="612"/>
      <c r="J30" s="612"/>
      <c r="K30" s="612"/>
      <c r="L30" s="612"/>
      <c r="M30" s="612"/>
      <c r="N30" s="612"/>
      <c r="O30" s="612"/>
      <c r="P30" s="612"/>
      <c r="Q30" s="612"/>
      <c r="R30" s="612"/>
      <c r="S30" s="612"/>
      <c r="T30" s="612"/>
      <c r="U30" s="612"/>
      <c r="V30" s="612"/>
      <c r="W30" s="612"/>
      <c r="X30" s="612"/>
      <c r="Y30" s="612"/>
      <c r="Z30" s="612"/>
      <c r="AA30" s="612"/>
      <c r="AB30" s="612"/>
      <c r="AC30" s="612"/>
      <c r="AD30" s="612"/>
      <c r="AE30" s="961"/>
      <c r="AF30" s="29"/>
      <c r="AG30" s="663"/>
    </row>
    <row r="31" spans="1:33" ht="18.75" x14ac:dyDescent="0.3">
      <c r="A31" s="13" t="s">
        <v>31</v>
      </c>
      <c r="B31" s="612">
        <f>B32</f>
        <v>83.1</v>
      </c>
      <c r="C31" s="612">
        <f>C32</f>
        <v>0</v>
      </c>
      <c r="D31" s="612"/>
      <c r="E31" s="612">
        <f>E32</f>
        <v>83.14</v>
      </c>
      <c r="F31" s="32"/>
      <c r="G31" s="32"/>
      <c r="H31" s="612">
        <f>H32</f>
        <v>0</v>
      </c>
      <c r="I31" s="612">
        <f t="shared" ref="I31:AE31" si="7">I32</f>
        <v>0</v>
      </c>
      <c r="J31" s="612">
        <f t="shared" si="7"/>
        <v>0</v>
      </c>
      <c r="K31" s="612">
        <f t="shared" si="7"/>
        <v>0</v>
      </c>
      <c r="L31" s="612">
        <f t="shared" si="7"/>
        <v>0</v>
      </c>
      <c r="M31" s="612">
        <f t="shared" si="7"/>
        <v>0</v>
      </c>
      <c r="N31" s="612">
        <f t="shared" si="7"/>
        <v>0</v>
      </c>
      <c r="O31" s="612">
        <f t="shared" si="7"/>
        <v>0</v>
      </c>
      <c r="P31" s="612">
        <f t="shared" si="7"/>
        <v>0</v>
      </c>
      <c r="Q31" s="612">
        <f t="shared" si="7"/>
        <v>0</v>
      </c>
      <c r="R31" s="612">
        <f t="shared" si="7"/>
        <v>0</v>
      </c>
      <c r="S31" s="612">
        <f t="shared" si="7"/>
        <v>0</v>
      </c>
      <c r="T31" s="612">
        <f t="shared" si="7"/>
        <v>0</v>
      </c>
      <c r="U31" s="612">
        <f t="shared" si="7"/>
        <v>0</v>
      </c>
      <c r="V31" s="612">
        <f t="shared" si="7"/>
        <v>0</v>
      </c>
      <c r="W31" s="612">
        <f t="shared" si="7"/>
        <v>0</v>
      </c>
      <c r="X31" s="612">
        <f t="shared" si="7"/>
        <v>0</v>
      </c>
      <c r="Y31" s="612">
        <f t="shared" si="7"/>
        <v>0</v>
      </c>
      <c r="Z31" s="612">
        <f t="shared" si="7"/>
        <v>0</v>
      </c>
      <c r="AA31" s="612">
        <f t="shared" si="7"/>
        <v>0</v>
      </c>
      <c r="AB31" s="612">
        <f t="shared" si="7"/>
        <v>0</v>
      </c>
      <c r="AC31" s="612">
        <f t="shared" si="7"/>
        <v>59.4</v>
      </c>
      <c r="AD31" s="612">
        <f t="shared" si="7"/>
        <v>83.1</v>
      </c>
      <c r="AE31" s="961">
        <f t="shared" si="7"/>
        <v>23.74</v>
      </c>
      <c r="AF31" s="29"/>
      <c r="AG31" s="663"/>
    </row>
    <row r="32" spans="1:33" ht="18.75" x14ac:dyDescent="0.3">
      <c r="A32" s="17" t="s">
        <v>33</v>
      </c>
      <c r="B32" s="47">
        <f>H32+J32+L32+N32+P32+R32+T32+V32+X32+Z32+AB32+AD32</f>
        <v>83.1</v>
      </c>
      <c r="C32" s="47">
        <f>H32+J32+L32+N32+P32+R32</f>
        <v>0</v>
      </c>
      <c r="D32" s="47"/>
      <c r="E32" s="47">
        <f>K32+M32+O32+Q32+S32+U32+W32+Y32+AA32+AC32+AE32</f>
        <v>83.14</v>
      </c>
      <c r="F32" s="32">
        <f>E32/B32*100</f>
        <v>100.04813477737666</v>
      </c>
      <c r="G32" s="32" t="e">
        <f>E32/C32*100</f>
        <v>#DIV/0!</v>
      </c>
      <c r="H32" s="612"/>
      <c r="I32" s="612"/>
      <c r="J32" s="612"/>
      <c r="K32" s="612"/>
      <c r="L32" s="612"/>
      <c r="M32" s="612"/>
      <c r="N32" s="612"/>
      <c r="O32" s="612"/>
      <c r="P32" s="612"/>
      <c r="Q32" s="612"/>
      <c r="R32" s="612"/>
      <c r="S32" s="612"/>
      <c r="T32" s="612"/>
      <c r="U32" s="612"/>
      <c r="V32" s="612"/>
      <c r="W32" s="612"/>
      <c r="X32" s="612"/>
      <c r="Y32" s="612"/>
      <c r="Z32" s="612"/>
      <c r="AA32" s="612"/>
      <c r="AB32" s="612"/>
      <c r="AC32" s="612">
        <v>59.4</v>
      </c>
      <c r="AD32" s="612">
        <v>83.1</v>
      </c>
      <c r="AE32" s="961">
        <v>23.74</v>
      </c>
      <c r="AF32" s="29"/>
      <c r="AG32" s="663"/>
    </row>
    <row r="33" spans="1:33" ht="131.25" x14ac:dyDescent="0.3">
      <c r="A33" s="17" t="s">
        <v>106</v>
      </c>
      <c r="B33" s="612"/>
      <c r="C33" s="612"/>
      <c r="D33" s="612"/>
      <c r="E33" s="612"/>
      <c r="F33" s="32"/>
      <c r="G33" s="32"/>
      <c r="H33" s="612"/>
      <c r="I33" s="612"/>
      <c r="J33" s="612"/>
      <c r="K33" s="612"/>
      <c r="L33" s="612"/>
      <c r="M33" s="612"/>
      <c r="N33" s="612"/>
      <c r="O33" s="612"/>
      <c r="P33" s="612"/>
      <c r="Q33" s="612"/>
      <c r="R33" s="612"/>
      <c r="S33" s="612"/>
      <c r="T33" s="612"/>
      <c r="U33" s="612"/>
      <c r="V33" s="612"/>
      <c r="W33" s="612"/>
      <c r="X33" s="612"/>
      <c r="Y33" s="612"/>
      <c r="Z33" s="612"/>
      <c r="AA33" s="612"/>
      <c r="AB33" s="612"/>
      <c r="AC33" s="612"/>
      <c r="AD33" s="612"/>
      <c r="AE33" s="961"/>
      <c r="AF33" s="29"/>
      <c r="AG33" s="663"/>
    </row>
    <row r="34" spans="1:33" ht="18.75" x14ac:dyDescent="0.3">
      <c r="A34" s="13" t="s">
        <v>31</v>
      </c>
      <c r="B34" s="692">
        <f>B35</f>
        <v>0</v>
      </c>
      <c r="C34" s="692">
        <f>H34+J34+L34</f>
        <v>0</v>
      </c>
      <c r="D34" s="692">
        <f>D35</f>
        <v>0</v>
      </c>
      <c r="E34" s="692">
        <f>E35</f>
        <v>9.32</v>
      </c>
      <c r="F34" s="660">
        <v>0</v>
      </c>
      <c r="G34" s="660">
        <v>0</v>
      </c>
      <c r="H34" s="698">
        <f>H35</f>
        <v>0</v>
      </c>
      <c r="I34" s="698">
        <f t="shared" ref="I34:Z34" si="8">I35</f>
        <v>0</v>
      </c>
      <c r="J34" s="698">
        <f t="shared" si="8"/>
        <v>0</v>
      </c>
      <c r="K34" s="698">
        <f t="shared" si="8"/>
        <v>0</v>
      </c>
      <c r="L34" s="698">
        <f t="shared" si="8"/>
        <v>0</v>
      </c>
      <c r="M34" s="698">
        <f t="shared" si="8"/>
        <v>0</v>
      </c>
      <c r="N34" s="698">
        <f t="shared" si="8"/>
        <v>0</v>
      </c>
      <c r="O34" s="698">
        <f t="shared" si="8"/>
        <v>0</v>
      </c>
      <c r="P34" s="698">
        <f t="shared" si="8"/>
        <v>0</v>
      </c>
      <c r="Q34" s="698">
        <f t="shared" si="8"/>
        <v>0</v>
      </c>
      <c r="R34" s="698">
        <f t="shared" si="8"/>
        <v>0</v>
      </c>
      <c r="S34" s="698">
        <f t="shared" si="8"/>
        <v>0</v>
      </c>
      <c r="T34" s="698">
        <f t="shared" si="8"/>
        <v>0</v>
      </c>
      <c r="U34" s="698">
        <f t="shared" si="8"/>
        <v>0</v>
      </c>
      <c r="V34" s="698">
        <f t="shared" si="8"/>
        <v>0</v>
      </c>
      <c r="W34" s="698">
        <f t="shared" si="8"/>
        <v>0</v>
      </c>
      <c r="X34" s="698">
        <f t="shared" si="8"/>
        <v>0</v>
      </c>
      <c r="Y34" s="698">
        <f t="shared" si="8"/>
        <v>0</v>
      </c>
      <c r="Z34" s="698">
        <f t="shared" si="8"/>
        <v>0</v>
      </c>
      <c r="AA34" s="698">
        <f>AA35</f>
        <v>0</v>
      </c>
      <c r="AB34" s="698">
        <f>AB35</f>
        <v>0</v>
      </c>
      <c r="AC34" s="698">
        <f>AC35</f>
        <v>9.32</v>
      </c>
      <c r="AD34" s="698">
        <f>AD35</f>
        <v>0</v>
      </c>
      <c r="AE34" s="964">
        <f>AE35</f>
        <v>0</v>
      </c>
      <c r="AF34" s="29"/>
      <c r="AG34" s="663"/>
    </row>
    <row r="35" spans="1:33" ht="18.75" x14ac:dyDescent="0.3">
      <c r="A35" s="17" t="s">
        <v>33</v>
      </c>
      <c r="B35" s="658">
        <v>0</v>
      </c>
      <c r="C35" s="658">
        <f>H35+J35+L35+N35+P35+R35</f>
        <v>0</v>
      </c>
      <c r="D35" s="658">
        <f>I35+K35+M35+O35+Q35</f>
        <v>0</v>
      </c>
      <c r="E35" s="47">
        <f>K35+M35+O35+Q35+S35+U35+W35+Y35+AA35+AC35+AE35</f>
        <v>9.32</v>
      </c>
      <c r="F35" s="660">
        <v>0</v>
      </c>
      <c r="G35" s="660">
        <v>0</v>
      </c>
      <c r="H35" s="698">
        <v>0</v>
      </c>
      <c r="I35" s="698">
        <v>0</v>
      </c>
      <c r="J35" s="698">
        <v>0</v>
      </c>
      <c r="K35" s="698">
        <v>0</v>
      </c>
      <c r="L35" s="698">
        <v>0</v>
      </c>
      <c r="M35" s="698">
        <v>0</v>
      </c>
      <c r="N35" s="698">
        <v>0</v>
      </c>
      <c r="O35" s="698">
        <v>0</v>
      </c>
      <c r="P35" s="698">
        <v>0</v>
      </c>
      <c r="Q35" s="698">
        <v>0</v>
      </c>
      <c r="R35" s="698">
        <v>0</v>
      </c>
      <c r="S35" s="698">
        <v>0</v>
      </c>
      <c r="T35" s="698">
        <v>0</v>
      </c>
      <c r="U35" s="698">
        <v>0</v>
      </c>
      <c r="V35" s="698">
        <v>0</v>
      </c>
      <c r="W35" s="698">
        <v>0</v>
      </c>
      <c r="X35" s="698">
        <v>0</v>
      </c>
      <c r="Y35" s="698">
        <v>0</v>
      </c>
      <c r="Z35" s="698">
        <v>0</v>
      </c>
      <c r="AA35" s="698">
        <v>0</v>
      </c>
      <c r="AB35" s="698">
        <v>0</v>
      </c>
      <c r="AC35" s="698">
        <v>9.32</v>
      </c>
      <c r="AD35" s="698">
        <v>0</v>
      </c>
      <c r="AE35" s="964">
        <v>0</v>
      </c>
      <c r="AF35" s="29"/>
      <c r="AG35" s="663"/>
    </row>
    <row r="36" spans="1:33" ht="131.25" x14ac:dyDescent="0.3">
      <c r="A36" s="17" t="s">
        <v>107</v>
      </c>
      <c r="B36" s="612"/>
      <c r="C36" s="612"/>
      <c r="D36" s="612"/>
      <c r="E36" s="612"/>
      <c r="F36" s="32"/>
      <c r="G36" s="32"/>
      <c r="H36" s="612"/>
      <c r="I36" s="612"/>
      <c r="J36" s="612"/>
      <c r="K36" s="612"/>
      <c r="L36" s="612"/>
      <c r="M36" s="612"/>
      <c r="N36" s="612"/>
      <c r="O36" s="612"/>
      <c r="P36" s="612"/>
      <c r="Q36" s="612"/>
      <c r="R36" s="612"/>
      <c r="S36" s="612"/>
      <c r="T36" s="612"/>
      <c r="U36" s="612"/>
      <c r="V36" s="612"/>
      <c r="W36" s="612"/>
      <c r="X36" s="612"/>
      <c r="Y36" s="612"/>
      <c r="Z36" s="612"/>
      <c r="AA36" s="612"/>
      <c r="AB36" s="612"/>
      <c r="AC36" s="612"/>
      <c r="AD36" s="612"/>
      <c r="AE36" s="961"/>
      <c r="AF36" s="969" t="s">
        <v>578</v>
      </c>
      <c r="AG36" s="663"/>
    </row>
    <row r="37" spans="1:33" ht="18.75" x14ac:dyDescent="0.3">
      <c r="A37" s="13" t="s">
        <v>31</v>
      </c>
      <c r="B37" s="612">
        <f>B38</f>
        <v>81.400000000000006</v>
      </c>
      <c r="C37" s="692">
        <f>C38</f>
        <v>20.350000000000001</v>
      </c>
      <c r="D37" s="692">
        <f>D38</f>
        <v>0</v>
      </c>
      <c r="E37" s="692">
        <f>E38</f>
        <v>46.608000000000004</v>
      </c>
      <c r="F37" s="659">
        <f>E37/B37*100</f>
        <v>57.257985257985254</v>
      </c>
      <c r="G37" s="32">
        <f>E37/C37*100</f>
        <v>229.03194103194102</v>
      </c>
      <c r="H37" s="692">
        <f>H38</f>
        <v>0</v>
      </c>
      <c r="I37" s="692">
        <f t="shared" ref="I37:AD38" si="9">I38</f>
        <v>0</v>
      </c>
      <c r="J37" s="692">
        <f t="shared" si="9"/>
        <v>0</v>
      </c>
      <c r="K37" s="692">
        <f t="shared" si="9"/>
        <v>0</v>
      </c>
      <c r="L37" s="692">
        <f t="shared" si="9"/>
        <v>0</v>
      </c>
      <c r="M37" s="692">
        <f t="shared" si="9"/>
        <v>0</v>
      </c>
      <c r="N37" s="692">
        <f t="shared" si="9"/>
        <v>0</v>
      </c>
      <c r="O37" s="692">
        <f t="shared" si="9"/>
        <v>0</v>
      </c>
      <c r="P37" s="612">
        <f t="shared" si="9"/>
        <v>10.17</v>
      </c>
      <c r="Q37" s="612">
        <f t="shared" si="9"/>
        <v>0</v>
      </c>
      <c r="R37" s="612">
        <f t="shared" si="9"/>
        <v>10.18</v>
      </c>
      <c r="S37" s="612">
        <f t="shared" si="9"/>
        <v>4.66</v>
      </c>
      <c r="T37" s="612">
        <f t="shared" si="9"/>
        <v>10.18</v>
      </c>
      <c r="U37" s="612">
        <f t="shared" si="9"/>
        <v>4.66</v>
      </c>
      <c r="V37" s="612">
        <f t="shared" si="9"/>
        <v>10.18</v>
      </c>
      <c r="W37" s="612">
        <f t="shared" si="9"/>
        <v>4.66</v>
      </c>
      <c r="X37" s="612">
        <f t="shared" si="9"/>
        <v>10.18</v>
      </c>
      <c r="Y37" s="612">
        <f t="shared" si="9"/>
        <v>4.66</v>
      </c>
      <c r="Z37" s="612">
        <f t="shared" si="9"/>
        <v>10.17</v>
      </c>
      <c r="AA37" s="612">
        <f t="shared" si="9"/>
        <v>9.32</v>
      </c>
      <c r="AB37" s="612">
        <f t="shared" si="9"/>
        <v>10.17</v>
      </c>
      <c r="AC37" s="612">
        <f t="shared" si="9"/>
        <v>0</v>
      </c>
      <c r="AD37" s="612">
        <f t="shared" si="9"/>
        <v>10.17</v>
      </c>
      <c r="AE37" s="961">
        <f>AE38</f>
        <v>18.648</v>
      </c>
      <c r="AF37" s="29"/>
      <c r="AG37" s="663"/>
    </row>
    <row r="38" spans="1:33" ht="18.75" x14ac:dyDescent="0.3">
      <c r="A38" s="17" t="s">
        <v>33</v>
      </c>
      <c r="B38" s="47">
        <f>H38+J38+L38+N38+P38+R38+T38+V38+X38+Z38+AB38+AD38</f>
        <v>81.400000000000006</v>
      </c>
      <c r="C38" s="658">
        <f>H38+J38+L38+N38+P38+R38</f>
        <v>20.350000000000001</v>
      </c>
      <c r="D38" s="692">
        <f>D39</f>
        <v>0</v>
      </c>
      <c r="E38" s="47">
        <f>K38+M38+O38+Q38+S38+U38+W38+Y38+AA38+AC38+AE38</f>
        <v>46.608000000000004</v>
      </c>
      <c r="F38" s="659">
        <f>E38/B38*100</f>
        <v>57.257985257985254</v>
      </c>
      <c r="G38" s="32">
        <f>E38/C38*100</f>
        <v>229.03194103194102</v>
      </c>
      <c r="H38" s="692">
        <f>H39</f>
        <v>0</v>
      </c>
      <c r="I38" s="692">
        <f t="shared" si="9"/>
        <v>0</v>
      </c>
      <c r="J38" s="692">
        <f t="shared" si="9"/>
        <v>0</v>
      </c>
      <c r="K38" s="692">
        <f t="shared" si="9"/>
        <v>0</v>
      </c>
      <c r="L38" s="692">
        <f t="shared" si="9"/>
        <v>0</v>
      </c>
      <c r="M38" s="692">
        <f t="shared" si="9"/>
        <v>0</v>
      </c>
      <c r="N38" s="692">
        <f t="shared" si="9"/>
        <v>0</v>
      </c>
      <c r="O38" s="692">
        <f t="shared" si="9"/>
        <v>0</v>
      </c>
      <c r="P38" s="612">
        <v>10.17</v>
      </c>
      <c r="Q38" s="612"/>
      <c r="R38" s="612">
        <v>10.18</v>
      </c>
      <c r="S38" s="612">
        <v>4.66</v>
      </c>
      <c r="T38" s="612">
        <v>10.18</v>
      </c>
      <c r="U38" s="612">
        <v>4.66</v>
      </c>
      <c r="V38" s="612">
        <v>10.18</v>
      </c>
      <c r="W38" s="612">
        <v>4.66</v>
      </c>
      <c r="X38" s="612">
        <v>10.18</v>
      </c>
      <c r="Y38" s="612">
        <v>4.66</v>
      </c>
      <c r="Z38" s="612">
        <v>10.17</v>
      </c>
      <c r="AA38" s="612">
        <v>9.32</v>
      </c>
      <c r="AB38" s="612">
        <v>10.17</v>
      </c>
      <c r="AC38" s="612"/>
      <c r="AD38" s="612">
        <v>10.17</v>
      </c>
      <c r="AE38" s="961">
        <v>18.648</v>
      </c>
      <c r="AF38" s="29"/>
      <c r="AG38" s="663"/>
    </row>
    <row r="39" spans="1:33" ht="56.25" x14ac:dyDescent="0.3">
      <c r="A39" s="68" t="s">
        <v>108</v>
      </c>
      <c r="B39" s="612"/>
      <c r="C39" s="612"/>
      <c r="D39" s="612"/>
      <c r="E39" s="612"/>
      <c r="F39" s="32"/>
      <c r="G39" s="32"/>
      <c r="H39" s="612"/>
      <c r="I39" s="612"/>
      <c r="J39" s="612"/>
      <c r="K39" s="612"/>
      <c r="L39" s="612"/>
      <c r="M39" s="612"/>
      <c r="N39" s="612"/>
      <c r="O39" s="612"/>
      <c r="P39" s="612"/>
      <c r="Q39" s="612"/>
      <c r="R39" s="612"/>
      <c r="S39" s="612"/>
      <c r="T39" s="612"/>
      <c r="U39" s="612"/>
      <c r="V39" s="612"/>
      <c r="W39" s="612"/>
      <c r="X39" s="612"/>
      <c r="Y39" s="612"/>
      <c r="Z39" s="612"/>
      <c r="AA39" s="612"/>
      <c r="AB39" s="612"/>
      <c r="AC39" s="612"/>
      <c r="AD39" s="612"/>
      <c r="AE39" s="961"/>
      <c r="AF39" s="29"/>
      <c r="AG39" s="663"/>
    </row>
    <row r="40" spans="1:33" ht="18.75" x14ac:dyDescent="0.3">
      <c r="A40" s="13" t="s">
        <v>31</v>
      </c>
      <c r="B40" s="612">
        <f>B41</f>
        <v>514.6</v>
      </c>
      <c r="C40" s="612">
        <f>C41</f>
        <v>481.3</v>
      </c>
      <c r="D40" s="612">
        <f>D41</f>
        <v>481.3</v>
      </c>
      <c r="E40" s="612">
        <f>E41</f>
        <v>316.3</v>
      </c>
      <c r="F40" s="32">
        <f>E40/B40*100</f>
        <v>61.465215701515739</v>
      </c>
      <c r="G40" s="32">
        <f>E40/C40*100</f>
        <v>65.717847496364016</v>
      </c>
      <c r="H40" s="612">
        <f>H41</f>
        <v>266.3</v>
      </c>
      <c r="I40" s="612">
        <f t="shared" ref="I40:AE40" si="10">I41</f>
        <v>108</v>
      </c>
      <c r="J40" s="612">
        <f t="shared" si="10"/>
        <v>50</v>
      </c>
      <c r="K40" s="612">
        <f t="shared" si="10"/>
        <v>208.3</v>
      </c>
      <c r="L40" s="692">
        <f t="shared" si="10"/>
        <v>0</v>
      </c>
      <c r="M40" s="692">
        <f t="shared" si="10"/>
        <v>0</v>
      </c>
      <c r="N40" s="692">
        <f t="shared" si="10"/>
        <v>0</v>
      </c>
      <c r="O40" s="692">
        <f t="shared" si="10"/>
        <v>0</v>
      </c>
      <c r="P40" s="612">
        <f t="shared" si="10"/>
        <v>165</v>
      </c>
      <c r="Q40" s="692">
        <f t="shared" si="10"/>
        <v>165</v>
      </c>
      <c r="R40" s="692">
        <f t="shared" si="10"/>
        <v>0</v>
      </c>
      <c r="S40" s="692">
        <f t="shared" si="10"/>
        <v>0</v>
      </c>
      <c r="T40" s="692">
        <f t="shared" si="10"/>
        <v>0</v>
      </c>
      <c r="U40" s="692">
        <f t="shared" si="10"/>
        <v>0</v>
      </c>
      <c r="V40" s="692">
        <f t="shared" si="10"/>
        <v>0</v>
      </c>
      <c r="W40" s="692">
        <f t="shared" si="10"/>
        <v>0</v>
      </c>
      <c r="X40" s="692">
        <f t="shared" si="10"/>
        <v>0</v>
      </c>
      <c r="Y40" s="692">
        <f t="shared" si="10"/>
        <v>0</v>
      </c>
      <c r="Z40" s="692">
        <f t="shared" si="10"/>
        <v>0</v>
      </c>
      <c r="AA40" s="692">
        <f t="shared" si="10"/>
        <v>0</v>
      </c>
      <c r="AB40" s="692">
        <f t="shared" si="10"/>
        <v>0</v>
      </c>
      <c r="AC40" s="692">
        <f t="shared" si="10"/>
        <v>0</v>
      </c>
      <c r="AD40" s="612">
        <f t="shared" si="10"/>
        <v>33.299999999999997</v>
      </c>
      <c r="AE40" s="962">
        <f t="shared" si="10"/>
        <v>0</v>
      </c>
      <c r="AF40" s="29"/>
      <c r="AG40" s="663"/>
    </row>
    <row r="41" spans="1:33" ht="18.75" x14ac:dyDescent="0.3">
      <c r="A41" s="17" t="s">
        <v>33</v>
      </c>
      <c r="B41" s="612">
        <f>B44+B47</f>
        <v>514.6</v>
      </c>
      <c r="C41" s="612">
        <f>C44+C47</f>
        <v>481.3</v>
      </c>
      <c r="D41" s="612">
        <f>D44+D47</f>
        <v>481.3</v>
      </c>
      <c r="E41" s="699">
        <f>E43</f>
        <v>316.3</v>
      </c>
      <c r="F41" s="32">
        <f>E41/B41*100</f>
        <v>61.465215701515739</v>
      </c>
      <c r="G41" s="32">
        <f>E41/C41*100</f>
        <v>65.717847496364016</v>
      </c>
      <c r="H41" s="612">
        <f t="shared" ref="H41:AE41" si="11">H44+H47</f>
        <v>266.3</v>
      </c>
      <c r="I41" s="612">
        <f t="shared" si="11"/>
        <v>108</v>
      </c>
      <c r="J41" s="612">
        <f t="shared" si="11"/>
        <v>50</v>
      </c>
      <c r="K41" s="612">
        <f t="shared" si="11"/>
        <v>208.3</v>
      </c>
      <c r="L41" s="692">
        <f t="shared" si="11"/>
        <v>0</v>
      </c>
      <c r="M41" s="692">
        <f t="shared" si="11"/>
        <v>0</v>
      </c>
      <c r="N41" s="692">
        <f t="shared" si="11"/>
        <v>0</v>
      </c>
      <c r="O41" s="692">
        <f t="shared" si="11"/>
        <v>0</v>
      </c>
      <c r="P41" s="612">
        <f t="shared" si="11"/>
        <v>165</v>
      </c>
      <c r="Q41" s="692">
        <f t="shared" si="11"/>
        <v>165</v>
      </c>
      <c r="R41" s="692">
        <f t="shared" si="11"/>
        <v>0</v>
      </c>
      <c r="S41" s="692">
        <f t="shared" si="11"/>
        <v>0</v>
      </c>
      <c r="T41" s="692">
        <f t="shared" si="11"/>
        <v>0</v>
      </c>
      <c r="U41" s="692">
        <f t="shared" si="11"/>
        <v>0</v>
      </c>
      <c r="V41" s="692">
        <f t="shared" si="11"/>
        <v>0</v>
      </c>
      <c r="W41" s="692">
        <f t="shared" si="11"/>
        <v>0</v>
      </c>
      <c r="X41" s="692">
        <f t="shared" si="11"/>
        <v>0</v>
      </c>
      <c r="Y41" s="692">
        <f t="shared" si="11"/>
        <v>0</v>
      </c>
      <c r="Z41" s="692">
        <f t="shared" si="11"/>
        <v>0</v>
      </c>
      <c r="AA41" s="692">
        <f t="shared" si="11"/>
        <v>0</v>
      </c>
      <c r="AB41" s="692">
        <f t="shared" si="11"/>
        <v>0</v>
      </c>
      <c r="AC41" s="692">
        <f t="shared" si="11"/>
        <v>0</v>
      </c>
      <c r="AD41" s="612">
        <f t="shared" si="11"/>
        <v>33.299999999999997</v>
      </c>
      <c r="AE41" s="962">
        <f t="shared" si="11"/>
        <v>0</v>
      </c>
      <c r="AF41" s="709"/>
      <c r="AG41" s="663"/>
    </row>
    <row r="42" spans="1:33" ht="206.25" x14ac:dyDescent="0.3">
      <c r="A42" s="17" t="s">
        <v>109</v>
      </c>
      <c r="B42" s="612"/>
      <c r="C42" s="612"/>
      <c r="D42" s="612"/>
      <c r="E42" s="612"/>
      <c r="F42" s="32"/>
      <c r="G42" s="32"/>
      <c r="H42" s="612"/>
      <c r="I42" s="612"/>
      <c r="J42" s="612"/>
      <c r="K42" s="612"/>
      <c r="L42" s="612"/>
      <c r="M42" s="612"/>
      <c r="N42" s="612"/>
      <c r="O42" s="612"/>
      <c r="P42" s="612"/>
      <c r="Q42" s="612"/>
      <c r="R42" s="612"/>
      <c r="S42" s="612"/>
      <c r="T42" s="612"/>
      <c r="U42" s="612"/>
      <c r="V42" s="612"/>
      <c r="W42" s="612"/>
      <c r="X42" s="612"/>
      <c r="Y42" s="612"/>
      <c r="Z42" s="612"/>
      <c r="AA42" s="612"/>
      <c r="AB42" s="612"/>
      <c r="AC42" s="612"/>
      <c r="AD42" s="612"/>
      <c r="AE42" s="961"/>
      <c r="AF42" s="29"/>
      <c r="AG42" s="663"/>
    </row>
    <row r="43" spans="1:33" ht="18.75" x14ac:dyDescent="0.3">
      <c r="A43" s="13" t="s">
        <v>31</v>
      </c>
      <c r="B43" s="612">
        <f>B44</f>
        <v>349.6</v>
      </c>
      <c r="C43" s="612">
        <f>C44</f>
        <v>316.3</v>
      </c>
      <c r="D43" s="612">
        <f>D44</f>
        <v>316.3</v>
      </c>
      <c r="E43" s="612">
        <f>E44</f>
        <v>316.3</v>
      </c>
      <c r="F43" s="32">
        <f>E43/B43*100</f>
        <v>90.474828375286037</v>
      </c>
      <c r="G43" s="32">
        <f>G44</f>
        <v>100</v>
      </c>
      <c r="H43" s="612">
        <f>H44</f>
        <v>266.3</v>
      </c>
      <c r="I43" s="612">
        <f t="shared" ref="I43:AE44" si="12">I44</f>
        <v>108</v>
      </c>
      <c r="J43" s="612">
        <f t="shared" si="12"/>
        <v>50</v>
      </c>
      <c r="K43" s="612">
        <f t="shared" si="12"/>
        <v>208.3</v>
      </c>
      <c r="L43" s="692">
        <f t="shared" si="12"/>
        <v>0</v>
      </c>
      <c r="M43" s="692">
        <f t="shared" si="12"/>
        <v>0</v>
      </c>
      <c r="N43" s="692">
        <f t="shared" si="12"/>
        <v>0</v>
      </c>
      <c r="O43" s="692">
        <f t="shared" si="12"/>
        <v>0</v>
      </c>
      <c r="P43" s="692">
        <f t="shared" si="12"/>
        <v>0</v>
      </c>
      <c r="Q43" s="692">
        <f t="shared" si="12"/>
        <v>0</v>
      </c>
      <c r="R43" s="692">
        <f t="shared" si="12"/>
        <v>0</v>
      </c>
      <c r="S43" s="692">
        <f t="shared" si="12"/>
        <v>0</v>
      </c>
      <c r="T43" s="692">
        <f t="shared" si="12"/>
        <v>0</v>
      </c>
      <c r="U43" s="692">
        <f t="shared" si="12"/>
        <v>0</v>
      </c>
      <c r="V43" s="692">
        <f t="shared" si="12"/>
        <v>0</v>
      </c>
      <c r="W43" s="692">
        <f t="shared" si="12"/>
        <v>0</v>
      </c>
      <c r="X43" s="692">
        <f t="shared" si="12"/>
        <v>0</v>
      </c>
      <c r="Y43" s="692">
        <f t="shared" si="12"/>
        <v>0</v>
      </c>
      <c r="Z43" s="692">
        <f t="shared" si="12"/>
        <v>0</v>
      </c>
      <c r="AA43" s="692">
        <f t="shared" si="12"/>
        <v>0</v>
      </c>
      <c r="AB43" s="692">
        <f t="shared" si="12"/>
        <v>0</v>
      </c>
      <c r="AC43" s="692">
        <f t="shared" si="12"/>
        <v>0</v>
      </c>
      <c r="AD43" s="612">
        <f t="shared" si="12"/>
        <v>33.299999999999997</v>
      </c>
      <c r="AE43" s="961">
        <f t="shared" si="12"/>
        <v>0</v>
      </c>
      <c r="AF43" s="29"/>
      <c r="AG43" s="663"/>
    </row>
    <row r="44" spans="1:33" ht="18.75" x14ac:dyDescent="0.3">
      <c r="A44" s="17" t="s">
        <v>33</v>
      </c>
      <c r="B44" s="47">
        <f>H44+J44+L44+N44+P44+R44+T44+V44+X44+Z44+AB44+AD44</f>
        <v>349.6</v>
      </c>
      <c r="C44" s="47">
        <f>H44+J44+L44+N44+P44+R44</f>
        <v>316.3</v>
      </c>
      <c r="D44" s="47">
        <f>E44</f>
        <v>316.3</v>
      </c>
      <c r="E44" s="47">
        <f>I44+K44</f>
        <v>316.3</v>
      </c>
      <c r="F44" s="32">
        <f>E44/B44*100</f>
        <v>90.474828375286037</v>
      </c>
      <c r="G44" s="32">
        <f>E44/C44*100</f>
        <v>100</v>
      </c>
      <c r="H44" s="612">
        <v>266.3</v>
      </c>
      <c r="I44" s="612">
        <v>108</v>
      </c>
      <c r="J44" s="612">
        <v>50</v>
      </c>
      <c r="K44" s="612">
        <v>208.3</v>
      </c>
      <c r="L44" s="692">
        <f t="shared" si="12"/>
        <v>0</v>
      </c>
      <c r="M44" s="692">
        <f t="shared" si="12"/>
        <v>0</v>
      </c>
      <c r="N44" s="692">
        <f t="shared" si="12"/>
        <v>0</v>
      </c>
      <c r="O44" s="692">
        <f t="shared" si="12"/>
        <v>0</v>
      </c>
      <c r="P44" s="692">
        <f t="shared" si="12"/>
        <v>0</v>
      </c>
      <c r="Q44" s="692">
        <f t="shared" si="12"/>
        <v>0</v>
      </c>
      <c r="R44" s="692">
        <f t="shared" si="12"/>
        <v>0</v>
      </c>
      <c r="S44" s="692">
        <f t="shared" si="12"/>
        <v>0</v>
      </c>
      <c r="T44" s="692">
        <f t="shared" si="12"/>
        <v>0</v>
      </c>
      <c r="U44" s="692">
        <f t="shared" si="12"/>
        <v>0</v>
      </c>
      <c r="V44" s="692">
        <f t="shared" si="12"/>
        <v>0</v>
      </c>
      <c r="W44" s="692">
        <f t="shared" si="12"/>
        <v>0</v>
      </c>
      <c r="X44" s="692">
        <f t="shared" si="12"/>
        <v>0</v>
      </c>
      <c r="Y44" s="692">
        <f t="shared" si="12"/>
        <v>0</v>
      </c>
      <c r="Z44" s="692">
        <f t="shared" si="12"/>
        <v>0</v>
      </c>
      <c r="AA44" s="692">
        <f t="shared" si="12"/>
        <v>0</v>
      </c>
      <c r="AB44" s="692">
        <f t="shared" si="12"/>
        <v>0</v>
      </c>
      <c r="AC44" s="692">
        <f t="shared" si="12"/>
        <v>0</v>
      </c>
      <c r="AD44" s="612">
        <v>33.299999999999997</v>
      </c>
      <c r="AE44" s="961"/>
      <c r="AF44" s="29"/>
      <c r="AG44" s="663"/>
    </row>
    <row r="45" spans="1:33" ht="93.75" x14ac:dyDescent="0.3">
      <c r="A45" s="17" t="s">
        <v>110</v>
      </c>
      <c r="B45" s="612"/>
      <c r="C45" s="612"/>
      <c r="D45" s="612"/>
      <c r="E45" s="612"/>
      <c r="F45" s="32"/>
      <c r="G45" s="32"/>
      <c r="H45" s="612"/>
      <c r="I45" s="612"/>
      <c r="J45" s="612"/>
      <c r="K45" s="612"/>
      <c r="L45" s="612"/>
      <c r="M45" s="612"/>
      <c r="N45" s="612"/>
      <c r="O45" s="612"/>
      <c r="P45" s="612"/>
      <c r="Q45" s="612"/>
      <c r="R45" s="612"/>
      <c r="S45" s="612"/>
      <c r="T45" s="612"/>
      <c r="U45" s="612"/>
      <c r="V45" s="612"/>
      <c r="W45" s="612"/>
      <c r="X45" s="612"/>
      <c r="Y45" s="612"/>
      <c r="Z45" s="612"/>
      <c r="AA45" s="612"/>
      <c r="AB45" s="612"/>
      <c r="AC45" s="612"/>
      <c r="AD45" s="612"/>
      <c r="AE45" s="961"/>
      <c r="AF45" s="29"/>
      <c r="AG45" s="663"/>
    </row>
    <row r="46" spans="1:33" ht="18.75" x14ac:dyDescent="0.3">
      <c r="A46" s="13" t="s">
        <v>31</v>
      </c>
      <c r="B46" s="612">
        <f>B47</f>
        <v>165</v>
      </c>
      <c r="C46" s="612">
        <f>C47</f>
        <v>165</v>
      </c>
      <c r="D46" s="612">
        <f>D47</f>
        <v>165</v>
      </c>
      <c r="E46" s="612">
        <f>E47</f>
        <v>165</v>
      </c>
      <c r="F46" s="32">
        <f>E46/B46*100</f>
        <v>100</v>
      </c>
      <c r="G46" s="32">
        <f>G47</f>
        <v>100</v>
      </c>
      <c r="H46" s="612">
        <f>H47</f>
        <v>0</v>
      </c>
      <c r="I46" s="612">
        <f t="shared" ref="I46:AE46" si="13">I47</f>
        <v>0</v>
      </c>
      <c r="J46" s="612">
        <f t="shared" si="13"/>
        <v>0</v>
      </c>
      <c r="K46" s="612">
        <f t="shared" si="13"/>
        <v>0</v>
      </c>
      <c r="L46" s="612">
        <f t="shared" si="13"/>
        <v>0</v>
      </c>
      <c r="M46" s="612">
        <f t="shared" si="13"/>
        <v>0</v>
      </c>
      <c r="N46" s="612">
        <f t="shared" si="13"/>
        <v>0</v>
      </c>
      <c r="O46" s="612">
        <f t="shared" si="13"/>
        <v>0</v>
      </c>
      <c r="P46" s="612">
        <f t="shared" si="13"/>
        <v>165</v>
      </c>
      <c r="Q46" s="612">
        <f t="shared" si="13"/>
        <v>165</v>
      </c>
      <c r="R46" s="612">
        <f t="shared" si="13"/>
        <v>0</v>
      </c>
      <c r="S46" s="612">
        <f t="shared" si="13"/>
        <v>0</v>
      </c>
      <c r="T46" s="612">
        <f t="shared" si="13"/>
        <v>0</v>
      </c>
      <c r="U46" s="612">
        <f t="shared" si="13"/>
        <v>0</v>
      </c>
      <c r="V46" s="612">
        <f t="shared" si="13"/>
        <v>0</v>
      </c>
      <c r="W46" s="612">
        <f t="shared" si="13"/>
        <v>0</v>
      </c>
      <c r="X46" s="612">
        <f t="shared" si="13"/>
        <v>0</v>
      </c>
      <c r="Y46" s="612">
        <f t="shared" si="13"/>
        <v>0</v>
      </c>
      <c r="Z46" s="612">
        <f t="shared" si="13"/>
        <v>0</v>
      </c>
      <c r="AA46" s="612">
        <f t="shared" si="13"/>
        <v>0</v>
      </c>
      <c r="AB46" s="612">
        <f t="shared" si="13"/>
        <v>0</v>
      </c>
      <c r="AC46" s="612">
        <f t="shared" si="13"/>
        <v>0</v>
      </c>
      <c r="AD46" s="612">
        <f t="shared" si="13"/>
        <v>0</v>
      </c>
      <c r="AE46" s="961">
        <f t="shared" si="13"/>
        <v>0</v>
      </c>
      <c r="AF46" s="29"/>
      <c r="AG46" s="663"/>
    </row>
    <row r="47" spans="1:33" ht="18.75" x14ac:dyDescent="0.3">
      <c r="A47" s="17" t="s">
        <v>33</v>
      </c>
      <c r="B47" s="47">
        <f>H47+J47+L47+N47+P47+R47+T47+V47+X47+Z47+AB47+AD47</f>
        <v>165</v>
      </c>
      <c r="C47" s="47">
        <f>H47+J47+L47+N47+P47+R47</f>
        <v>165</v>
      </c>
      <c r="D47" s="47">
        <f>E47</f>
        <v>165</v>
      </c>
      <c r="E47" s="47">
        <f>K47+M47+O47+Q47+S47+U47+W47+Y47+AA47+AC47+AE47+I47</f>
        <v>165</v>
      </c>
      <c r="F47" s="32">
        <f>E47/B47*100</f>
        <v>100</v>
      </c>
      <c r="G47" s="32">
        <f>E47/C47*100</f>
        <v>100</v>
      </c>
      <c r="H47" s="612"/>
      <c r="I47" s="612"/>
      <c r="J47" s="612"/>
      <c r="K47" s="612"/>
      <c r="L47" s="612"/>
      <c r="M47" s="612"/>
      <c r="N47" s="612"/>
      <c r="O47" s="612"/>
      <c r="P47" s="612">
        <v>165</v>
      </c>
      <c r="Q47" s="612">
        <v>165</v>
      </c>
      <c r="R47" s="612"/>
      <c r="S47" s="612"/>
      <c r="T47" s="612"/>
      <c r="U47" s="612"/>
      <c r="V47" s="612"/>
      <c r="W47" s="612"/>
      <c r="X47" s="612"/>
      <c r="Y47" s="612"/>
      <c r="Z47" s="612"/>
      <c r="AA47" s="612"/>
      <c r="AB47" s="612"/>
      <c r="AC47" s="612"/>
      <c r="AD47" s="612"/>
      <c r="AE47" s="961"/>
      <c r="AF47" s="29"/>
      <c r="AG47" s="663"/>
    </row>
    <row r="48" spans="1:33" ht="318.75" x14ac:dyDescent="0.3">
      <c r="A48" s="807" t="s">
        <v>129</v>
      </c>
      <c r="B48" s="612"/>
      <c r="C48" s="612"/>
      <c r="D48" s="612"/>
      <c r="E48" s="612"/>
      <c r="F48" s="32"/>
      <c r="G48" s="32"/>
      <c r="H48" s="612"/>
      <c r="I48" s="612"/>
      <c r="J48" s="612"/>
      <c r="K48" s="612"/>
      <c r="L48" s="612"/>
      <c r="M48" s="612"/>
      <c r="N48" s="612"/>
      <c r="O48" s="612"/>
      <c r="P48" s="612"/>
      <c r="Q48" s="612"/>
      <c r="R48" s="612"/>
      <c r="S48" s="612"/>
      <c r="T48" s="612"/>
      <c r="U48" s="612"/>
      <c r="V48" s="612"/>
      <c r="W48" s="612"/>
      <c r="X48" s="612"/>
      <c r="Y48" s="612"/>
      <c r="Z48" s="612"/>
      <c r="AA48" s="612"/>
      <c r="AB48" s="612"/>
      <c r="AC48" s="612"/>
      <c r="AD48" s="612"/>
      <c r="AE48" s="961"/>
      <c r="AF48" s="806" t="s">
        <v>550</v>
      </c>
      <c r="AG48" s="663"/>
    </row>
    <row r="49" spans="1:33" ht="18.75" x14ac:dyDescent="0.3">
      <c r="A49" s="13" t="s">
        <v>31</v>
      </c>
      <c r="B49" s="612">
        <f>B50</f>
        <v>810.6</v>
      </c>
      <c r="C49" s="612">
        <f>C50</f>
        <v>0</v>
      </c>
      <c r="D49" s="612"/>
      <c r="E49" s="612">
        <f>E50</f>
        <v>591.97</v>
      </c>
      <c r="F49" s="32"/>
      <c r="G49" s="32"/>
      <c r="H49" s="612">
        <f>H50</f>
        <v>0</v>
      </c>
      <c r="I49" s="612">
        <f t="shared" ref="I49:AE49" si="14">I50</f>
        <v>0</v>
      </c>
      <c r="J49" s="612">
        <f t="shared" si="14"/>
        <v>0</v>
      </c>
      <c r="K49" s="612">
        <f t="shared" si="14"/>
        <v>0</v>
      </c>
      <c r="L49" s="612">
        <f t="shared" si="14"/>
        <v>0</v>
      </c>
      <c r="M49" s="612">
        <f t="shared" si="14"/>
        <v>0</v>
      </c>
      <c r="N49" s="612">
        <f t="shared" si="14"/>
        <v>0</v>
      </c>
      <c r="O49" s="612">
        <f t="shared" si="14"/>
        <v>0</v>
      </c>
      <c r="P49" s="612">
        <f t="shared" si="14"/>
        <v>0</v>
      </c>
      <c r="Q49" s="612">
        <f t="shared" si="14"/>
        <v>591.97</v>
      </c>
      <c r="R49" s="612">
        <f t="shared" si="14"/>
        <v>0</v>
      </c>
      <c r="S49" s="612">
        <f t="shared" si="14"/>
        <v>0</v>
      </c>
      <c r="T49" s="612">
        <f t="shared" si="14"/>
        <v>0</v>
      </c>
      <c r="U49" s="612">
        <f t="shared" si="14"/>
        <v>0</v>
      </c>
      <c r="V49" s="612">
        <f t="shared" si="14"/>
        <v>0</v>
      </c>
      <c r="W49" s="612">
        <f t="shared" si="14"/>
        <v>0</v>
      </c>
      <c r="X49" s="612">
        <f t="shared" si="14"/>
        <v>0</v>
      </c>
      <c r="Y49" s="612">
        <f t="shared" si="14"/>
        <v>0</v>
      </c>
      <c r="Z49" s="612">
        <f t="shared" si="14"/>
        <v>810.6</v>
      </c>
      <c r="AA49" s="612">
        <f t="shared" si="14"/>
        <v>0</v>
      </c>
      <c r="AB49" s="612">
        <f t="shared" si="14"/>
        <v>0</v>
      </c>
      <c r="AC49" s="612">
        <f t="shared" si="14"/>
        <v>0</v>
      </c>
      <c r="AD49" s="612">
        <f t="shared" si="14"/>
        <v>0</v>
      </c>
      <c r="AE49" s="961">
        <f t="shared" si="14"/>
        <v>0</v>
      </c>
      <c r="AF49" s="29"/>
      <c r="AG49" s="663"/>
    </row>
    <row r="50" spans="1:33" ht="18.75" x14ac:dyDescent="0.3">
      <c r="A50" s="17" t="s">
        <v>33</v>
      </c>
      <c r="B50" s="47">
        <f>H50+J50+L50+N50+P50+R50+T50+V50+X50+Z50+AB50+AD50</f>
        <v>810.6</v>
      </c>
      <c r="C50" s="47">
        <f>H50+J50+L50+N50+P50+R50</f>
        <v>0</v>
      </c>
      <c r="D50" s="47"/>
      <c r="E50" s="47">
        <f>K50+M50+O50+Q50+S50+U50+W50+Y50+AA50+AC50+AE50+I50</f>
        <v>591.97</v>
      </c>
      <c r="F50" s="32">
        <f>E50/B50*100</f>
        <v>73.028620774734762</v>
      </c>
      <c r="G50" s="32" t="e">
        <f>E50/C50*100</f>
        <v>#DIV/0!</v>
      </c>
      <c r="H50" s="612"/>
      <c r="I50" s="612"/>
      <c r="J50" s="612"/>
      <c r="K50" s="612"/>
      <c r="L50" s="612"/>
      <c r="M50" s="612"/>
      <c r="N50" s="612"/>
      <c r="O50" s="612"/>
      <c r="P50" s="612"/>
      <c r="Q50" s="612">
        <v>591.97</v>
      </c>
      <c r="R50" s="612"/>
      <c r="S50" s="612"/>
      <c r="T50" s="612"/>
      <c r="U50" s="612"/>
      <c r="V50" s="612"/>
      <c r="W50" s="612"/>
      <c r="X50" s="612"/>
      <c r="Y50" s="612"/>
      <c r="Z50" s="612">
        <v>810.6</v>
      </c>
      <c r="AA50" s="612"/>
      <c r="AB50" s="612"/>
      <c r="AC50" s="612"/>
      <c r="AD50" s="612"/>
      <c r="AE50" s="961"/>
      <c r="AF50" s="29"/>
      <c r="AG50" s="663"/>
    </row>
    <row r="51" spans="1:33" ht="18.75" x14ac:dyDescent="0.3">
      <c r="A51" s="53" t="s">
        <v>53</v>
      </c>
      <c r="B51" s="612"/>
      <c r="C51" s="612"/>
      <c r="D51" s="612"/>
      <c r="E51" s="612"/>
      <c r="F51" s="32"/>
      <c r="G51" s="32"/>
      <c r="H51" s="612"/>
      <c r="I51" s="612"/>
      <c r="J51" s="612"/>
      <c r="K51" s="612"/>
      <c r="L51" s="612"/>
      <c r="M51" s="612"/>
      <c r="N51" s="612"/>
      <c r="O51" s="612"/>
      <c r="P51" s="612"/>
      <c r="Q51" s="612"/>
      <c r="R51" s="612"/>
      <c r="S51" s="612"/>
      <c r="T51" s="612"/>
      <c r="U51" s="612"/>
      <c r="V51" s="612"/>
      <c r="W51" s="612"/>
      <c r="X51" s="612"/>
      <c r="Y51" s="612"/>
      <c r="Z51" s="612"/>
      <c r="AA51" s="612"/>
      <c r="AB51" s="612"/>
      <c r="AC51" s="612"/>
      <c r="AD51" s="612"/>
      <c r="AE51" s="961"/>
      <c r="AF51" s="29"/>
      <c r="AG51" s="663"/>
    </row>
    <row r="52" spans="1:33" ht="18.75" x14ac:dyDescent="0.3">
      <c r="A52" s="13" t="s">
        <v>31</v>
      </c>
      <c r="B52" s="612">
        <f>B9+B15+B18+B22+B25+B40+B49</f>
        <v>15335.44</v>
      </c>
      <c r="C52" s="612">
        <f>C53+C54+C55</f>
        <v>7477.7000000000007</v>
      </c>
      <c r="D52" s="612">
        <f>D53+D54+D55</f>
        <v>6921.3770000000004</v>
      </c>
      <c r="E52" s="612">
        <f>E53+E54+E55</f>
        <v>7044.1650000000009</v>
      </c>
      <c r="F52" s="32">
        <f t="shared" ref="F52:G56" si="15">D52/B52*100</f>
        <v>45.133214306208366</v>
      </c>
      <c r="G52" s="32">
        <f t="shared" si="15"/>
        <v>94.202294823274542</v>
      </c>
      <c r="H52" s="612">
        <f>H53+H54+H55</f>
        <v>1376.28</v>
      </c>
      <c r="I52" s="612">
        <f t="shared" ref="I52:AE52" si="16">I53+I54+I55</f>
        <v>1098.06</v>
      </c>
      <c r="J52" s="612">
        <f t="shared" si="16"/>
        <v>1105.46</v>
      </c>
      <c r="K52" s="612">
        <f t="shared" si="16"/>
        <v>1106.3200000000002</v>
      </c>
      <c r="L52" s="612">
        <f t="shared" si="16"/>
        <v>1224.58</v>
      </c>
      <c r="M52" s="612">
        <f t="shared" si="16"/>
        <v>965.78</v>
      </c>
      <c r="N52" s="612">
        <f t="shared" si="16"/>
        <v>1375.9</v>
      </c>
      <c r="O52" s="612">
        <f t="shared" si="16"/>
        <v>1076.55</v>
      </c>
      <c r="P52" s="612">
        <f t="shared" si="16"/>
        <v>1322.78</v>
      </c>
      <c r="Q52" s="612">
        <f t="shared" si="16"/>
        <v>1674.96</v>
      </c>
      <c r="R52" s="612">
        <f t="shared" si="16"/>
        <v>1127.23</v>
      </c>
      <c r="S52" s="612">
        <f t="shared" si="16"/>
        <v>938.53</v>
      </c>
      <c r="T52" s="612">
        <f t="shared" si="16"/>
        <v>1395.53</v>
      </c>
      <c r="U52" s="612">
        <f t="shared" si="16"/>
        <v>1314.16</v>
      </c>
      <c r="V52" s="612">
        <f t="shared" si="16"/>
        <v>1052.6500000000001</v>
      </c>
      <c r="W52" s="612">
        <f t="shared" si="16"/>
        <v>874.68999999999994</v>
      </c>
      <c r="X52" s="612">
        <f t="shared" si="16"/>
        <v>999.03</v>
      </c>
      <c r="Y52" s="612">
        <f t="shared" si="16"/>
        <v>1467.4900000000002</v>
      </c>
      <c r="Z52" s="612">
        <f t="shared" si="16"/>
        <v>1934.8400000000001</v>
      </c>
      <c r="AA52" s="612">
        <f t="shared" si="16"/>
        <v>952.01</v>
      </c>
      <c r="AB52" s="612">
        <f t="shared" si="16"/>
        <v>1020.36</v>
      </c>
      <c r="AC52" s="612">
        <f t="shared" si="16"/>
        <v>852.625</v>
      </c>
      <c r="AD52" s="612">
        <f t="shared" si="16"/>
        <v>1419.67</v>
      </c>
      <c r="AE52" s="961">
        <f t="shared" si="16"/>
        <v>1227.442</v>
      </c>
      <c r="AF52" s="29"/>
      <c r="AG52" s="663"/>
    </row>
    <row r="53" spans="1:33" ht="18.75" x14ac:dyDescent="0.3">
      <c r="A53" s="13" t="s">
        <v>102</v>
      </c>
      <c r="B53" s="612">
        <f>B23</f>
        <v>2.8</v>
      </c>
      <c r="C53" s="612">
        <f>C23</f>
        <v>2.8</v>
      </c>
      <c r="D53" s="612">
        <f>D23</f>
        <v>2.79</v>
      </c>
      <c r="E53" s="612">
        <f>E23</f>
        <v>2.79</v>
      </c>
      <c r="F53" s="32">
        <f t="shared" si="15"/>
        <v>99.642857142857153</v>
      </c>
      <c r="G53" s="32">
        <f t="shared" si="15"/>
        <v>99.642857142857153</v>
      </c>
      <c r="H53" s="612">
        <f>H23</f>
        <v>0</v>
      </c>
      <c r="I53" s="612">
        <f t="shared" ref="I53:AE53" si="17">I23</f>
        <v>0</v>
      </c>
      <c r="J53" s="612">
        <f t="shared" si="17"/>
        <v>0</v>
      </c>
      <c r="K53" s="612">
        <f t="shared" si="17"/>
        <v>0</v>
      </c>
      <c r="L53" s="612">
        <f t="shared" si="17"/>
        <v>0</v>
      </c>
      <c r="M53" s="612">
        <f t="shared" si="17"/>
        <v>0</v>
      </c>
      <c r="N53" s="612">
        <f t="shared" si="17"/>
        <v>0</v>
      </c>
      <c r="O53" s="612">
        <f t="shared" si="17"/>
        <v>0</v>
      </c>
      <c r="P53" s="612">
        <f t="shared" si="17"/>
        <v>2.8</v>
      </c>
      <c r="Q53" s="612">
        <f t="shared" si="17"/>
        <v>2.79</v>
      </c>
      <c r="R53" s="612">
        <f t="shared" si="17"/>
        <v>0</v>
      </c>
      <c r="S53" s="612">
        <f t="shared" si="17"/>
        <v>0</v>
      </c>
      <c r="T53" s="612">
        <f t="shared" si="17"/>
        <v>0</v>
      </c>
      <c r="U53" s="612">
        <f t="shared" si="17"/>
        <v>0</v>
      </c>
      <c r="V53" s="612">
        <f t="shared" si="17"/>
        <v>0</v>
      </c>
      <c r="W53" s="612">
        <f t="shared" si="17"/>
        <v>0</v>
      </c>
      <c r="X53" s="612">
        <f t="shared" si="17"/>
        <v>0</v>
      </c>
      <c r="Y53" s="612">
        <f t="shared" si="17"/>
        <v>0</v>
      </c>
      <c r="Z53" s="612">
        <f t="shared" si="17"/>
        <v>0</v>
      </c>
      <c r="AA53" s="612">
        <f t="shared" si="17"/>
        <v>0</v>
      </c>
      <c r="AB53" s="612">
        <f t="shared" si="17"/>
        <v>0</v>
      </c>
      <c r="AC53" s="612">
        <f t="shared" si="17"/>
        <v>0</v>
      </c>
      <c r="AD53" s="612">
        <f t="shared" si="17"/>
        <v>0</v>
      </c>
      <c r="AE53" s="961">
        <f t="shared" si="17"/>
        <v>0</v>
      </c>
      <c r="AF53" s="29"/>
      <c r="AG53" s="663"/>
    </row>
    <row r="54" spans="1:33" ht="18.75" x14ac:dyDescent="0.3">
      <c r="A54" s="13" t="s">
        <v>97</v>
      </c>
      <c r="B54" s="612">
        <f>B11+B19</f>
        <v>3192.44</v>
      </c>
      <c r="C54" s="612">
        <f>C11+C19</f>
        <v>984.5</v>
      </c>
      <c r="D54" s="612">
        <f>D11+D19</f>
        <v>3110.8139999999999</v>
      </c>
      <c r="E54" s="612">
        <f>E11+E19</f>
        <v>3110.8139999999999</v>
      </c>
      <c r="F54" s="32">
        <f t="shared" si="15"/>
        <v>97.443146934633063</v>
      </c>
      <c r="G54" s="32">
        <f t="shared" si="15"/>
        <v>315.97907567293043</v>
      </c>
      <c r="H54" s="612">
        <f>H11+H19</f>
        <v>343.77</v>
      </c>
      <c r="I54" s="612">
        <f t="shared" ref="I54:AE54" si="18">I11+I19</f>
        <v>248.71</v>
      </c>
      <c r="J54" s="612">
        <f t="shared" si="18"/>
        <v>216.67</v>
      </c>
      <c r="K54" s="612">
        <f t="shared" si="18"/>
        <v>251.63</v>
      </c>
      <c r="L54" s="612">
        <f t="shared" si="18"/>
        <v>385.99</v>
      </c>
      <c r="M54" s="612">
        <f t="shared" si="18"/>
        <v>318.68</v>
      </c>
      <c r="N54" s="612">
        <f t="shared" si="18"/>
        <v>352.06</v>
      </c>
      <c r="O54" s="612">
        <f t="shared" si="18"/>
        <v>308.86</v>
      </c>
      <c r="P54" s="612">
        <f t="shared" si="18"/>
        <v>306.22000000000003</v>
      </c>
      <c r="Q54" s="612">
        <f t="shared" si="18"/>
        <v>263.17</v>
      </c>
      <c r="R54" s="612">
        <f t="shared" si="18"/>
        <v>278.45999999999998</v>
      </c>
      <c r="S54" s="612">
        <f t="shared" si="18"/>
        <v>288.14</v>
      </c>
      <c r="T54" s="612">
        <f t="shared" si="18"/>
        <v>420.26</v>
      </c>
      <c r="U54" s="612">
        <f t="shared" si="18"/>
        <v>588.2700000000001</v>
      </c>
      <c r="V54" s="612">
        <f t="shared" si="18"/>
        <v>185.01</v>
      </c>
      <c r="W54" s="612">
        <f t="shared" si="18"/>
        <v>211.9</v>
      </c>
      <c r="X54" s="612">
        <f t="shared" si="18"/>
        <v>150.26</v>
      </c>
      <c r="Y54" s="612">
        <f t="shared" si="18"/>
        <v>0</v>
      </c>
      <c r="Z54" s="612">
        <f t="shared" si="18"/>
        <v>150.97999999999999</v>
      </c>
      <c r="AA54" s="612">
        <f t="shared" si="18"/>
        <v>176.43</v>
      </c>
      <c r="AB54" s="612">
        <f t="shared" si="18"/>
        <v>171.61</v>
      </c>
      <c r="AC54" s="612">
        <f t="shared" si="18"/>
        <v>108.72</v>
      </c>
      <c r="AD54" s="612">
        <f t="shared" si="18"/>
        <v>231.15</v>
      </c>
      <c r="AE54" s="961">
        <f t="shared" si="18"/>
        <v>346.30399999999997</v>
      </c>
      <c r="AF54" s="29"/>
      <c r="AG54" s="663"/>
    </row>
    <row r="55" spans="1:33" ht="18.75" x14ac:dyDescent="0.3">
      <c r="A55" s="17" t="s">
        <v>33</v>
      </c>
      <c r="B55" s="612">
        <f>B12+B16+B20+B26+B41+B50</f>
        <v>12140.2</v>
      </c>
      <c r="C55" s="612">
        <f>C12+C16+C20+C26+C41</f>
        <v>6490.4000000000005</v>
      </c>
      <c r="D55" s="612">
        <f>D12+D16+D20+D26+D41</f>
        <v>3807.7730000000006</v>
      </c>
      <c r="E55" s="612">
        <f>E12+E16+E20+E26+E41</f>
        <v>3930.5610000000006</v>
      </c>
      <c r="F55" s="32">
        <f t="shared" si="15"/>
        <v>31.364993986919494</v>
      </c>
      <c r="G55" s="32">
        <f t="shared" si="15"/>
        <v>60.559611117958831</v>
      </c>
      <c r="H55" s="612">
        <f>H12+H16+H20+H26+H41+H50</f>
        <v>1032.51</v>
      </c>
      <c r="I55" s="612">
        <f t="shared" ref="I55:AE55" si="19">I12+I16+I20+I26+I41+I50</f>
        <v>849.35</v>
      </c>
      <c r="J55" s="612">
        <f t="shared" si="19"/>
        <v>888.79</v>
      </c>
      <c r="K55" s="612">
        <f t="shared" si="19"/>
        <v>854.69</v>
      </c>
      <c r="L55" s="612">
        <f t="shared" si="19"/>
        <v>838.59</v>
      </c>
      <c r="M55" s="612">
        <f t="shared" si="19"/>
        <v>647.1</v>
      </c>
      <c r="N55" s="612">
        <f t="shared" si="19"/>
        <v>1023.84</v>
      </c>
      <c r="O55" s="612">
        <f t="shared" si="19"/>
        <v>767.68999999999994</v>
      </c>
      <c r="P55" s="612">
        <f t="shared" si="19"/>
        <v>1013.76</v>
      </c>
      <c r="Q55" s="612">
        <f t="shared" si="19"/>
        <v>1409</v>
      </c>
      <c r="R55" s="612">
        <f t="shared" si="19"/>
        <v>848.77</v>
      </c>
      <c r="S55" s="612">
        <f t="shared" si="19"/>
        <v>650.39</v>
      </c>
      <c r="T55" s="612">
        <f t="shared" si="19"/>
        <v>975.27</v>
      </c>
      <c r="U55" s="612">
        <f t="shared" si="19"/>
        <v>725.89</v>
      </c>
      <c r="V55" s="612">
        <f t="shared" si="19"/>
        <v>867.64</v>
      </c>
      <c r="W55" s="612">
        <f t="shared" si="19"/>
        <v>662.79</v>
      </c>
      <c r="X55" s="612">
        <f t="shared" si="19"/>
        <v>848.77</v>
      </c>
      <c r="Y55" s="612">
        <f t="shared" si="19"/>
        <v>1467.4900000000002</v>
      </c>
      <c r="Z55" s="612">
        <f t="shared" si="19"/>
        <v>1783.8600000000001</v>
      </c>
      <c r="AA55" s="612">
        <f t="shared" si="19"/>
        <v>775.58</v>
      </c>
      <c r="AB55" s="612">
        <f t="shared" si="19"/>
        <v>848.75</v>
      </c>
      <c r="AC55" s="612">
        <f t="shared" si="19"/>
        <v>743.90499999999997</v>
      </c>
      <c r="AD55" s="612">
        <f t="shared" si="19"/>
        <v>1188.52</v>
      </c>
      <c r="AE55" s="961">
        <f t="shared" si="19"/>
        <v>881.13799999999992</v>
      </c>
      <c r="AF55" s="29"/>
      <c r="AG55" s="663"/>
    </row>
    <row r="56" spans="1:33" ht="37.5" x14ac:dyDescent="0.3">
      <c r="A56" s="71" t="s">
        <v>130</v>
      </c>
      <c r="B56" s="612">
        <f>B13</f>
        <v>65.319999999999993</v>
      </c>
      <c r="C56" s="612">
        <f>C13</f>
        <v>32.659999999999997</v>
      </c>
      <c r="D56" s="612">
        <f>D13</f>
        <v>16.329999999999998</v>
      </c>
      <c r="E56" s="612">
        <f>E13</f>
        <v>16.329999999999998</v>
      </c>
      <c r="F56" s="32">
        <f t="shared" si="15"/>
        <v>25</v>
      </c>
      <c r="G56" s="32">
        <f t="shared" si="15"/>
        <v>50</v>
      </c>
      <c r="H56" s="612">
        <f>H13</f>
        <v>0</v>
      </c>
      <c r="I56" s="612">
        <f t="shared" ref="I56:AE56" si="20">I13</f>
        <v>0</v>
      </c>
      <c r="J56" s="612">
        <f t="shared" si="20"/>
        <v>0</v>
      </c>
      <c r="K56" s="612">
        <f t="shared" si="20"/>
        <v>0</v>
      </c>
      <c r="L56" s="612">
        <f t="shared" si="20"/>
        <v>0</v>
      </c>
      <c r="M56" s="612">
        <f t="shared" si="20"/>
        <v>0</v>
      </c>
      <c r="N56" s="612">
        <f t="shared" si="20"/>
        <v>16.329999999999998</v>
      </c>
      <c r="O56" s="612">
        <f t="shared" si="20"/>
        <v>16.329999999999998</v>
      </c>
      <c r="P56" s="612">
        <f t="shared" si="20"/>
        <v>0</v>
      </c>
      <c r="Q56" s="612">
        <f t="shared" si="20"/>
        <v>0</v>
      </c>
      <c r="R56" s="612">
        <f t="shared" si="20"/>
        <v>0</v>
      </c>
      <c r="S56" s="612">
        <f t="shared" si="20"/>
        <v>0</v>
      </c>
      <c r="T56" s="612">
        <f t="shared" si="20"/>
        <v>16.329999999999998</v>
      </c>
      <c r="U56" s="612">
        <f t="shared" si="20"/>
        <v>0</v>
      </c>
      <c r="V56" s="612">
        <f t="shared" si="20"/>
        <v>0</v>
      </c>
      <c r="W56" s="612">
        <f t="shared" si="20"/>
        <v>0</v>
      </c>
      <c r="X56" s="612">
        <f t="shared" si="20"/>
        <v>0</v>
      </c>
      <c r="Y56" s="612">
        <f t="shared" si="20"/>
        <v>0</v>
      </c>
      <c r="Z56" s="612">
        <f t="shared" si="20"/>
        <v>16.329999999999998</v>
      </c>
      <c r="AA56" s="612">
        <f t="shared" si="20"/>
        <v>0</v>
      </c>
      <c r="AB56" s="612">
        <f t="shared" si="20"/>
        <v>0</v>
      </c>
      <c r="AC56" s="612">
        <f t="shared" si="20"/>
        <v>0</v>
      </c>
      <c r="AD56" s="612">
        <f t="shared" si="20"/>
        <v>16.329999999999998</v>
      </c>
      <c r="AE56" s="961">
        <f t="shared" si="20"/>
        <v>0</v>
      </c>
      <c r="AF56" s="29"/>
      <c r="AG56" s="663"/>
    </row>
    <row r="57" spans="1:33" ht="37.5" x14ac:dyDescent="0.3">
      <c r="A57" s="28" t="s">
        <v>72</v>
      </c>
      <c r="B57" s="587"/>
      <c r="C57" s="587"/>
      <c r="D57" s="587"/>
      <c r="E57" s="587"/>
      <c r="F57" s="587"/>
      <c r="G57" s="587"/>
      <c r="H57" s="587"/>
      <c r="I57" s="587"/>
      <c r="J57" s="587"/>
      <c r="K57" s="587"/>
      <c r="L57" s="587"/>
      <c r="M57" s="587"/>
      <c r="N57" s="587"/>
      <c r="O57" s="587"/>
      <c r="P57" s="587"/>
      <c r="Q57" s="587"/>
      <c r="R57" s="587"/>
      <c r="S57" s="587"/>
      <c r="T57" s="587"/>
      <c r="U57" s="587"/>
      <c r="V57" s="587"/>
      <c r="W57" s="587"/>
      <c r="X57" s="587"/>
      <c r="Y57" s="587"/>
      <c r="Z57" s="587"/>
      <c r="AA57" s="587"/>
      <c r="AB57" s="587"/>
      <c r="AC57" s="587"/>
      <c r="AD57" s="587"/>
      <c r="AE57" s="965"/>
      <c r="AF57" s="29"/>
      <c r="AG57" s="663"/>
    </row>
    <row r="58" spans="1:33" ht="18.75" x14ac:dyDescent="0.3">
      <c r="A58" s="8" t="s">
        <v>31</v>
      </c>
      <c r="B58" s="612">
        <f>B61+B59+B60</f>
        <v>15335.44</v>
      </c>
      <c r="C58" s="612">
        <f>C61+C59+C60</f>
        <v>7477.7000000000007</v>
      </c>
      <c r="D58" s="612">
        <f>D61+D59+D60</f>
        <v>6921.3770000000004</v>
      </c>
      <c r="E58" s="612">
        <f>E61+E59+E60</f>
        <v>7044.1650000000009</v>
      </c>
      <c r="F58" s="32">
        <f>E58/B58*100</f>
        <v>45.93389560390834</v>
      </c>
      <c r="G58" s="32">
        <f>E58/C58*100</f>
        <v>94.202294823274542</v>
      </c>
      <c r="H58" s="612">
        <f>H61+H59+H60</f>
        <v>1376.28</v>
      </c>
      <c r="I58" s="612">
        <f t="shared" ref="I58:AE58" si="21">I61+I59+I60</f>
        <v>1098.06</v>
      </c>
      <c r="J58" s="612">
        <f t="shared" si="21"/>
        <v>1105.46</v>
      </c>
      <c r="K58" s="612">
        <f t="shared" si="21"/>
        <v>1106.3200000000002</v>
      </c>
      <c r="L58" s="612">
        <f t="shared" si="21"/>
        <v>1224.58</v>
      </c>
      <c r="M58" s="612">
        <f t="shared" si="21"/>
        <v>965.78</v>
      </c>
      <c r="N58" s="612">
        <f t="shared" si="21"/>
        <v>1375.9</v>
      </c>
      <c r="O58" s="612">
        <f t="shared" si="21"/>
        <v>1076.55</v>
      </c>
      <c r="P58" s="612">
        <f t="shared" si="21"/>
        <v>1322.78</v>
      </c>
      <c r="Q58" s="612">
        <f t="shared" si="21"/>
        <v>1674.96</v>
      </c>
      <c r="R58" s="612">
        <f t="shared" si="21"/>
        <v>1127.23</v>
      </c>
      <c r="S58" s="612">
        <f t="shared" si="21"/>
        <v>938.53</v>
      </c>
      <c r="T58" s="612">
        <f t="shared" si="21"/>
        <v>1395.53</v>
      </c>
      <c r="U58" s="612">
        <f t="shared" si="21"/>
        <v>1314.16</v>
      </c>
      <c r="V58" s="612">
        <f t="shared" si="21"/>
        <v>1052.6500000000001</v>
      </c>
      <c r="W58" s="612">
        <f t="shared" si="21"/>
        <v>874.68999999999994</v>
      </c>
      <c r="X58" s="612">
        <f t="shared" si="21"/>
        <v>999.03</v>
      </c>
      <c r="Y58" s="612">
        <f t="shared" si="21"/>
        <v>1467.4900000000002</v>
      </c>
      <c r="Z58" s="612">
        <f t="shared" si="21"/>
        <v>1934.8400000000001</v>
      </c>
      <c r="AA58" s="612">
        <f t="shared" si="21"/>
        <v>952.01</v>
      </c>
      <c r="AB58" s="612">
        <f t="shared" si="21"/>
        <v>1020.36</v>
      </c>
      <c r="AC58" s="612">
        <f t="shared" si="21"/>
        <v>852.625</v>
      </c>
      <c r="AD58" s="612">
        <f t="shared" si="21"/>
        <v>1419.67</v>
      </c>
      <c r="AE58" s="961">
        <f t="shared" si="21"/>
        <v>1227.442</v>
      </c>
      <c r="AF58" s="29"/>
      <c r="AG58" s="663"/>
    </row>
    <row r="59" spans="1:33" ht="18.75" x14ac:dyDescent="0.3">
      <c r="A59" s="13" t="s">
        <v>102</v>
      </c>
      <c r="B59" s="612">
        <f>B53</f>
        <v>2.8</v>
      </c>
      <c r="C59" s="612">
        <f t="shared" ref="C59:E61" si="22">C53</f>
        <v>2.8</v>
      </c>
      <c r="D59" s="612">
        <f t="shared" si="22"/>
        <v>2.79</v>
      </c>
      <c r="E59" s="612">
        <f t="shared" si="22"/>
        <v>2.79</v>
      </c>
      <c r="F59" s="32">
        <f>E59/B59*100</f>
        <v>99.642857142857153</v>
      </c>
      <c r="G59" s="32">
        <f>E59/C59*100</f>
        <v>99.642857142857153</v>
      </c>
      <c r="H59" s="612">
        <f>H53</f>
        <v>0</v>
      </c>
      <c r="I59" s="612">
        <f t="shared" ref="I59:AE59" si="23">I53</f>
        <v>0</v>
      </c>
      <c r="J59" s="612">
        <f t="shared" si="23"/>
        <v>0</v>
      </c>
      <c r="K59" s="612">
        <f t="shared" si="23"/>
        <v>0</v>
      </c>
      <c r="L59" s="612">
        <f t="shared" si="23"/>
        <v>0</v>
      </c>
      <c r="M59" s="612">
        <f t="shared" si="23"/>
        <v>0</v>
      </c>
      <c r="N59" s="612">
        <f t="shared" si="23"/>
        <v>0</v>
      </c>
      <c r="O59" s="612">
        <f t="shared" si="23"/>
        <v>0</v>
      </c>
      <c r="P59" s="612">
        <f t="shared" si="23"/>
        <v>2.8</v>
      </c>
      <c r="Q59" s="612">
        <f t="shared" si="23"/>
        <v>2.79</v>
      </c>
      <c r="R59" s="612">
        <f t="shared" si="23"/>
        <v>0</v>
      </c>
      <c r="S59" s="612">
        <f t="shared" si="23"/>
        <v>0</v>
      </c>
      <c r="T59" s="612">
        <f t="shared" si="23"/>
        <v>0</v>
      </c>
      <c r="U59" s="612">
        <f t="shared" si="23"/>
        <v>0</v>
      </c>
      <c r="V59" s="612">
        <f t="shared" si="23"/>
        <v>0</v>
      </c>
      <c r="W59" s="612">
        <f t="shared" si="23"/>
        <v>0</v>
      </c>
      <c r="X59" s="612">
        <f t="shared" si="23"/>
        <v>0</v>
      </c>
      <c r="Y59" s="612">
        <f t="shared" si="23"/>
        <v>0</v>
      </c>
      <c r="Z59" s="612">
        <f t="shared" si="23"/>
        <v>0</v>
      </c>
      <c r="AA59" s="612">
        <f t="shared" si="23"/>
        <v>0</v>
      </c>
      <c r="AB59" s="612">
        <f t="shared" si="23"/>
        <v>0</v>
      </c>
      <c r="AC59" s="612">
        <f t="shared" si="23"/>
        <v>0</v>
      </c>
      <c r="AD59" s="612">
        <f t="shared" si="23"/>
        <v>0</v>
      </c>
      <c r="AE59" s="961">
        <f t="shared" si="23"/>
        <v>0</v>
      </c>
      <c r="AF59" s="29"/>
      <c r="AG59" s="663"/>
    </row>
    <row r="60" spans="1:33" ht="18.75" x14ac:dyDescent="0.3">
      <c r="A60" s="13" t="s">
        <v>97</v>
      </c>
      <c r="B60" s="612">
        <f>B54</f>
        <v>3192.44</v>
      </c>
      <c r="C60" s="612">
        <f t="shared" si="22"/>
        <v>984.5</v>
      </c>
      <c r="D60" s="612">
        <f t="shared" si="22"/>
        <v>3110.8139999999999</v>
      </c>
      <c r="E60" s="612">
        <f t="shared" si="22"/>
        <v>3110.8139999999999</v>
      </c>
      <c r="F60" s="32">
        <f>E60/B60*100</f>
        <v>97.443146934633063</v>
      </c>
      <c r="G60" s="32">
        <f>E60/C60*100</f>
        <v>315.97907567293043</v>
      </c>
      <c r="H60" s="612">
        <f>H54</f>
        <v>343.77</v>
      </c>
      <c r="I60" s="612">
        <f t="shared" ref="I60:AE60" si="24">I54</f>
        <v>248.71</v>
      </c>
      <c r="J60" s="612">
        <f t="shared" si="24"/>
        <v>216.67</v>
      </c>
      <c r="K60" s="612">
        <f t="shared" si="24"/>
        <v>251.63</v>
      </c>
      <c r="L60" s="612">
        <f t="shared" si="24"/>
        <v>385.99</v>
      </c>
      <c r="M60" s="612">
        <f t="shared" si="24"/>
        <v>318.68</v>
      </c>
      <c r="N60" s="612">
        <f t="shared" si="24"/>
        <v>352.06</v>
      </c>
      <c r="O60" s="612">
        <f t="shared" si="24"/>
        <v>308.86</v>
      </c>
      <c r="P60" s="612">
        <f t="shared" si="24"/>
        <v>306.22000000000003</v>
      </c>
      <c r="Q60" s="612">
        <f t="shared" si="24"/>
        <v>263.17</v>
      </c>
      <c r="R60" s="612">
        <f t="shared" si="24"/>
        <v>278.45999999999998</v>
      </c>
      <c r="S60" s="612">
        <f t="shared" si="24"/>
        <v>288.14</v>
      </c>
      <c r="T60" s="612">
        <f t="shared" si="24"/>
        <v>420.26</v>
      </c>
      <c r="U60" s="612">
        <f t="shared" si="24"/>
        <v>588.2700000000001</v>
      </c>
      <c r="V60" s="612">
        <f t="shared" si="24"/>
        <v>185.01</v>
      </c>
      <c r="W60" s="612">
        <f t="shared" si="24"/>
        <v>211.9</v>
      </c>
      <c r="X60" s="612">
        <f t="shared" si="24"/>
        <v>150.26</v>
      </c>
      <c r="Y60" s="612">
        <f t="shared" si="24"/>
        <v>0</v>
      </c>
      <c r="Z60" s="612">
        <f t="shared" si="24"/>
        <v>150.97999999999999</v>
      </c>
      <c r="AA60" s="612">
        <f t="shared" si="24"/>
        <v>176.43</v>
      </c>
      <c r="AB60" s="612">
        <f t="shared" si="24"/>
        <v>171.61</v>
      </c>
      <c r="AC60" s="612">
        <f t="shared" si="24"/>
        <v>108.72</v>
      </c>
      <c r="AD60" s="612">
        <f t="shared" si="24"/>
        <v>231.15</v>
      </c>
      <c r="AE60" s="961">
        <f t="shared" si="24"/>
        <v>346.30399999999997</v>
      </c>
      <c r="AF60" s="29"/>
      <c r="AG60" s="663"/>
    </row>
    <row r="61" spans="1:33" ht="18.75" x14ac:dyDescent="0.3">
      <c r="A61" s="17" t="s">
        <v>33</v>
      </c>
      <c r="B61" s="612">
        <f>B55</f>
        <v>12140.2</v>
      </c>
      <c r="C61" s="612">
        <f t="shared" si="22"/>
        <v>6490.4000000000005</v>
      </c>
      <c r="D61" s="612">
        <f t="shared" si="22"/>
        <v>3807.7730000000006</v>
      </c>
      <c r="E61" s="612">
        <f t="shared" si="22"/>
        <v>3930.5610000000006</v>
      </c>
      <c r="F61" s="32">
        <f>E61/B61*100</f>
        <v>32.376410602790735</v>
      </c>
      <c r="G61" s="32">
        <f>E61/C61*100</f>
        <v>60.559611117958831</v>
      </c>
      <c r="H61" s="612">
        <f>H55</f>
        <v>1032.51</v>
      </c>
      <c r="I61" s="612">
        <f t="shared" ref="I61:AE61" si="25">I55</f>
        <v>849.35</v>
      </c>
      <c r="J61" s="612">
        <f t="shared" si="25"/>
        <v>888.79</v>
      </c>
      <c r="K61" s="612">
        <f t="shared" si="25"/>
        <v>854.69</v>
      </c>
      <c r="L61" s="612">
        <f t="shared" si="25"/>
        <v>838.59</v>
      </c>
      <c r="M61" s="612">
        <f t="shared" si="25"/>
        <v>647.1</v>
      </c>
      <c r="N61" s="612">
        <f t="shared" si="25"/>
        <v>1023.84</v>
      </c>
      <c r="O61" s="612">
        <f t="shared" si="25"/>
        <v>767.68999999999994</v>
      </c>
      <c r="P61" s="612">
        <f t="shared" si="25"/>
        <v>1013.76</v>
      </c>
      <c r="Q61" s="612">
        <f t="shared" si="25"/>
        <v>1409</v>
      </c>
      <c r="R61" s="612">
        <f t="shared" si="25"/>
        <v>848.77</v>
      </c>
      <c r="S61" s="612">
        <f t="shared" si="25"/>
        <v>650.39</v>
      </c>
      <c r="T61" s="612">
        <f t="shared" si="25"/>
        <v>975.27</v>
      </c>
      <c r="U61" s="612">
        <f t="shared" si="25"/>
        <v>725.89</v>
      </c>
      <c r="V61" s="612">
        <f t="shared" si="25"/>
        <v>867.64</v>
      </c>
      <c r="W61" s="612">
        <f t="shared" si="25"/>
        <v>662.79</v>
      </c>
      <c r="X61" s="612">
        <f t="shared" si="25"/>
        <v>848.77</v>
      </c>
      <c r="Y61" s="612">
        <f t="shared" si="25"/>
        <v>1467.4900000000002</v>
      </c>
      <c r="Z61" s="612">
        <f t="shared" si="25"/>
        <v>1783.8600000000001</v>
      </c>
      <c r="AA61" s="612">
        <f t="shared" si="25"/>
        <v>775.58</v>
      </c>
      <c r="AB61" s="612">
        <f t="shared" si="25"/>
        <v>848.75</v>
      </c>
      <c r="AC61" s="612">
        <f t="shared" si="25"/>
        <v>743.90499999999997</v>
      </c>
      <c r="AD61" s="612">
        <f t="shared" si="25"/>
        <v>1188.52</v>
      </c>
      <c r="AE61" s="961">
        <f t="shared" si="25"/>
        <v>881.13799999999992</v>
      </c>
      <c r="AF61" s="29"/>
      <c r="AG61" s="663"/>
    </row>
    <row r="62" spans="1:33" ht="93.75" x14ac:dyDescent="0.3">
      <c r="A62" s="54" t="s">
        <v>111</v>
      </c>
      <c r="B62" s="587"/>
      <c r="C62" s="587"/>
      <c r="D62" s="587"/>
      <c r="E62" s="587"/>
      <c r="F62" s="587"/>
      <c r="G62" s="587"/>
      <c r="H62" s="587"/>
      <c r="I62" s="587"/>
      <c r="J62" s="587"/>
      <c r="K62" s="587"/>
      <c r="L62" s="587"/>
      <c r="M62" s="587"/>
      <c r="N62" s="587"/>
      <c r="O62" s="587"/>
      <c r="P62" s="587"/>
      <c r="Q62" s="587"/>
      <c r="R62" s="587"/>
      <c r="S62" s="587"/>
      <c r="T62" s="587"/>
      <c r="U62" s="587"/>
      <c r="V62" s="587"/>
      <c r="W62" s="587"/>
      <c r="X62" s="587"/>
      <c r="Y62" s="587"/>
      <c r="Z62" s="587"/>
      <c r="AA62" s="587"/>
      <c r="AB62" s="587"/>
      <c r="AC62" s="587"/>
      <c r="AD62" s="587"/>
      <c r="AE62" s="965"/>
      <c r="AF62" s="29"/>
      <c r="AG62" s="663"/>
    </row>
    <row r="63" spans="1:33" ht="18.75" x14ac:dyDescent="0.3">
      <c r="A63" s="52" t="s">
        <v>54</v>
      </c>
      <c r="B63" s="587"/>
      <c r="C63" s="587"/>
      <c r="D63" s="587"/>
      <c r="E63" s="587"/>
      <c r="F63" s="587"/>
      <c r="G63" s="587"/>
      <c r="H63" s="587"/>
      <c r="I63" s="587"/>
      <c r="J63" s="587"/>
      <c r="K63" s="587"/>
      <c r="L63" s="587"/>
      <c r="M63" s="587"/>
      <c r="N63" s="587"/>
      <c r="O63" s="587"/>
      <c r="P63" s="587"/>
      <c r="Q63" s="587"/>
      <c r="R63" s="587"/>
      <c r="S63" s="587"/>
      <c r="T63" s="587"/>
      <c r="U63" s="587"/>
      <c r="V63" s="587"/>
      <c r="W63" s="587"/>
      <c r="X63" s="587"/>
      <c r="Y63" s="587"/>
      <c r="Z63" s="587"/>
      <c r="AA63" s="587"/>
      <c r="AB63" s="587"/>
      <c r="AC63" s="587"/>
      <c r="AD63" s="587"/>
      <c r="AE63" s="965"/>
      <c r="AF63" s="29"/>
      <c r="AG63" s="663"/>
    </row>
    <row r="64" spans="1:33" ht="75" x14ac:dyDescent="0.3">
      <c r="A64" s="51" t="s">
        <v>112</v>
      </c>
      <c r="B64" s="612"/>
      <c r="C64" s="612"/>
      <c r="D64" s="612"/>
      <c r="E64" s="612"/>
      <c r="F64" s="612"/>
      <c r="G64" s="587"/>
      <c r="H64" s="587"/>
      <c r="I64" s="587"/>
      <c r="J64" s="587"/>
      <c r="K64" s="587"/>
      <c r="L64" s="587"/>
      <c r="M64" s="587"/>
      <c r="N64" s="587"/>
      <c r="O64" s="587"/>
      <c r="P64" s="587"/>
      <c r="Q64" s="587"/>
      <c r="R64" s="587"/>
      <c r="S64" s="587"/>
      <c r="T64" s="587"/>
      <c r="U64" s="587"/>
      <c r="V64" s="587"/>
      <c r="W64" s="587"/>
      <c r="X64" s="587"/>
      <c r="Y64" s="587"/>
      <c r="Z64" s="587"/>
      <c r="AA64" s="587"/>
      <c r="AB64" s="587"/>
      <c r="AC64" s="587"/>
      <c r="AD64" s="587"/>
      <c r="AE64" s="965"/>
      <c r="AF64" s="29"/>
      <c r="AG64" s="663"/>
    </row>
    <row r="65" spans="1:33" ht="18.75" x14ac:dyDescent="0.3">
      <c r="A65" s="13" t="s">
        <v>31</v>
      </c>
      <c r="B65" s="47">
        <f>B66</f>
        <v>320.39</v>
      </c>
      <c r="C65" s="47">
        <f>C66</f>
        <v>150.38999999999999</v>
      </c>
      <c r="D65" s="47">
        <f>D66</f>
        <v>150.38</v>
      </c>
      <c r="E65" s="47">
        <f>E66</f>
        <v>150.38</v>
      </c>
      <c r="F65" s="32">
        <f>E65/B65*100</f>
        <v>46.936546084459565</v>
      </c>
      <c r="G65" s="32">
        <f>E65/C65*100</f>
        <v>99.993350621716885</v>
      </c>
      <c r="H65" s="697">
        <f>H66</f>
        <v>0</v>
      </c>
      <c r="I65" s="697">
        <f t="shared" ref="I65:AE65" si="26">I66</f>
        <v>0</v>
      </c>
      <c r="J65" s="587">
        <f t="shared" si="26"/>
        <v>150.38999999999999</v>
      </c>
      <c r="K65" s="587">
        <f t="shared" si="26"/>
        <v>150.38</v>
      </c>
      <c r="L65" s="697">
        <f t="shared" si="26"/>
        <v>0</v>
      </c>
      <c r="M65" s="697">
        <f t="shared" si="26"/>
        <v>0</v>
      </c>
      <c r="N65" s="697">
        <f t="shared" si="26"/>
        <v>0</v>
      </c>
      <c r="O65" s="697">
        <f t="shared" si="26"/>
        <v>0</v>
      </c>
      <c r="P65" s="697">
        <f t="shared" si="26"/>
        <v>0</v>
      </c>
      <c r="Q65" s="697">
        <f t="shared" si="26"/>
        <v>0</v>
      </c>
      <c r="R65" s="697">
        <f t="shared" si="26"/>
        <v>0</v>
      </c>
      <c r="S65" s="697">
        <f t="shared" si="26"/>
        <v>0</v>
      </c>
      <c r="T65" s="697">
        <f t="shared" si="26"/>
        <v>0</v>
      </c>
      <c r="U65" s="697">
        <f t="shared" si="26"/>
        <v>0</v>
      </c>
      <c r="V65" s="697">
        <f t="shared" si="26"/>
        <v>0</v>
      </c>
      <c r="W65" s="697">
        <f t="shared" si="26"/>
        <v>0</v>
      </c>
      <c r="X65" s="697">
        <f t="shared" si="26"/>
        <v>170</v>
      </c>
      <c r="Y65" s="697">
        <f t="shared" si="26"/>
        <v>72.599999999999994</v>
      </c>
      <c r="Z65" s="697">
        <f t="shared" si="26"/>
        <v>0</v>
      </c>
      <c r="AA65" s="697">
        <f t="shared" si="26"/>
        <v>91.44</v>
      </c>
      <c r="AB65" s="697">
        <f t="shared" si="26"/>
        <v>0</v>
      </c>
      <c r="AC65" s="697">
        <f t="shared" si="26"/>
        <v>0</v>
      </c>
      <c r="AD65" s="697">
        <f t="shared" si="26"/>
        <v>0</v>
      </c>
      <c r="AE65" s="966">
        <f t="shared" si="26"/>
        <v>0</v>
      </c>
      <c r="AF65" s="29"/>
      <c r="AG65" s="663"/>
    </row>
    <row r="66" spans="1:33" ht="18.75" x14ac:dyDescent="0.3">
      <c r="A66" s="13" t="s">
        <v>33</v>
      </c>
      <c r="B66" s="47">
        <f>B68</f>
        <v>320.39</v>
      </c>
      <c r="C66" s="47">
        <f>C68</f>
        <v>150.38999999999999</v>
      </c>
      <c r="D66" s="47">
        <f>D68</f>
        <v>150.38</v>
      </c>
      <c r="E66" s="47">
        <f>D66</f>
        <v>150.38</v>
      </c>
      <c r="F66" s="32">
        <f>E66/B66*100</f>
        <v>46.936546084459565</v>
      </c>
      <c r="G66" s="32">
        <f>E66/C66*100</f>
        <v>99.993350621716885</v>
      </c>
      <c r="H66" s="697">
        <f>H68</f>
        <v>0</v>
      </c>
      <c r="I66" s="697">
        <f t="shared" ref="I66:AE66" si="27">I68</f>
        <v>0</v>
      </c>
      <c r="J66" s="587">
        <f t="shared" si="27"/>
        <v>150.38999999999999</v>
      </c>
      <c r="K66" s="587">
        <f t="shared" si="27"/>
        <v>150.38</v>
      </c>
      <c r="L66" s="697">
        <f t="shared" si="27"/>
        <v>0</v>
      </c>
      <c r="M66" s="697">
        <f t="shared" si="27"/>
        <v>0</v>
      </c>
      <c r="N66" s="697">
        <f t="shared" si="27"/>
        <v>0</v>
      </c>
      <c r="O66" s="697">
        <f t="shared" si="27"/>
        <v>0</v>
      </c>
      <c r="P66" s="697">
        <f t="shared" si="27"/>
        <v>0</v>
      </c>
      <c r="Q66" s="697">
        <f t="shared" si="27"/>
        <v>0</v>
      </c>
      <c r="R66" s="697">
        <f t="shared" si="27"/>
        <v>0</v>
      </c>
      <c r="S66" s="697">
        <f t="shared" si="27"/>
        <v>0</v>
      </c>
      <c r="T66" s="697">
        <f t="shared" si="27"/>
        <v>0</v>
      </c>
      <c r="U66" s="697">
        <f t="shared" si="27"/>
        <v>0</v>
      </c>
      <c r="V66" s="697">
        <f t="shared" si="27"/>
        <v>0</v>
      </c>
      <c r="W66" s="697">
        <f t="shared" si="27"/>
        <v>0</v>
      </c>
      <c r="X66" s="697">
        <f t="shared" si="27"/>
        <v>170</v>
      </c>
      <c r="Y66" s="697">
        <f t="shared" si="27"/>
        <v>72.599999999999994</v>
      </c>
      <c r="Z66" s="697">
        <f t="shared" si="27"/>
        <v>0</v>
      </c>
      <c r="AA66" s="697">
        <f t="shared" si="27"/>
        <v>91.44</v>
      </c>
      <c r="AB66" s="697">
        <f t="shared" si="27"/>
        <v>0</v>
      </c>
      <c r="AC66" s="697">
        <f t="shared" si="27"/>
        <v>0</v>
      </c>
      <c r="AD66" s="697">
        <f t="shared" si="27"/>
        <v>0</v>
      </c>
      <c r="AE66" s="966">
        <f t="shared" si="27"/>
        <v>0</v>
      </c>
      <c r="AF66" s="29"/>
      <c r="AG66" s="663"/>
    </row>
    <row r="67" spans="1:33" ht="318.75" x14ac:dyDescent="0.3">
      <c r="A67" s="70" t="s">
        <v>113</v>
      </c>
      <c r="B67" s="587"/>
      <c r="C67" s="587"/>
      <c r="D67" s="587"/>
      <c r="E67" s="587"/>
      <c r="F67" s="587"/>
      <c r="G67" s="587"/>
      <c r="H67" s="587"/>
      <c r="I67" s="587"/>
      <c r="J67" s="587"/>
      <c r="K67" s="587"/>
      <c r="L67" s="587"/>
      <c r="M67" s="587"/>
      <c r="N67" s="587"/>
      <c r="O67" s="587"/>
      <c r="P67" s="587"/>
      <c r="Q67" s="587"/>
      <c r="R67" s="587"/>
      <c r="S67" s="587"/>
      <c r="T67" s="587"/>
      <c r="U67" s="587"/>
      <c r="V67" s="587"/>
      <c r="W67" s="587"/>
      <c r="X67" s="587"/>
      <c r="Y67" s="587"/>
      <c r="Z67" s="587"/>
      <c r="AA67" s="587"/>
      <c r="AB67" s="587"/>
      <c r="AC67" s="587"/>
      <c r="AD67" s="587"/>
      <c r="AE67" s="965"/>
      <c r="AF67" s="29"/>
      <c r="AG67" s="663"/>
    </row>
    <row r="68" spans="1:33" ht="18.75" x14ac:dyDescent="0.3">
      <c r="A68" s="13" t="s">
        <v>31</v>
      </c>
      <c r="B68" s="47">
        <f>B69</f>
        <v>320.39</v>
      </c>
      <c r="C68" s="32">
        <f>C69</f>
        <v>150.38999999999999</v>
      </c>
      <c r="D68" s="32">
        <f>D69</f>
        <v>150.38</v>
      </c>
      <c r="E68" s="47">
        <f>E69</f>
        <v>314.41999999999996</v>
      </c>
      <c r="F68" s="32">
        <f>E68/B68*100</f>
        <v>98.136645962732914</v>
      </c>
      <c r="G68" s="32">
        <f>E68/C68*100</f>
        <v>209.06975197819003</v>
      </c>
      <c r="H68" s="697">
        <f>H69</f>
        <v>0</v>
      </c>
      <c r="I68" s="697">
        <f t="shared" ref="I68:AE68" si="28">I69</f>
        <v>0</v>
      </c>
      <c r="J68" s="697">
        <f t="shared" si="28"/>
        <v>150.38999999999999</v>
      </c>
      <c r="K68" s="587">
        <f t="shared" si="28"/>
        <v>150.38</v>
      </c>
      <c r="L68" s="697">
        <f t="shared" si="28"/>
        <v>0</v>
      </c>
      <c r="M68" s="697">
        <f t="shared" si="28"/>
        <v>0</v>
      </c>
      <c r="N68" s="697">
        <f t="shared" si="28"/>
        <v>0</v>
      </c>
      <c r="O68" s="697">
        <f t="shared" si="28"/>
        <v>0</v>
      </c>
      <c r="P68" s="697">
        <f t="shared" si="28"/>
        <v>0</v>
      </c>
      <c r="Q68" s="697">
        <f t="shared" si="28"/>
        <v>0</v>
      </c>
      <c r="R68" s="697">
        <f t="shared" si="28"/>
        <v>0</v>
      </c>
      <c r="S68" s="697">
        <f t="shared" si="28"/>
        <v>0</v>
      </c>
      <c r="T68" s="697">
        <f t="shared" si="28"/>
        <v>0</v>
      </c>
      <c r="U68" s="697">
        <f t="shared" si="28"/>
        <v>0</v>
      </c>
      <c r="V68" s="697">
        <f t="shared" si="28"/>
        <v>0</v>
      </c>
      <c r="W68" s="697">
        <f t="shared" si="28"/>
        <v>0</v>
      </c>
      <c r="X68" s="697">
        <f t="shared" si="28"/>
        <v>170</v>
      </c>
      <c r="Y68" s="697">
        <f t="shared" si="28"/>
        <v>72.599999999999994</v>
      </c>
      <c r="Z68" s="697">
        <f t="shared" si="28"/>
        <v>0</v>
      </c>
      <c r="AA68" s="697">
        <f t="shared" si="28"/>
        <v>91.44</v>
      </c>
      <c r="AB68" s="697">
        <f t="shared" si="28"/>
        <v>0</v>
      </c>
      <c r="AC68" s="697">
        <f t="shared" si="28"/>
        <v>0</v>
      </c>
      <c r="AD68" s="697">
        <f t="shared" si="28"/>
        <v>0</v>
      </c>
      <c r="AE68" s="966">
        <f t="shared" si="28"/>
        <v>0</v>
      </c>
      <c r="AF68" s="29"/>
      <c r="AG68" s="663"/>
    </row>
    <row r="69" spans="1:33" ht="18.75" x14ac:dyDescent="0.3">
      <c r="A69" s="13" t="s">
        <v>33</v>
      </c>
      <c r="B69" s="47">
        <f>H69+J69+L69+N69+P69+R69+T69+V69+X69+Z69+AB69+AD69</f>
        <v>320.39</v>
      </c>
      <c r="C69" s="32">
        <f>J69+H69+L69+N69+P69+R69</f>
        <v>150.38999999999999</v>
      </c>
      <c r="D69" s="32">
        <f>K69</f>
        <v>150.38</v>
      </c>
      <c r="E69" s="32">
        <f>I69+K69+M69+O69+Q69+S69+U69+W69+Y69+AA69+AC69+AE69</f>
        <v>314.41999999999996</v>
      </c>
      <c r="F69" s="32">
        <f>E69/B69*100</f>
        <v>98.136645962732914</v>
      </c>
      <c r="G69" s="32">
        <f>E69/C69*100</f>
        <v>209.06975197819003</v>
      </c>
      <c r="H69" s="697">
        <v>0</v>
      </c>
      <c r="I69" s="697">
        <v>0</v>
      </c>
      <c r="J69" s="697">
        <v>150.38999999999999</v>
      </c>
      <c r="K69" s="587">
        <v>150.38</v>
      </c>
      <c r="L69" s="697">
        <v>0</v>
      </c>
      <c r="M69" s="697">
        <v>0</v>
      </c>
      <c r="N69" s="697">
        <v>0</v>
      </c>
      <c r="O69" s="697">
        <v>0</v>
      </c>
      <c r="P69" s="697">
        <v>0</v>
      </c>
      <c r="Q69" s="697">
        <v>0</v>
      </c>
      <c r="R69" s="697">
        <v>0</v>
      </c>
      <c r="S69" s="697">
        <v>0</v>
      </c>
      <c r="T69" s="697">
        <v>0</v>
      </c>
      <c r="U69" s="697">
        <v>0</v>
      </c>
      <c r="V69" s="697">
        <v>0</v>
      </c>
      <c r="W69" s="697">
        <v>0</v>
      </c>
      <c r="X69" s="697">
        <v>170</v>
      </c>
      <c r="Y69" s="697">
        <v>72.599999999999994</v>
      </c>
      <c r="Z69" s="697">
        <v>0</v>
      </c>
      <c r="AA69" s="697">
        <v>91.44</v>
      </c>
      <c r="AB69" s="697">
        <v>0</v>
      </c>
      <c r="AC69" s="697">
        <v>0</v>
      </c>
      <c r="AD69" s="697">
        <v>0</v>
      </c>
      <c r="AE69" s="966">
        <v>0</v>
      </c>
      <c r="AF69" s="29"/>
      <c r="AG69" s="663"/>
    </row>
    <row r="70" spans="1:33" ht="56.25" x14ac:dyDescent="0.3">
      <c r="A70" s="48" t="s">
        <v>114</v>
      </c>
      <c r="B70" s="47"/>
      <c r="C70" s="32"/>
      <c r="D70" s="32"/>
      <c r="E70" s="32"/>
      <c r="F70" s="32"/>
      <c r="G70" s="47"/>
      <c r="H70" s="47"/>
      <c r="I70" s="47"/>
      <c r="J70" s="47"/>
      <c r="K70" s="47"/>
      <c r="L70" s="47"/>
      <c r="M70" s="47"/>
      <c r="N70" s="47"/>
      <c r="O70" s="47"/>
      <c r="P70" s="47"/>
      <c r="Q70" s="47"/>
      <c r="R70" s="47"/>
      <c r="S70" s="47"/>
      <c r="T70" s="47"/>
      <c r="U70" s="47"/>
      <c r="V70" s="47"/>
      <c r="W70" s="47"/>
      <c r="X70" s="47"/>
      <c r="Y70" s="47"/>
      <c r="Z70" s="47"/>
      <c r="AA70" s="47"/>
      <c r="AB70" s="47"/>
      <c r="AC70" s="47"/>
      <c r="AD70" s="47"/>
      <c r="AE70" s="963"/>
      <c r="AF70" s="47"/>
      <c r="AG70" s="663"/>
    </row>
    <row r="71" spans="1:33" ht="18.75" x14ac:dyDescent="0.3">
      <c r="A71" s="13" t="s">
        <v>31</v>
      </c>
      <c r="B71" s="47">
        <f>B72</f>
        <v>81.600000000000009</v>
      </c>
      <c r="C71" s="658">
        <f>C72</f>
        <v>20.399999999999999</v>
      </c>
      <c r="D71" s="658">
        <f>D72</f>
        <v>68.02000000000001</v>
      </c>
      <c r="E71" s="658">
        <f>E72</f>
        <v>68.02000000000001</v>
      </c>
      <c r="F71" s="658">
        <f>D71/B71*100</f>
        <v>83.357843137254903</v>
      </c>
      <c r="G71" s="47">
        <f>E71/C71*100</f>
        <v>333.43137254901967</v>
      </c>
      <c r="H71" s="47"/>
      <c r="I71" s="47"/>
      <c r="J71" s="47"/>
      <c r="K71" s="47"/>
      <c r="L71" s="47"/>
      <c r="M71" s="47"/>
      <c r="N71" s="47"/>
      <c r="O71" s="47"/>
      <c r="P71" s="47"/>
      <c r="Q71" s="47"/>
      <c r="R71" s="47"/>
      <c r="S71" s="47"/>
      <c r="T71" s="47"/>
      <c r="U71" s="47"/>
      <c r="V71" s="47"/>
      <c r="W71" s="47"/>
      <c r="X71" s="47"/>
      <c r="Y71" s="47"/>
      <c r="Z71" s="47"/>
      <c r="AA71" s="47"/>
      <c r="AB71" s="47"/>
      <c r="AC71" s="47"/>
      <c r="AD71" s="47"/>
      <c r="AE71" s="963"/>
      <c r="AF71" s="47"/>
      <c r="AG71" s="663"/>
    </row>
    <row r="72" spans="1:33" ht="18.75" x14ac:dyDescent="0.3">
      <c r="A72" s="13" t="s">
        <v>33</v>
      </c>
      <c r="B72" s="47">
        <f>B75</f>
        <v>81.600000000000009</v>
      </c>
      <c r="C72" s="658">
        <f>C75</f>
        <v>20.399999999999999</v>
      </c>
      <c r="D72" s="658">
        <f>D75</f>
        <v>68.02000000000001</v>
      </c>
      <c r="E72" s="658">
        <f>E75</f>
        <v>68.02000000000001</v>
      </c>
      <c r="F72" s="658">
        <f>D72/B72*100</f>
        <v>83.357843137254903</v>
      </c>
      <c r="G72" s="47">
        <f>E72/C72*100</f>
        <v>333.43137254901967</v>
      </c>
      <c r="H72" s="47">
        <v>0</v>
      </c>
      <c r="I72" s="47"/>
      <c r="J72" s="47"/>
      <c r="K72" s="47"/>
      <c r="L72" s="47"/>
      <c r="M72" s="47"/>
      <c r="N72" s="47"/>
      <c r="O72" s="47"/>
      <c r="P72" s="47"/>
      <c r="Q72" s="47"/>
      <c r="R72" s="47"/>
      <c r="S72" s="47"/>
      <c r="T72" s="47"/>
      <c r="U72" s="47"/>
      <c r="V72" s="47"/>
      <c r="W72" s="47"/>
      <c r="X72" s="47"/>
      <c r="Y72" s="47"/>
      <c r="Z72" s="47"/>
      <c r="AA72" s="47"/>
      <c r="AB72" s="47"/>
      <c r="AC72" s="47"/>
      <c r="AD72" s="47"/>
      <c r="AE72" s="963"/>
      <c r="AF72" s="47"/>
      <c r="AG72" s="663"/>
    </row>
    <row r="73" spans="1:33" ht="150" x14ac:dyDescent="0.3">
      <c r="A73" s="13" t="s">
        <v>115</v>
      </c>
      <c r="B73" s="47"/>
      <c r="C73" s="32"/>
      <c r="D73" s="32"/>
      <c r="E73" s="32"/>
      <c r="F73" s="32"/>
      <c r="G73" s="47"/>
      <c r="H73" s="47"/>
      <c r="I73" s="47"/>
      <c r="J73" s="47"/>
      <c r="K73" s="47"/>
      <c r="L73" s="47"/>
      <c r="M73" s="47"/>
      <c r="N73" s="47"/>
      <c r="O73" s="47"/>
      <c r="P73" s="47"/>
      <c r="Q73" s="47"/>
      <c r="R73" s="47"/>
      <c r="S73" s="47"/>
      <c r="T73" s="47"/>
      <c r="U73" s="47"/>
      <c r="V73" s="47"/>
      <c r="W73" s="47"/>
      <c r="X73" s="47"/>
      <c r="Y73" s="47"/>
      <c r="Z73" s="47"/>
      <c r="AA73" s="47"/>
      <c r="AB73" s="47"/>
      <c r="AC73" s="47"/>
      <c r="AD73" s="47"/>
      <c r="AE73" s="963"/>
      <c r="AF73" s="857" t="s">
        <v>579</v>
      </c>
      <c r="AG73" s="663"/>
    </row>
    <row r="74" spans="1:33" ht="18.75" x14ac:dyDescent="0.3">
      <c r="A74" s="13" t="s">
        <v>31</v>
      </c>
      <c r="B74" s="32">
        <f>B75</f>
        <v>81.600000000000009</v>
      </c>
      <c r="C74" s="659">
        <f>C75</f>
        <v>20.399999999999999</v>
      </c>
      <c r="D74" s="659">
        <f>D75</f>
        <v>68.02000000000001</v>
      </c>
      <c r="E74" s="659">
        <f>E75</f>
        <v>68.02000000000001</v>
      </c>
      <c r="F74" s="659">
        <f>E74/B74*100</f>
        <v>83.357843137254903</v>
      </c>
      <c r="G74" s="47">
        <f>E74/C74*100</f>
        <v>333.43137254901967</v>
      </c>
      <c r="H74" s="658">
        <f>H75</f>
        <v>0</v>
      </c>
      <c r="I74" s="658">
        <f t="shared" ref="I74:AD75" si="29">I75</f>
        <v>0</v>
      </c>
      <c r="J74" s="658">
        <f t="shared" si="29"/>
        <v>0</v>
      </c>
      <c r="K74" s="658">
        <f t="shared" si="29"/>
        <v>0</v>
      </c>
      <c r="L74" s="658">
        <f t="shared" si="29"/>
        <v>0</v>
      </c>
      <c r="M74" s="658">
        <f t="shared" si="29"/>
        <v>0</v>
      </c>
      <c r="N74" s="658">
        <f t="shared" si="29"/>
        <v>0</v>
      </c>
      <c r="O74" s="658">
        <f t="shared" si="29"/>
        <v>0</v>
      </c>
      <c r="P74" s="47">
        <f t="shared" si="29"/>
        <v>10.199999999999999</v>
      </c>
      <c r="Q74" s="47">
        <f t="shared" si="29"/>
        <v>0</v>
      </c>
      <c r="R74" s="47">
        <f t="shared" si="29"/>
        <v>10.199999999999999</v>
      </c>
      <c r="S74" s="47">
        <f t="shared" si="29"/>
        <v>4.53</v>
      </c>
      <c r="T74" s="47">
        <f t="shared" si="29"/>
        <v>10.199999999999999</v>
      </c>
      <c r="U74" s="47">
        <f t="shared" si="29"/>
        <v>9.07</v>
      </c>
      <c r="V74" s="47">
        <f t="shared" si="29"/>
        <v>10.199999999999999</v>
      </c>
      <c r="W74" s="47">
        <f t="shared" si="29"/>
        <v>9.07</v>
      </c>
      <c r="X74" s="47">
        <f t="shared" si="29"/>
        <v>10.199999999999999</v>
      </c>
      <c r="Y74" s="47">
        <f t="shared" si="29"/>
        <v>9.07</v>
      </c>
      <c r="Z74" s="47">
        <f t="shared" si="29"/>
        <v>10.199999999999999</v>
      </c>
      <c r="AA74" s="47">
        <f t="shared" si="29"/>
        <v>9.07</v>
      </c>
      <c r="AB74" s="47">
        <f t="shared" si="29"/>
        <v>10.199999999999999</v>
      </c>
      <c r="AC74" s="47">
        <v>9.07</v>
      </c>
      <c r="AD74" s="47">
        <f t="shared" si="29"/>
        <v>10.199999999999999</v>
      </c>
      <c r="AE74" s="963">
        <f>AE75</f>
        <v>18.14</v>
      </c>
      <c r="AF74" s="47"/>
      <c r="AG74" s="663"/>
    </row>
    <row r="75" spans="1:33" ht="18.75" x14ac:dyDescent="0.3">
      <c r="A75" s="13" t="s">
        <v>33</v>
      </c>
      <c r="B75" s="32">
        <f>H75+J75+L75+N75+P75+R75+T75+V75+X75+Z75+AB75+AD75</f>
        <v>81.600000000000009</v>
      </c>
      <c r="C75" s="659">
        <f>H75+J75+L75+N75+P75+R75</f>
        <v>20.399999999999999</v>
      </c>
      <c r="D75" s="659">
        <f>I75+K75+M75+O75+Q75+S75+U75+W75+Y75++AA75+AC75+AE75</f>
        <v>68.02000000000001</v>
      </c>
      <c r="E75" s="32">
        <f>I75+K75+M75+O75+Q75+S75+U75+W75+Y75+AA75+AC75+AE75</f>
        <v>68.02000000000001</v>
      </c>
      <c r="F75" s="658">
        <f>D75/B75*100</f>
        <v>83.357843137254903</v>
      </c>
      <c r="G75" s="47">
        <f>E75/C75*100</f>
        <v>333.43137254901967</v>
      </c>
      <c r="H75" s="658">
        <f>H76</f>
        <v>0</v>
      </c>
      <c r="I75" s="658">
        <f t="shared" si="29"/>
        <v>0</v>
      </c>
      <c r="J75" s="658">
        <f t="shared" si="29"/>
        <v>0</v>
      </c>
      <c r="K75" s="658">
        <f t="shared" si="29"/>
        <v>0</v>
      </c>
      <c r="L75" s="658">
        <f t="shared" si="29"/>
        <v>0</v>
      </c>
      <c r="M75" s="658">
        <f t="shared" si="29"/>
        <v>0</v>
      </c>
      <c r="N75" s="658">
        <f t="shared" si="29"/>
        <v>0</v>
      </c>
      <c r="O75" s="658">
        <f t="shared" si="29"/>
        <v>0</v>
      </c>
      <c r="P75" s="47">
        <v>10.199999999999999</v>
      </c>
      <c r="Q75" s="47"/>
      <c r="R75" s="47">
        <v>10.199999999999999</v>
      </c>
      <c r="S75" s="47">
        <v>4.53</v>
      </c>
      <c r="T75" s="47">
        <v>10.199999999999999</v>
      </c>
      <c r="U75" s="47">
        <v>9.07</v>
      </c>
      <c r="V75" s="47">
        <v>10.199999999999999</v>
      </c>
      <c r="W75" s="47">
        <v>9.07</v>
      </c>
      <c r="X75" s="47">
        <v>10.199999999999999</v>
      </c>
      <c r="Y75" s="47">
        <v>9.07</v>
      </c>
      <c r="Z75" s="47">
        <v>10.199999999999999</v>
      </c>
      <c r="AA75" s="47">
        <v>9.07</v>
      </c>
      <c r="AB75" s="47">
        <v>10.199999999999999</v>
      </c>
      <c r="AC75" s="47">
        <v>9.07</v>
      </c>
      <c r="AD75" s="47">
        <v>10.199999999999999</v>
      </c>
      <c r="AE75" s="963">
        <v>18.14</v>
      </c>
      <c r="AF75" s="47"/>
      <c r="AG75" s="663"/>
    </row>
    <row r="76" spans="1:33" ht="56.25" x14ac:dyDescent="0.3">
      <c r="A76" s="48" t="s">
        <v>116</v>
      </c>
      <c r="B76" s="47"/>
      <c r="C76" s="32"/>
      <c r="D76" s="32"/>
      <c r="E76" s="32"/>
      <c r="F76" s="32"/>
      <c r="G76" s="47"/>
      <c r="H76" s="47"/>
      <c r="I76" s="47"/>
      <c r="J76" s="47"/>
      <c r="K76" s="47"/>
      <c r="L76" s="47"/>
      <c r="M76" s="47"/>
      <c r="N76" s="47"/>
      <c r="O76" s="47"/>
      <c r="P76" s="47"/>
      <c r="Q76" s="47"/>
      <c r="R76" s="47"/>
      <c r="S76" s="47"/>
      <c r="T76" s="47"/>
      <c r="U76" s="47"/>
      <c r="V76" s="47"/>
      <c r="W76" s="47"/>
      <c r="X76" s="47"/>
      <c r="Y76" s="47"/>
      <c r="Z76" s="47"/>
      <c r="AA76" s="47"/>
      <c r="AB76" s="47"/>
      <c r="AC76" s="47"/>
      <c r="AD76" s="47"/>
      <c r="AE76" s="963"/>
      <c r="AF76" s="47"/>
      <c r="AG76" s="663"/>
    </row>
    <row r="77" spans="1:33" ht="18.75" x14ac:dyDescent="0.3">
      <c r="A77" s="13" t="s">
        <v>31</v>
      </c>
      <c r="B77" s="32">
        <f>B78</f>
        <v>799.2</v>
      </c>
      <c r="C77" s="32">
        <f>C78</f>
        <v>128.19</v>
      </c>
      <c r="D77" s="32">
        <f>D78</f>
        <v>445.92999999999995</v>
      </c>
      <c r="E77" s="32">
        <f>E78</f>
        <v>183.96</v>
      </c>
      <c r="F77" s="32">
        <f>E77/B77*100</f>
        <v>23.018018018018019</v>
      </c>
      <c r="G77" s="47">
        <f>E77/C77*100</f>
        <v>143.50573367657384</v>
      </c>
      <c r="H77" s="658">
        <f t="shared" ref="H77:W78" si="30">H78</f>
        <v>0</v>
      </c>
      <c r="I77" s="658">
        <f t="shared" si="30"/>
        <v>0</v>
      </c>
      <c r="J77" s="658">
        <f t="shared" si="30"/>
        <v>0</v>
      </c>
      <c r="K77" s="658">
        <f t="shared" si="30"/>
        <v>0</v>
      </c>
      <c r="L77" s="658">
        <f t="shared" si="30"/>
        <v>0</v>
      </c>
      <c r="M77" s="658">
        <f t="shared" si="30"/>
        <v>0</v>
      </c>
      <c r="N77" s="658">
        <f t="shared" si="30"/>
        <v>0</v>
      </c>
      <c r="O77" s="658">
        <f t="shared" si="30"/>
        <v>0</v>
      </c>
      <c r="P77" s="658">
        <f t="shared" si="30"/>
        <v>0</v>
      </c>
      <c r="Q77" s="658">
        <f t="shared" si="30"/>
        <v>0</v>
      </c>
      <c r="R77" s="658">
        <f t="shared" si="30"/>
        <v>0</v>
      </c>
      <c r="S77" s="658">
        <f t="shared" si="30"/>
        <v>0</v>
      </c>
      <c r="T77" s="658">
        <f t="shared" si="30"/>
        <v>0</v>
      </c>
      <c r="U77" s="658">
        <f t="shared" si="30"/>
        <v>0</v>
      </c>
      <c r="V77" s="658">
        <f t="shared" si="30"/>
        <v>0</v>
      </c>
      <c r="W77" s="658">
        <f t="shared" si="30"/>
        <v>0</v>
      </c>
      <c r="X77" s="47">
        <f>X78</f>
        <v>173.36</v>
      </c>
      <c r="Y77" s="47">
        <f>Y78</f>
        <v>183.96</v>
      </c>
      <c r="Z77" s="47"/>
      <c r="AA77" s="47"/>
      <c r="AB77" s="47"/>
      <c r="AC77" s="47"/>
      <c r="AD77" s="47"/>
      <c r="AE77" s="963"/>
      <c r="AF77" s="47"/>
      <c r="AG77" s="663"/>
    </row>
    <row r="78" spans="1:33" ht="18.75" x14ac:dyDescent="0.3">
      <c r="A78" s="13" t="s">
        <v>33</v>
      </c>
      <c r="B78" s="32">
        <f>B81+B84+B87+B90+B93+B96</f>
        <v>799.2</v>
      </c>
      <c r="C78" s="32">
        <f>C81+C84+C87+C90+C93+C96</f>
        <v>128.19</v>
      </c>
      <c r="D78" s="32">
        <f>D81+D84+D87+D90+D93+D96</f>
        <v>445.92999999999995</v>
      </c>
      <c r="E78" s="32">
        <f>I78+K78+M78+O78+Q78+S78+U78+W78+Y78+AA78+AC78+AE78</f>
        <v>183.96</v>
      </c>
      <c r="F78" s="47">
        <f>D78/B78*100</f>
        <v>55.79704704704703</v>
      </c>
      <c r="G78" s="47">
        <f>E78/C78*100</f>
        <v>143.50573367657384</v>
      </c>
      <c r="H78" s="658">
        <f t="shared" si="30"/>
        <v>0</v>
      </c>
      <c r="I78" s="658">
        <f t="shared" si="30"/>
        <v>0</v>
      </c>
      <c r="J78" s="658">
        <f t="shared" si="30"/>
        <v>0</v>
      </c>
      <c r="K78" s="658">
        <f t="shared" si="30"/>
        <v>0</v>
      </c>
      <c r="L78" s="658">
        <f t="shared" si="30"/>
        <v>0</v>
      </c>
      <c r="M78" s="658">
        <f t="shared" si="30"/>
        <v>0</v>
      </c>
      <c r="N78" s="658">
        <f t="shared" si="30"/>
        <v>0</v>
      </c>
      <c r="O78" s="658">
        <f t="shared" si="30"/>
        <v>0</v>
      </c>
      <c r="P78" s="658">
        <f t="shared" si="30"/>
        <v>0</v>
      </c>
      <c r="Q78" s="658">
        <f t="shared" si="30"/>
        <v>0</v>
      </c>
      <c r="R78" s="658">
        <f t="shared" si="30"/>
        <v>0</v>
      </c>
      <c r="S78" s="658">
        <f t="shared" si="30"/>
        <v>0</v>
      </c>
      <c r="T78" s="658">
        <f t="shared" si="30"/>
        <v>0</v>
      </c>
      <c r="U78" s="658">
        <f t="shared" si="30"/>
        <v>0</v>
      </c>
      <c r="V78" s="658">
        <f t="shared" si="30"/>
        <v>0</v>
      </c>
      <c r="W78" s="658">
        <f t="shared" si="30"/>
        <v>0</v>
      </c>
      <c r="X78" s="47">
        <f>X80+X83+X86+X89+X95</f>
        <v>173.36</v>
      </c>
      <c r="Y78" s="47">
        <f>Y81+Y84+Y87+Y90+Y93+Y96</f>
        <v>183.96</v>
      </c>
      <c r="Z78" s="47"/>
      <c r="AA78" s="47"/>
      <c r="AB78" s="47"/>
      <c r="AC78" s="47"/>
      <c r="AD78" s="47"/>
      <c r="AE78" s="963"/>
      <c r="AF78" s="47"/>
      <c r="AG78" s="663"/>
    </row>
    <row r="79" spans="1:33" s="10" customFormat="1" ht="56.25" x14ac:dyDescent="0.3">
      <c r="A79" s="14" t="s">
        <v>117</v>
      </c>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963"/>
      <c r="AF79" s="47"/>
      <c r="AG79" s="663"/>
    </row>
    <row r="80" spans="1:33" s="10" customFormat="1" ht="18.75" x14ac:dyDescent="0.3">
      <c r="A80" s="13" t="s">
        <v>31</v>
      </c>
      <c r="B80" s="47">
        <f>B81</f>
        <v>109</v>
      </c>
      <c r="C80" s="47">
        <f>J80+L80+N80+P80+R80+T80+V80+X80+Z80+AB80+AD80</f>
        <v>109</v>
      </c>
      <c r="D80" s="658">
        <f>D81</f>
        <v>109</v>
      </c>
      <c r="E80" s="47">
        <f>E81</f>
        <v>109</v>
      </c>
      <c r="F80" s="47">
        <f>E80/B80*100</f>
        <v>100</v>
      </c>
      <c r="G80" s="47">
        <f>E80/C80*100</f>
        <v>100</v>
      </c>
      <c r="H80" s="47">
        <f t="shared" ref="H80:O80" si="31">H81</f>
        <v>0</v>
      </c>
      <c r="I80" s="47">
        <f t="shared" si="31"/>
        <v>0</v>
      </c>
      <c r="J80" s="47">
        <f t="shared" si="31"/>
        <v>1</v>
      </c>
      <c r="K80" s="47">
        <f t="shared" si="31"/>
        <v>1</v>
      </c>
      <c r="L80" s="47">
        <f t="shared" si="31"/>
        <v>0</v>
      </c>
      <c r="M80" s="47">
        <f t="shared" si="31"/>
        <v>0</v>
      </c>
      <c r="N80" s="47">
        <f t="shared" si="31"/>
        <v>0</v>
      </c>
      <c r="O80" s="47">
        <f t="shared" si="31"/>
        <v>0</v>
      </c>
      <c r="P80" s="47">
        <f t="shared" ref="P80:AE80" si="32">P81</f>
        <v>108</v>
      </c>
      <c r="Q80" s="658">
        <f t="shared" ref="I80:AE81" si="33">Q81</f>
        <v>0</v>
      </c>
      <c r="R80" s="658">
        <f t="shared" si="33"/>
        <v>0</v>
      </c>
      <c r="S80" s="658">
        <f t="shared" si="33"/>
        <v>0</v>
      </c>
      <c r="T80" s="658">
        <f t="shared" si="33"/>
        <v>0</v>
      </c>
      <c r="U80" s="658">
        <f t="shared" si="33"/>
        <v>0</v>
      </c>
      <c r="V80" s="658">
        <f t="shared" si="33"/>
        <v>0</v>
      </c>
      <c r="W80" s="658">
        <f t="shared" si="33"/>
        <v>0</v>
      </c>
      <c r="X80" s="658">
        <f t="shared" si="33"/>
        <v>0</v>
      </c>
      <c r="Y80" s="47">
        <f t="shared" si="32"/>
        <v>108</v>
      </c>
      <c r="Z80" s="47">
        <f t="shared" si="32"/>
        <v>0</v>
      </c>
      <c r="AA80" s="47">
        <f t="shared" si="32"/>
        <v>0</v>
      </c>
      <c r="AB80" s="47">
        <f t="shared" si="32"/>
        <v>0</v>
      </c>
      <c r="AC80" s="47">
        <f t="shared" si="32"/>
        <v>0</v>
      </c>
      <c r="AD80" s="47">
        <f t="shared" si="32"/>
        <v>0</v>
      </c>
      <c r="AE80" s="963">
        <f t="shared" si="32"/>
        <v>0</v>
      </c>
      <c r="AF80" s="694"/>
      <c r="AG80" s="663"/>
    </row>
    <row r="81" spans="1:33" s="10" customFormat="1" ht="18.75" x14ac:dyDescent="0.3">
      <c r="A81" s="13" t="s">
        <v>33</v>
      </c>
      <c r="B81" s="47">
        <f>J81+P81</f>
        <v>109</v>
      </c>
      <c r="C81" s="47">
        <f>H81+J81+L81+N81+P81+R81</f>
        <v>109</v>
      </c>
      <c r="D81" s="658">
        <f>K81+M81+O81+Q81+S81+U81+W81+Y81+AA81+AC81+AE81</f>
        <v>109</v>
      </c>
      <c r="E81" s="32">
        <f>I81+K81+M81+O81+Q81+S81+U81+W81+Y81+AA81+AC81+AE81</f>
        <v>109</v>
      </c>
      <c r="F81" s="47">
        <f>E81/B81*100</f>
        <v>100</v>
      </c>
      <c r="G81" s="47">
        <f>E81/C81*100</f>
        <v>100</v>
      </c>
      <c r="H81" s="658">
        <f>H82</f>
        <v>0</v>
      </c>
      <c r="I81" s="658">
        <f t="shared" si="33"/>
        <v>0</v>
      </c>
      <c r="J81" s="47">
        <v>1</v>
      </c>
      <c r="K81" s="47">
        <v>1</v>
      </c>
      <c r="L81" s="658">
        <v>0</v>
      </c>
      <c r="M81" s="658">
        <f t="shared" si="33"/>
        <v>0</v>
      </c>
      <c r="N81" s="658">
        <f t="shared" si="33"/>
        <v>0</v>
      </c>
      <c r="O81" s="658">
        <f t="shared" si="33"/>
        <v>0</v>
      </c>
      <c r="P81" s="47">
        <v>108</v>
      </c>
      <c r="Q81" s="658">
        <f t="shared" si="33"/>
        <v>0</v>
      </c>
      <c r="R81" s="658">
        <f t="shared" si="33"/>
        <v>0</v>
      </c>
      <c r="S81" s="658">
        <f t="shared" si="33"/>
        <v>0</v>
      </c>
      <c r="T81" s="658">
        <f t="shared" si="33"/>
        <v>0</v>
      </c>
      <c r="U81" s="658">
        <f t="shared" si="33"/>
        <v>0</v>
      </c>
      <c r="V81" s="658">
        <f t="shared" si="33"/>
        <v>0</v>
      </c>
      <c r="W81" s="658">
        <f t="shared" si="33"/>
        <v>0</v>
      </c>
      <c r="X81" s="658">
        <f t="shared" si="33"/>
        <v>0</v>
      </c>
      <c r="Y81" s="658">
        <v>108</v>
      </c>
      <c r="Z81" s="658">
        <f t="shared" si="33"/>
        <v>0</v>
      </c>
      <c r="AA81" s="658">
        <f t="shared" si="33"/>
        <v>0</v>
      </c>
      <c r="AB81" s="658">
        <f t="shared" si="33"/>
        <v>0</v>
      </c>
      <c r="AC81" s="658">
        <f t="shared" si="33"/>
        <v>0</v>
      </c>
      <c r="AD81" s="658">
        <f t="shared" si="33"/>
        <v>0</v>
      </c>
      <c r="AE81" s="960">
        <f t="shared" si="33"/>
        <v>0</v>
      </c>
      <c r="AF81" s="47"/>
      <c r="AG81" s="663"/>
    </row>
    <row r="82" spans="1:33" s="10" customFormat="1" ht="56.25" x14ac:dyDescent="0.3">
      <c r="A82" s="14" t="s">
        <v>118</v>
      </c>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963"/>
      <c r="AF82" s="47"/>
      <c r="AG82" s="663">
        <f>C81-E81</f>
        <v>0</v>
      </c>
    </row>
    <row r="83" spans="1:33" s="10" customFormat="1" ht="18.75" x14ac:dyDescent="0.3">
      <c r="A83" s="13" t="s">
        <v>31</v>
      </c>
      <c r="B83" s="47">
        <f>B84</f>
        <v>81.099999999999994</v>
      </c>
      <c r="C83" s="658">
        <f>C84</f>
        <v>0</v>
      </c>
      <c r="D83" s="658">
        <f>D84</f>
        <v>81.099999999999994</v>
      </c>
      <c r="E83" s="658">
        <f>E84</f>
        <v>81.099999999999994</v>
      </c>
      <c r="F83" s="658">
        <f>E83/B83*100</f>
        <v>100</v>
      </c>
      <c r="G83" s="47" t="e">
        <f>E83/C83*100</f>
        <v>#DIV/0!</v>
      </c>
      <c r="H83" s="658">
        <f>H84</f>
        <v>0</v>
      </c>
      <c r="I83" s="658">
        <f t="shared" ref="I83:AE84" si="34">I84</f>
        <v>0</v>
      </c>
      <c r="J83" s="658">
        <f t="shared" si="34"/>
        <v>0</v>
      </c>
      <c r="K83" s="658">
        <f t="shared" si="34"/>
        <v>0</v>
      </c>
      <c r="L83" s="658">
        <f t="shared" si="34"/>
        <v>0</v>
      </c>
      <c r="M83" s="658">
        <f t="shared" si="34"/>
        <v>0</v>
      </c>
      <c r="N83" s="658">
        <f t="shared" si="34"/>
        <v>0</v>
      </c>
      <c r="O83" s="658">
        <f t="shared" si="34"/>
        <v>0</v>
      </c>
      <c r="P83" s="658">
        <f t="shared" si="34"/>
        <v>0</v>
      </c>
      <c r="Q83" s="658">
        <f t="shared" si="34"/>
        <v>0</v>
      </c>
      <c r="R83" s="658">
        <f t="shared" si="34"/>
        <v>0</v>
      </c>
      <c r="S83" s="658">
        <f t="shared" si="34"/>
        <v>0</v>
      </c>
      <c r="T83" s="658">
        <f t="shared" si="34"/>
        <v>0</v>
      </c>
      <c r="U83" s="658">
        <f t="shared" si="34"/>
        <v>0</v>
      </c>
      <c r="V83" s="658">
        <f t="shared" si="34"/>
        <v>0</v>
      </c>
      <c r="W83" s="658">
        <f t="shared" si="34"/>
        <v>0</v>
      </c>
      <c r="X83" s="658">
        <f t="shared" si="34"/>
        <v>0</v>
      </c>
      <c r="Y83" s="658">
        <f t="shared" si="34"/>
        <v>0</v>
      </c>
      <c r="Z83" s="47">
        <f t="shared" si="34"/>
        <v>81.099999999999994</v>
      </c>
      <c r="AA83" s="47">
        <f t="shared" si="34"/>
        <v>81.099999999999994</v>
      </c>
      <c r="AB83" s="658">
        <f t="shared" si="34"/>
        <v>0</v>
      </c>
      <c r="AC83" s="658">
        <f t="shared" si="34"/>
        <v>0</v>
      </c>
      <c r="AD83" s="658">
        <f t="shared" si="34"/>
        <v>0</v>
      </c>
      <c r="AE83" s="960">
        <f t="shared" si="34"/>
        <v>0</v>
      </c>
      <c r="AF83" s="47"/>
      <c r="AG83" s="663"/>
    </row>
    <row r="84" spans="1:33" s="10" customFormat="1" ht="18.75" x14ac:dyDescent="0.3">
      <c r="A84" s="13" t="s">
        <v>33</v>
      </c>
      <c r="B84" s="47">
        <f>H84+J84+L84+N84+P84+R84+T84+V84+X84+Z84+AB84+AD84</f>
        <v>81.099999999999994</v>
      </c>
      <c r="C84" s="658">
        <f>H84+J84+L84+N84+P84+R84</f>
        <v>0</v>
      </c>
      <c r="D84" s="658">
        <f>I84+K84+M84+O84+Q84+S84+U84+W84+Y84+AA84+AC84+AE84</f>
        <v>81.099999999999994</v>
      </c>
      <c r="E84" s="32">
        <f>I84+K84+M84+O84+Q84+S84+U84+W84+Y84+AA84+AC84+AE84</f>
        <v>81.099999999999994</v>
      </c>
      <c r="F84" s="658">
        <f>D84/B84*100</f>
        <v>100</v>
      </c>
      <c r="G84" s="47" t="e">
        <f>E84/C84*100</f>
        <v>#DIV/0!</v>
      </c>
      <c r="H84" s="658">
        <f>H85</f>
        <v>0</v>
      </c>
      <c r="I84" s="658">
        <f t="shared" si="34"/>
        <v>0</v>
      </c>
      <c r="J84" s="658">
        <f t="shared" si="34"/>
        <v>0</v>
      </c>
      <c r="K84" s="658">
        <f t="shared" si="34"/>
        <v>0</v>
      </c>
      <c r="L84" s="658">
        <f t="shared" si="34"/>
        <v>0</v>
      </c>
      <c r="M84" s="658">
        <f t="shared" si="34"/>
        <v>0</v>
      </c>
      <c r="N84" s="658">
        <f t="shared" si="34"/>
        <v>0</v>
      </c>
      <c r="O84" s="658">
        <f t="shared" si="34"/>
        <v>0</v>
      </c>
      <c r="P84" s="658">
        <f t="shared" si="34"/>
        <v>0</v>
      </c>
      <c r="Q84" s="658">
        <f t="shared" si="34"/>
        <v>0</v>
      </c>
      <c r="R84" s="658">
        <f t="shared" si="34"/>
        <v>0</v>
      </c>
      <c r="S84" s="658">
        <f t="shared" si="34"/>
        <v>0</v>
      </c>
      <c r="T84" s="658">
        <f t="shared" si="34"/>
        <v>0</v>
      </c>
      <c r="U84" s="658">
        <f t="shared" si="34"/>
        <v>0</v>
      </c>
      <c r="V84" s="658">
        <f t="shared" si="34"/>
        <v>0</v>
      </c>
      <c r="W84" s="658">
        <f t="shared" si="34"/>
        <v>0</v>
      </c>
      <c r="X84" s="658">
        <f t="shared" si="34"/>
        <v>0</v>
      </c>
      <c r="Y84" s="658">
        <f t="shared" si="34"/>
        <v>0</v>
      </c>
      <c r="Z84" s="47">
        <v>81.099999999999994</v>
      </c>
      <c r="AA84" s="47">
        <v>81.099999999999994</v>
      </c>
      <c r="AB84" s="658">
        <f t="shared" si="34"/>
        <v>0</v>
      </c>
      <c r="AC84" s="658">
        <f t="shared" si="34"/>
        <v>0</v>
      </c>
      <c r="AD84" s="658">
        <f t="shared" si="34"/>
        <v>0</v>
      </c>
      <c r="AE84" s="960">
        <f t="shared" si="34"/>
        <v>0</v>
      </c>
      <c r="AF84" s="47"/>
      <c r="AG84" s="663"/>
    </row>
    <row r="85" spans="1:33" s="10" customFormat="1" ht="131.25" x14ac:dyDescent="0.3">
      <c r="A85" s="14" t="s">
        <v>119</v>
      </c>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963"/>
      <c r="AF85" s="47"/>
      <c r="AG85" s="663"/>
    </row>
    <row r="86" spans="1:33" s="10" customFormat="1" ht="18.75" x14ac:dyDescent="0.3">
      <c r="A86" s="13" t="s">
        <v>31</v>
      </c>
      <c r="B86" s="47">
        <f>B87</f>
        <v>340</v>
      </c>
      <c r="C86" s="658">
        <f t="shared" ref="C86:E87" si="35">C87</f>
        <v>0</v>
      </c>
      <c r="D86" s="658">
        <f t="shared" si="35"/>
        <v>0</v>
      </c>
      <c r="E86" s="658">
        <f t="shared" si="35"/>
        <v>72.599999999999994</v>
      </c>
      <c r="F86" s="658">
        <f>E86/B86*100</f>
        <v>21.352941176470587</v>
      </c>
      <c r="G86" s="47" t="e">
        <f>E86/C86*100</f>
        <v>#DIV/0!</v>
      </c>
      <c r="H86" s="658">
        <v>0</v>
      </c>
      <c r="I86" s="658">
        <v>0</v>
      </c>
      <c r="J86" s="658">
        <v>0</v>
      </c>
      <c r="K86" s="658">
        <v>0</v>
      </c>
      <c r="L86" s="658">
        <v>0</v>
      </c>
      <c r="M86" s="658">
        <v>0</v>
      </c>
      <c r="N86" s="658">
        <v>0</v>
      </c>
      <c r="O86" s="658">
        <v>0</v>
      </c>
      <c r="P86" s="658">
        <v>0</v>
      </c>
      <c r="Q86" s="658">
        <v>0</v>
      </c>
      <c r="R86" s="658">
        <v>0</v>
      </c>
      <c r="S86" s="658">
        <v>0</v>
      </c>
      <c r="T86" s="658">
        <v>0</v>
      </c>
      <c r="U86" s="658">
        <v>0</v>
      </c>
      <c r="V86" s="658">
        <v>0</v>
      </c>
      <c r="W86" s="658">
        <v>0</v>
      </c>
      <c r="X86" s="658">
        <f>X87</f>
        <v>170</v>
      </c>
      <c r="Y86" s="658">
        <f>Y87</f>
        <v>72.599999999999994</v>
      </c>
      <c r="Z86" s="658">
        <v>0</v>
      </c>
      <c r="AA86" s="658">
        <v>0</v>
      </c>
      <c r="AB86" s="658">
        <v>0</v>
      </c>
      <c r="AC86" s="658">
        <v>0</v>
      </c>
      <c r="AD86" s="47">
        <f>AD87</f>
        <v>170</v>
      </c>
      <c r="AE86" s="963"/>
      <c r="AF86" s="47"/>
      <c r="AG86" s="663"/>
    </row>
    <row r="87" spans="1:33" s="10" customFormat="1" ht="18.75" x14ac:dyDescent="0.3">
      <c r="A87" s="13" t="s">
        <v>33</v>
      </c>
      <c r="B87" s="47">
        <f>H87+J87+L87+N87+P87+R87+T87+V87+X87+Z87+AB87+AD87</f>
        <v>340</v>
      </c>
      <c r="C87" s="658">
        <f>H87+J87+L87+N87+P87+R87</f>
        <v>0</v>
      </c>
      <c r="D87" s="658">
        <f t="shared" si="35"/>
        <v>0</v>
      </c>
      <c r="E87" s="32">
        <f>I87+K87+M87+O87+Q87+S87+U87+W87+Y87+AA87+AC87+AE87</f>
        <v>72.599999999999994</v>
      </c>
      <c r="F87" s="658">
        <f>D87/B87*100</f>
        <v>0</v>
      </c>
      <c r="G87" s="47" t="e">
        <f>E87/C87*100</f>
        <v>#DIV/0!</v>
      </c>
      <c r="H87" s="658">
        <v>0</v>
      </c>
      <c r="I87" s="658">
        <v>0</v>
      </c>
      <c r="J87" s="658">
        <v>0</v>
      </c>
      <c r="K87" s="658">
        <v>0</v>
      </c>
      <c r="L87" s="658">
        <v>0</v>
      </c>
      <c r="M87" s="658">
        <v>0</v>
      </c>
      <c r="N87" s="658">
        <v>0</v>
      </c>
      <c r="O87" s="658">
        <v>0</v>
      </c>
      <c r="P87" s="658">
        <v>0</v>
      </c>
      <c r="Q87" s="658">
        <v>0</v>
      </c>
      <c r="R87" s="658">
        <v>0</v>
      </c>
      <c r="S87" s="658">
        <v>0</v>
      </c>
      <c r="T87" s="658">
        <v>0</v>
      </c>
      <c r="U87" s="658">
        <v>0</v>
      </c>
      <c r="V87" s="658">
        <v>0</v>
      </c>
      <c r="W87" s="658">
        <v>0</v>
      </c>
      <c r="X87" s="658">
        <v>170</v>
      </c>
      <c r="Y87" s="658">
        <v>72.599999999999994</v>
      </c>
      <c r="Z87" s="658">
        <v>0</v>
      </c>
      <c r="AA87" s="658">
        <v>0</v>
      </c>
      <c r="AB87" s="658">
        <v>0</v>
      </c>
      <c r="AC87" s="658">
        <v>0</v>
      </c>
      <c r="AD87" s="47">
        <v>170</v>
      </c>
      <c r="AE87" s="963"/>
      <c r="AF87" s="47"/>
      <c r="AG87" s="663"/>
    </row>
    <row r="88" spans="1:33" s="10" customFormat="1" ht="375" x14ac:dyDescent="0.3">
      <c r="A88" s="14" t="s">
        <v>120</v>
      </c>
      <c r="B88" s="47"/>
      <c r="C88" s="47"/>
      <c r="D88" s="47"/>
      <c r="E88" s="47"/>
      <c r="F88" s="47"/>
      <c r="G88" s="47"/>
      <c r="H88" s="47"/>
      <c r="I88" s="47"/>
      <c r="J88" s="47"/>
      <c r="K88" s="47"/>
      <c r="L88" s="47"/>
      <c r="M88" s="47"/>
      <c r="N88" s="47"/>
      <c r="O88" s="47"/>
      <c r="P88" s="47"/>
      <c r="Q88" s="47"/>
      <c r="R88" s="47"/>
      <c r="S88" s="47"/>
      <c r="T88" s="47"/>
      <c r="U88" s="47" t="s">
        <v>534</v>
      </c>
      <c r="V88" s="47"/>
      <c r="W88" s="47"/>
      <c r="X88" s="47"/>
      <c r="Y88" s="47"/>
      <c r="Z88" s="47"/>
      <c r="AA88" s="47"/>
      <c r="AB88" s="47"/>
      <c r="AC88" s="47"/>
      <c r="AD88" s="47"/>
      <c r="AE88" s="963"/>
      <c r="AF88" s="47"/>
      <c r="AG88" s="663"/>
    </row>
    <row r="89" spans="1:33" s="10" customFormat="1" ht="18.75" x14ac:dyDescent="0.3">
      <c r="A89" s="13" t="s">
        <v>31</v>
      </c>
      <c r="B89" s="47">
        <f>B90</f>
        <v>20.7</v>
      </c>
      <c r="C89" s="658">
        <f>C90</f>
        <v>13.989999999999998</v>
      </c>
      <c r="D89" s="658">
        <f>D90</f>
        <v>10.629999999999999</v>
      </c>
      <c r="E89" s="658">
        <f>E90</f>
        <v>20.7</v>
      </c>
      <c r="F89" s="658">
        <f>E89/B89*100</f>
        <v>100</v>
      </c>
      <c r="G89" s="47">
        <f>E89/C89*100</f>
        <v>147.96283059328093</v>
      </c>
      <c r="H89" s="658">
        <f>H90</f>
        <v>0</v>
      </c>
      <c r="I89" s="658">
        <f t="shared" ref="I89:AE90" si="36">I90</f>
        <v>0</v>
      </c>
      <c r="J89" s="47">
        <f t="shared" si="36"/>
        <v>7.27</v>
      </c>
      <c r="K89" s="47">
        <f t="shared" si="36"/>
        <v>7.27</v>
      </c>
      <c r="L89" s="47">
        <f t="shared" si="36"/>
        <v>3.36</v>
      </c>
      <c r="M89" s="47">
        <f t="shared" si="36"/>
        <v>3.36</v>
      </c>
      <c r="N89" s="658">
        <f t="shared" si="36"/>
        <v>0</v>
      </c>
      <c r="O89" s="658">
        <f t="shared" si="36"/>
        <v>0</v>
      </c>
      <c r="P89" s="658">
        <f t="shared" si="36"/>
        <v>0</v>
      </c>
      <c r="Q89" s="658">
        <f t="shared" si="36"/>
        <v>0</v>
      </c>
      <c r="R89" s="47">
        <f t="shared" si="36"/>
        <v>3.36</v>
      </c>
      <c r="S89" s="658">
        <f t="shared" si="36"/>
        <v>3.36</v>
      </c>
      <c r="T89" s="658">
        <f t="shared" si="36"/>
        <v>0</v>
      </c>
      <c r="U89" s="658">
        <f t="shared" si="36"/>
        <v>0</v>
      </c>
      <c r="V89" s="658">
        <f t="shared" si="36"/>
        <v>0</v>
      </c>
      <c r="W89" s="658">
        <f t="shared" si="36"/>
        <v>0</v>
      </c>
      <c r="X89" s="47">
        <f t="shared" si="36"/>
        <v>3.36</v>
      </c>
      <c r="Y89" s="658">
        <f t="shared" si="36"/>
        <v>3.36</v>
      </c>
      <c r="Z89" s="658">
        <f t="shared" si="36"/>
        <v>0</v>
      </c>
      <c r="AA89" s="658">
        <f t="shared" si="36"/>
        <v>0</v>
      </c>
      <c r="AB89" s="47">
        <f t="shared" si="36"/>
        <v>3.35</v>
      </c>
      <c r="AC89" s="658"/>
      <c r="AD89" s="658">
        <f t="shared" si="36"/>
        <v>0</v>
      </c>
      <c r="AE89" s="960">
        <f t="shared" si="36"/>
        <v>3.35</v>
      </c>
      <c r="AF89" s="47"/>
      <c r="AG89" s="663"/>
    </row>
    <row r="90" spans="1:33" s="10" customFormat="1" ht="18.75" x14ac:dyDescent="0.3">
      <c r="A90" s="13" t="s">
        <v>33</v>
      </c>
      <c r="B90" s="47">
        <f>H90+J90+L90+N90+P90+R90+T90+V90+X90+Z90+AB90+AD90</f>
        <v>20.7</v>
      </c>
      <c r="C90" s="658">
        <f>H90+J90+L90+N90+P90+R90</f>
        <v>13.989999999999998</v>
      </c>
      <c r="D90" s="658">
        <f>K90+M90</f>
        <v>10.629999999999999</v>
      </c>
      <c r="E90" s="32">
        <f>I90+K90+M90+O90+Q90+S90+U90+W90+Y90+AA90+AC90+AE90</f>
        <v>20.7</v>
      </c>
      <c r="F90" s="658">
        <f>D90/B90*100</f>
        <v>51.352657004830917</v>
      </c>
      <c r="G90" s="47">
        <f>E90/C90*100</f>
        <v>147.96283059328093</v>
      </c>
      <c r="H90" s="658">
        <f>H91</f>
        <v>0</v>
      </c>
      <c r="I90" s="658">
        <f t="shared" si="36"/>
        <v>0</v>
      </c>
      <c r="J90" s="47">
        <v>7.27</v>
      </c>
      <c r="K90" s="47">
        <v>7.27</v>
      </c>
      <c r="L90" s="47">
        <v>3.36</v>
      </c>
      <c r="M90" s="47">
        <v>3.36</v>
      </c>
      <c r="N90" s="658">
        <v>0</v>
      </c>
      <c r="O90" s="658">
        <v>0</v>
      </c>
      <c r="P90" s="658">
        <v>0</v>
      </c>
      <c r="Q90" s="658">
        <v>0</v>
      </c>
      <c r="R90" s="47">
        <v>3.36</v>
      </c>
      <c r="S90" s="658">
        <v>3.36</v>
      </c>
      <c r="T90" s="658">
        <v>0</v>
      </c>
      <c r="U90" s="658">
        <f t="shared" si="36"/>
        <v>0</v>
      </c>
      <c r="V90" s="658">
        <v>0</v>
      </c>
      <c r="W90" s="658">
        <v>0</v>
      </c>
      <c r="X90" s="47">
        <v>3.36</v>
      </c>
      <c r="Y90" s="658">
        <v>3.36</v>
      </c>
      <c r="Z90" s="658">
        <v>0</v>
      </c>
      <c r="AA90" s="658">
        <v>0</v>
      </c>
      <c r="AB90" s="47">
        <v>3.35</v>
      </c>
      <c r="AC90" s="658"/>
      <c r="AD90" s="658">
        <v>0</v>
      </c>
      <c r="AE90" s="960">
        <v>3.35</v>
      </c>
      <c r="AF90" s="47"/>
      <c r="AG90" s="663"/>
    </row>
    <row r="91" spans="1:33" s="10" customFormat="1" ht="56.25" x14ac:dyDescent="0.3">
      <c r="A91" s="14" t="s">
        <v>121</v>
      </c>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963"/>
      <c r="AF91" s="47"/>
      <c r="AG91" s="663"/>
    </row>
    <row r="92" spans="1:33" s="10" customFormat="1" ht="18.75" x14ac:dyDescent="0.3">
      <c r="A92" s="13" t="s">
        <v>31</v>
      </c>
      <c r="B92" s="47">
        <f>B93</f>
        <v>8.4</v>
      </c>
      <c r="C92" s="658">
        <f>C93</f>
        <v>5.2</v>
      </c>
      <c r="D92" s="658">
        <f>D93</f>
        <v>5.2</v>
      </c>
      <c r="E92" s="658">
        <f>E93</f>
        <v>8.4</v>
      </c>
      <c r="F92" s="658">
        <f>E92/B92*100</f>
        <v>100</v>
      </c>
      <c r="G92" s="47">
        <f>E92/C92*100</f>
        <v>161.53846153846155</v>
      </c>
      <c r="H92" s="658">
        <f>H93</f>
        <v>0</v>
      </c>
      <c r="I92" s="658">
        <f t="shared" ref="I92:AE92" si="37">I93</f>
        <v>0</v>
      </c>
      <c r="J92" s="47">
        <f t="shared" si="37"/>
        <v>5.2</v>
      </c>
      <c r="K92" s="47">
        <f t="shared" si="37"/>
        <v>5.2</v>
      </c>
      <c r="L92" s="658">
        <f t="shared" si="37"/>
        <v>0</v>
      </c>
      <c r="M92" s="658">
        <f t="shared" si="37"/>
        <v>0</v>
      </c>
      <c r="N92" s="658">
        <f t="shared" si="37"/>
        <v>0</v>
      </c>
      <c r="O92" s="658">
        <f t="shared" si="37"/>
        <v>0</v>
      </c>
      <c r="P92" s="658">
        <f t="shared" si="37"/>
        <v>0</v>
      </c>
      <c r="Q92" s="658">
        <f t="shared" si="37"/>
        <v>0</v>
      </c>
      <c r="R92" s="658">
        <f t="shared" si="37"/>
        <v>0</v>
      </c>
      <c r="S92" s="658">
        <f t="shared" si="37"/>
        <v>0</v>
      </c>
      <c r="T92" s="658">
        <f t="shared" si="37"/>
        <v>0</v>
      </c>
      <c r="U92" s="658">
        <f t="shared" si="37"/>
        <v>0</v>
      </c>
      <c r="V92" s="658">
        <f t="shared" si="37"/>
        <v>3.2</v>
      </c>
      <c r="W92" s="658">
        <f t="shared" si="37"/>
        <v>3.2</v>
      </c>
      <c r="X92" s="658">
        <f t="shared" si="37"/>
        <v>0</v>
      </c>
      <c r="Y92" s="658">
        <f t="shared" si="37"/>
        <v>0</v>
      </c>
      <c r="Z92" s="658">
        <f t="shared" si="37"/>
        <v>0</v>
      </c>
      <c r="AA92" s="658">
        <f t="shared" si="37"/>
        <v>0</v>
      </c>
      <c r="AB92" s="658">
        <f t="shared" si="37"/>
        <v>0</v>
      </c>
      <c r="AC92" s="658">
        <f t="shared" si="37"/>
        <v>0</v>
      </c>
      <c r="AD92" s="658">
        <f t="shared" si="37"/>
        <v>0</v>
      </c>
      <c r="AE92" s="960">
        <f t="shared" si="37"/>
        <v>0</v>
      </c>
      <c r="AF92" s="47"/>
      <c r="AG92" s="663"/>
    </row>
    <row r="93" spans="1:33" s="10" customFormat="1" ht="18.75" x14ac:dyDescent="0.3">
      <c r="A93" s="13" t="s">
        <v>33</v>
      </c>
      <c r="B93" s="47">
        <f>H93+J93+L93+N93+P93+R93+T93+V93+X93+Z93+AB93+AD93</f>
        <v>8.4</v>
      </c>
      <c r="C93" s="658">
        <f>H93+J93+L93+N93+P93+R93</f>
        <v>5.2</v>
      </c>
      <c r="D93" s="658">
        <f>K93</f>
        <v>5.2</v>
      </c>
      <c r="E93" s="32">
        <f>I93+K93+M93+O93+Q93+S93+U93+W93+Y93+AA93+AC93+AE93</f>
        <v>8.4</v>
      </c>
      <c r="F93" s="658">
        <f>E93/B93*100</f>
        <v>100</v>
      </c>
      <c r="G93" s="47">
        <f>E93/C93*100</f>
        <v>161.53846153846155</v>
      </c>
      <c r="H93" s="658">
        <v>0</v>
      </c>
      <c r="I93" s="658">
        <v>0</v>
      </c>
      <c r="J93" s="47">
        <v>5.2</v>
      </c>
      <c r="K93" s="47">
        <v>5.2</v>
      </c>
      <c r="L93" s="658">
        <v>0</v>
      </c>
      <c r="M93" s="658">
        <v>0</v>
      </c>
      <c r="N93" s="658">
        <v>0</v>
      </c>
      <c r="O93" s="658">
        <v>0</v>
      </c>
      <c r="P93" s="658">
        <v>0</v>
      </c>
      <c r="Q93" s="658">
        <v>0</v>
      </c>
      <c r="R93" s="658">
        <v>0</v>
      </c>
      <c r="S93" s="658">
        <v>0</v>
      </c>
      <c r="T93" s="658">
        <v>0</v>
      </c>
      <c r="U93" s="658">
        <v>0</v>
      </c>
      <c r="V93" s="658">
        <v>3.2</v>
      </c>
      <c r="W93" s="658">
        <v>3.2</v>
      </c>
      <c r="X93" s="658">
        <v>0</v>
      </c>
      <c r="Y93" s="658">
        <v>0</v>
      </c>
      <c r="Z93" s="658">
        <v>0</v>
      </c>
      <c r="AA93" s="658">
        <v>0</v>
      </c>
      <c r="AB93" s="658">
        <v>0</v>
      </c>
      <c r="AC93" s="658">
        <v>0</v>
      </c>
      <c r="AD93" s="658">
        <v>0</v>
      </c>
      <c r="AE93" s="960">
        <v>0</v>
      </c>
      <c r="AF93" s="47"/>
      <c r="AG93" s="663"/>
    </row>
    <row r="94" spans="1:33" s="10" customFormat="1" ht="56.25" x14ac:dyDescent="0.3">
      <c r="A94" s="14" t="s">
        <v>122</v>
      </c>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963"/>
      <c r="AF94" s="47"/>
      <c r="AG94" s="663"/>
    </row>
    <row r="95" spans="1:33" s="10" customFormat="1" ht="18.75" x14ac:dyDescent="0.3">
      <c r="A95" s="13" t="s">
        <v>31</v>
      </c>
      <c r="B95" s="47">
        <f>B96</f>
        <v>240</v>
      </c>
      <c r="C95" s="658">
        <f>C96</f>
        <v>0</v>
      </c>
      <c r="D95" s="658">
        <f>D96</f>
        <v>240</v>
      </c>
      <c r="E95" s="658">
        <f>E96</f>
        <v>410</v>
      </c>
      <c r="F95" s="658">
        <f>E95/B95*100</f>
        <v>170.83333333333331</v>
      </c>
      <c r="G95" s="47" t="e">
        <f>E95/C95*100</f>
        <v>#DIV/0!</v>
      </c>
      <c r="H95" s="658">
        <f>H96</f>
        <v>0</v>
      </c>
      <c r="I95" s="658">
        <f t="shared" ref="I95:AE96" si="38">I96</f>
        <v>0</v>
      </c>
      <c r="J95" s="658">
        <f t="shared" si="38"/>
        <v>0</v>
      </c>
      <c r="K95" s="658">
        <f t="shared" si="38"/>
        <v>0</v>
      </c>
      <c r="L95" s="658">
        <f t="shared" si="38"/>
        <v>0</v>
      </c>
      <c r="M95" s="658">
        <f t="shared" si="38"/>
        <v>0</v>
      </c>
      <c r="N95" s="658">
        <f t="shared" si="38"/>
        <v>0</v>
      </c>
      <c r="O95" s="658">
        <f t="shared" si="38"/>
        <v>0</v>
      </c>
      <c r="P95" s="658">
        <f t="shared" si="38"/>
        <v>0</v>
      </c>
      <c r="Q95" s="658">
        <f t="shared" si="38"/>
        <v>0</v>
      </c>
      <c r="R95" s="658">
        <f t="shared" si="38"/>
        <v>0</v>
      </c>
      <c r="S95" s="658">
        <f t="shared" si="38"/>
        <v>0</v>
      </c>
      <c r="T95" s="658">
        <f t="shared" si="38"/>
        <v>0</v>
      </c>
      <c r="U95" s="658">
        <f t="shared" si="38"/>
        <v>0</v>
      </c>
      <c r="V95" s="658">
        <f t="shared" si="38"/>
        <v>0</v>
      </c>
      <c r="W95" s="658">
        <f t="shared" si="38"/>
        <v>0</v>
      </c>
      <c r="X95" s="658">
        <f t="shared" si="38"/>
        <v>0</v>
      </c>
      <c r="Y95" s="658">
        <f t="shared" si="38"/>
        <v>0</v>
      </c>
      <c r="Z95" s="47">
        <f t="shared" si="38"/>
        <v>240</v>
      </c>
      <c r="AA95" s="658">
        <f t="shared" si="38"/>
        <v>240</v>
      </c>
      <c r="AB95" s="658">
        <f t="shared" si="38"/>
        <v>0</v>
      </c>
      <c r="AC95" s="658">
        <f>AC96</f>
        <v>170</v>
      </c>
      <c r="AD95" s="658">
        <f t="shared" si="38"/>
        <v>0</v>
      </c>
      <c r="AE95" s="960">
        <f t="shared" si="38"/>
        <v>0</v>
      </c>
      <c r="AF95" s="47"/>
      <c r="AG95" s="663"/>
    </row>
    <row r="96" spans="1:33" s="10" customFormat="1" ht="18.75" x14ac:dyDescent="0.3">
      <c r="A96" s="13" t="s">
        <v>33</v>
      </c>
      <c r="B96" s="47">
        <f>H96+J96+L96+N96+P96+R96+T96+V96+X96+Z96+AB96+AD96</f>
        <v>240</v>
      </c>
      <c r="C96" s="658">
        <f>H96+J96+L96+N96+P96+R96</f>
        <v>0</v>
      </c>
      <c r="D96" s="658">
        <f>AA96</f>
        <v>240</v>
      </c>
      <c r="E96" s="32">
        <f>I96+K96+M96+O96+Q96+S96+U96+W96+Y96+AA96+AC96+AE96</f>
        <v>410</v>
      </c>
      <c r="F96" s="658">
        <f>D96/B96*100</f>
        <v>100</v>
      </c>
      <c r="G96" s="47" t="e">
        <f>E96/C96*100</f>
        <v>#DIV/0!</v>
      </c>
      <c r="H96" s="658">
        <f>H97</f>
        <v>0</v>
      </c>
      <c r="I96" s="658">
        <f t="shared" si="38"/>
        <v>0</v>
      </c>
      <c r="J96" s="658">
        <f t="shared" si="38"/>
        <v>0</v>
      </c>
      <c r="K96" s="658">
        <f t="shared" si="38"/>
        <v>0</v>
      </c>
      <c r="L96" s="658">
        <f t="shared" si="38"/>
        <v>0</v>
      </c>
      <c r="M96" s="658">
        <f t="shared" si="38"/>
        <v>0</v>
      </c>
      <c r="N96" s="658">
        <f t="shared" si="38"/>
        <v>0</v>
      </c>
      <c r="O96" s="658">
        <f t="shared" si="38"/>
        <v>0</v>
      </c>
      <c r="P96" s="658">
        <f t="shared" si="38"/>
        <v>0</v>
      </c>
      <c r="Q96" s="658">
        <f t="shared" si="38"/>
        <v>0</v>
      </c>
      <c r="R96" s="658">
        <f t="shared" si="38"/>
        <v>0</v>
      </c>
      <c r="S96" s="658">
        <f t="shared" si="38"/>
        <v>0</v>
      </c>
      <c r="T96" s="658">
        <f t="shared" si="38"/>
        <v>0</v>
      </c>
      <c r="U96" s="658">
        <f t="shared" si="38"/>
        <v>0</v>
      </c>
      <c r="V96" s="658">
        <f t="shared" si="38"/>
        <v>0</v>
      </c>
      <c r="W96" s="658">
        <f t="shared" si="38"/>
        <v>0</v>
      </c>
      <c r="X96" s="658">
        <f t="shared" si="38"/>
        <v>0</v>
      </c>
      <c r="Y96" s="658">
        <f t="shared" si="38"/>
        <v>0</v>
      </c>
      <c r="Z96" s="47">
        <v>240</v>
      </c>
      <c r="AA96" s="658">
        <v>240</v>
      </c>
      <c r="AB96" s="658">
        <f t="shared" si="38"/>
        <v>0</v>
      </c>
      <c r="AC96" s="658">
        <v>170</v>
      </c>
      <c r="AD96" s="658">
        <f t="shared" si="38"/>
        <v>0</v>
      </c>
      <c r="AE96" s="960">
        <f t="shared" si="38"/>
        <v>0</v>
      </c>
      <c r="AF96" s="47"/>
      <c r="AG96" s="663"/>
    </row>
    <row r="97" spans="1:33" ht="18.75" x14ac:dyDescent="0.3">
      <c r="A97" s="55" t="s">
        <v>35</v>
      </c>
      <c r="B97" s="47"/>
      <c r="C97" s="32"/>
      <c r="D97" s="32"/>
      <c r="E97" s="32"/>
      <c r="F97" s="32"/>
      <c r="G97" s="47"/>
      <c r="H97" s="47"/>
      <c r="I97" s="47"/>
      <c r="J97" s="47"/>
      <c r="K97" s="47"/>
      <c r="L97" s="47"/>
      <c r="M97" s="47"/>
      <c r="N97" s="47"/>
      <c r="O97" s="47"/>
      <c r="P97" s="47"/>
      <c r="Q97" s="47"/>
      <c r="R97" s="47"/>
      <c r="S97" s="47"/>
      <c r="T97" s="47"/>
      <c r="U97" s="47"/>
      <c r="V97" s="47"/>
      <c r="W97" s="47"/>
      <c r="X97" s="47"/>
      <c r="Y97" s="47"/>
      <c r="Z97" s="47"/>
      <c r="AA97" s="47"/>
      <c r="AB97" s="47"/>
      <c r="AC97" s="47"/>
      <c r="AD97" s="47"/>
      <c r="AE97" s="963"/>
      <c r="AF97" s="47"/>
      <c r="AG97" s="663"/>
    </row>
    <row r="98" spans="1:33" ht="18.75" x14ac:dyDescent="0.3">
      <c r="A98" s="13" t="s">
        <v>31</v>
      </c>
      <c r="B98" s="47">
        <f>B99</f>
        <v>1201.19</v>
      </c>
      <c r="C98" s="47">
        <f>C99</f>
        <v>298.98</v>
      </c>
      <c r="D98" s="47">
        <f>D99</f>
        <v>664.32999999999993</v>
      </c>
      <c r="E98" s="47">
        <f>E99</f>
        <v>167.21</v>
      </c>
      <c r="F98" s="47">
        <f>D98/B98*100</f>
        <v>55.305988228340219</v>
      </c>
      <c r="G98" s="47">
        <f>E98/C98*100</f>
        <v>55.926817847347642</v>
      </c>
      <c r="H98" s="47">
        <f t="shared" ref="H98:M98" si="39">H99</f>
        <v>0</v>
      </c>
      <c r="I98" s="47">
        <f t="shared" si="39"/>
        <v>0</v>
      </c>
      <c r="J98" s="47">
        <f t="shared" si="39"/>
        <v>162.85999999999999</v>
      </c>
      <c r="K98" s="47">
        <f t="shared" si="39"/>
        <v>163.85</v>
      </c>
      <c r="L98" s="47">
        <f t="shared" si="39"/>
        <v>3.36</v>
      </c>
      <c r="M98" s="47">
        <f t="shared" si="39"/>
        <v>3.36</v>
      </c>
      <c r="N98" s="47">
        <f t="shared" ref="N98:AE98" si="40">N99</f>
        <v>0</v>
      </c>
      <c r="O98" s="47">
        <f t="shared" si="40"/>
        <v>0</v>
      </c>
      <c r="P98" s="47">
        <f t="shared" si="40"/>
        <v>108</v>
      </c>
      <c r="Q98" s="47">
        <f t="shared" si="40"/>
        <v>0</v>
      </c>
      <c r="R98" s="47">
        <f t="shared" si="40"/>
        <v>3.36</v>
      </c>
      <c r="S98" s="47">
        <f t="shared" si="40"/>
        <v>3.36</v>
      </c>
      <c r="T98" s="47">
        <f t="shared" si="40"/>
        <v>0</v>
      </c>
      <c r="U98" s="47">
        <f t="shared" si="40"/>
        <v>0</v>
      </c>
      <c r="V98" s="47">
        <f t="shared" si="40"/>
        <v>3.2</v>
      </c>
      <c r="W98" s="47">
        <f t="shared" si="40"/>
        <v>3.2</v>
      </c>
      <c r="X98" s="47">
        <f t="shared" si="40"/>
        <v>513.36</v>
      </c>
      <c r="Y98" s="47">
        <f t="shared" si="40"/>
        <v>329.15999999999997</v>
      </c>
      <c r="Z98" s="47">
        <f t="shared" si="40"/>
        <v>81.099999999999994</v>
      </c>
      <c r="AA98" s="47">
        <f t="shared" si="40"/>
        <v>263.98</v>
      </c>
      <c r="AB98" s="47">
        <f t="shared" si="40"/>
        <v>3.35</v>
      </c>
      <c r="AC98" s="47">
        <f t="shared" si="40"/>
        <v>0</v>
      </c>
      <c r="AD98" s="47">
        <f t="shared" si="40"/>
        <v>170</v>
      </c>
      <c r="AE98" s="963">
        <f t="shared" si="40"/>
        <v>3.35</v>
      </c>
      <c r="AF98" s="47"/>
      <c r="AG98" s="663"/>
    </row>
    <row r="99" spans="1:33" ht="18.75" x14ac:dyDescent="0.3">
      <c r="A99" s="13" t="s">
        <v>33</v>
      </c>
      <c r="B99" s="47">
        <f>B66+B72+B78</f>
        <v>1201.19</v>
      </c>
      <c r="C99" s="47">
        <f>C66+C72+C78</f>
        <v>298.98</v>
      </c>
      <c r="D99" s="47">
        <f>D66+D72+D78</f>
        <v>664.32999999999993</v>
      </c>
      <c r="E99" s="47">
        <f>K99+M99</f>
        <v>167.21</v>
      </c>
      <c r="F99" s="47">
        <f>D99/B99*100</f>
        <v>55.305988228340219</v>
      </c>
      <c r="G99" s="47">
        <f>E99/C99*100</f>
        <v>55.926817847347642</v>
      </c>
      <c r="H99" s="47">
        <f>H66+H72+H78</f>
        <v>0</v>
      </c>
      <c r="I99" s="47"/>
      <c r="J99" s="47">
        <f>J101</f>
        <v>162.85999999999999</v>
      </c>
      <c r="K99" s="47">
        <f>K101</f>
        <v>163.85</v>
      </c>
      <c r="L99" s="47">
        <f>L101</f>
        <v>3.36</v>
      </c>
      <c r="M99" s="47">
        <f>M101</f>
        <v>3.36</v>
      </c>
      <c r="N99" s="47">
        <f>N101</f>
        <v>0</v>
      </c>
      <c r="O99" s="47">
        <f t="shared" ref="O99:AE99" si="41">O101</f>
        <v>0</v>
      </c>
      <c r="P99" s="47">
        <f t="shared" si="41"/>
        <v>108</v>
      </c>
      <c r="Q99" s="47">
        <f t="shared" si="41"/>
        <v>0</v>
      </c>
      <c r="R99" s="47">
        <f t="shared" si="41"/>
        <v>3.36</v>
      </c>
      <c r="S99" s="47">
        <f t="shared" si="41"/>
        <v>3.36</v>
      </c>
      <c r="T99" s="47">
        <f t="shared" si="41"/>
        <v>0</v>
      </c>
      <c r="U99" s="47">
        <f t="shared" si="41"/>
        <v>0</v>
      </c>
      <c r="V99" s="47">
        <f t="shared" si="41"/>
        <v>3.2</v>
      </c>
      <c r="W99" s="47">
        <f t="shared" si="41"/>
        <v>3.2</v>
      </c>
      <c r="X99" s="47">
        <f t="shared" si="41"/>
        <v>513.36</v>
      </c>
      <c r="Y99" s="47">
        <f t="shared" si="41"/>
        <v>329.15999999999997</v>
      </c>
      <c r="Z99" s="47">
        <f t="shared" si="41"/>
        <v>81.099999999999994</v>
      </c>
      <c r="AA99" s="47">
        <f t="shared" si="41"/>
        <v>263.98</v>
      </c>
      <c r="AB99" s="47">
        <f t="shared" si="41"/>
        <v>3.35</v>
      </c>
      <c r="AC99" s="47">
        <f t="shared" si="41"/>
        <v>0</v>
      </c>
      <c r="AD99" s="47">
        <f t="shared" si="41"/>
        <v>170</v>
      </c>
      <c r="AE99" s="963">
        <f t="shared" si="41"/>
        <v>3.35</v>
      </c>
      <c r="AF99" s="47"/>
      <c r="AG99" s="663"/>
    </row>
    <row r="100" spans="1:33" ht="37.5" x14ac:dyDescent="0.3">
      <c r="A100" s="28" t="s">
        <v>73</v>
      </c>
      <c r="B100" s="587"/>
      <c r="C100" s="587"/>
      <c r="D100" s="587"/>
      <c r="E100" s="587"/>
      <c r="F100" s="587"/>
      <c r="G100" s="587"/>
      <c r="H100" s="587"/>
      <c r="I100" s="587"/>
      <c r="J100" s="587"/>
      <c r="K100" s="587"/>
      <c r="L100" s="587"/>
      <c r="M100" s="587"/>
      <c r="N100" s="587"/>
      <c r="O100" s="587"/>
      <c r="P100" s="587"/>
      <c r="Q100" s="587"/>
      <c r="R100" s="587"/>
      <c r="S100" s="587"/>
      <c r="T100" s="587"/>
      <c r="U100" s="587"/>
      <c r="V100" s="587"/>
      <c r="W100" s="587"/>
      <c r="X100" s="587"/>
      <c r="Y100" s="587"/>
      <c r="Z100" s="587"/>
      <c r="AA100" s="587"/>
      <c r="AB100" s="587"/>
      <c r="AC100" s="587"/>
      <c r="AD100" s="587"/>
      <c r="AE100" s="965"/>
      <c r="AF100" s="29"/>
      <c r="AG100" s="663"/>
    </row>
    <row r="101" spans="1:33" ht="18.75" x14ac:dyDescent="0.3">
      <c r="A101" s="8" t="s">
        <v>31</v>
      </c>
      <c r="B101" s="612">
        <f>B102</f>
        <v>1201.19</v>
      </c>
      <c r="C101" s="612">
        <f>C102</f>
        <v>298.98</v>
      </c>
      <c r="D101" s="612">
        <f>D102</f>
        <v>664.32999999999993</v>
      </c>
      <c r="E101" s="612">
        <f>E102</f>
        <v>167.21</v>
      </c>
      <c r="F101" s="32">
        <f>E101/B101*100</f>
        <v>13.920362307378516</v>
      </c>
      <c r="G101" s="47">
        <f>E101/C101*100</f>
        <v>55.926817847347642</v>
      </c>
      <c r="H101" s="612">
        <f t="shared" ref="H101:N101" si="42">H102</f>
        <v>0</v>
      </c>
      <c r="I101" s="612">
        <f t="shared" si="42"/>
        <v>0</v>
      </c>
      <c r="J101" s="612">
        <f t="shared" si="42"/>
        <v>162.85999999999999</v>
      </c>
      <c r="K101" s="612">
        <f t="shared" si="42"/>
        <v>163.85</v>
      </c>
      <c r="L101" s="612">
        <f t="shared" si="42"/>
        <v>3.36</v>
      </c>
      <c r="M101" s="612">
        <f t="shared" si="42"/>
        <v>3.36</v>
      </c>
      <c r="N101" s="612">
        <f t="shared" si="42"/>
        <v>0</v>
      </c>
      <c r="O101" s="612">
        <f t="shared" ref="O101:AE101" si="43">O102</f>
        <v>0</v>
      </c>
      <c r="P101" s="612">
        <f t="shared" si="43"/>
        <v>108</v>
      </c>
      <c r="Q101" s="612">
        <f t="shared" si="43"/>
        <v>0</v>
      </c>
      <c r="R101" s="612">
        <f t="shared" si="43"/>
        <v>3.36</v>
      </c>
      <c r="S101" s="612">
        <f t="shared" si="43"/>
        <v>3.36</v>
      </c>
      <c r="T101" s="612">
        <f t="shared" si="43"/>
        <v>0</v>
      </c>
      <c r="U101" s="612">
        <f t="shared" si="43"/>
        <v>0</v>
      </c>
      <c r="V101" s="612">
        <f t="shared" si="43"/>
        <v>3.2</v>
      </c>
      <c r="W101" s="612">
        <f t="shared" si="43"/>
        <v>3.2</v>
      </c>
      <c r="X101" s="612">
        <f t="shared" si="43"/>
        <v>513.36</v>
      </c>
      <c r="Y101" s="612">
        <f t="shared" si="43"/>
        <v>329.15999999999997</v>
      </c>
      <c r="Z101" s="612">
        <f t="shared" si="43"/>
        <v>81.099999999999994</v>
      </c>
      <c r="AA101" s="612">
        <f t="shared" si="43"/>
        <v>263.98</v>
      </c>
      <c r="AB101" s="612">
        <f t="shared" si="43"/>
        <v>3.35</v>
      </c>
      <c r="AC101" s="612">
        <f t="shared" si="43"/>
        <v>0</v>
      </c>
      <c r="AD101" s="612">
        <f t="shared" si="43"/>
        <v>170</v>
      </c>
      <c r="AE101" s="961">
        <f t="shared" si="43"/>
        <v>3.35</v>
      </c>
      <c r="AF101" s="29"/>
      <c r="AG101" s="663"/>
    </row>
    <row r="102" spans="1:33" ht="18.75" x14ac:dyDescent="0.3">
      <c r="A102" s="13" t="s">
        <v>33</v>
      </c>
      <c r="B102" s="612">
        <f>B99</f>
        <v>1201.19</v>
      </c>
      <c r="C102" s="612">
        <f>C99</f>
        <v>298.98</v>
      </c>
      <c r="D102" s="612">
        <f>D99</f>
        <v>664.32999999999993</v>
      </c>
      <c r="E102" s="612">
        <f>E99</f>
        <v>167.21</v>
      </c>
      <c r="F102" s="32">
        <f>E102/B102*100</f>
        <v>13.920362307378516</v>
      </c>
      <c r="G102" s="47">
        <f>E102/C102*100</f>
        <v>55.926817847347642</v>
      </c>
      <c r="H102" s="612">
        <f>H66+H72+H78</f>
        <v>0</v>
      </c>
      <c r="I102" s="612">
        <f>I66+I75+I78</f>
        <v>0</v>
      </c>
      <c r="J102" s="612">
        <f>J69+J78+J90+J93</f>
        <v>162.85999999999999</v>
      </c>
      <c r="K102" s="612">
        <f>K66+K81+K90+K93</f>
        <v>163.85</v>
      </c>
      <c r="L102" s="612">
        <f>L81+L90</f>
        <v>3.36</v>
      </c>
      <c r="M102" s="612">
        <f>M90</f>
        <v>3.36</v>
      </c>
      <c r="N102" s="612">
        <f>N66+N69+N81+N84+N87+N90+N93</f>
        <v>0</v>
      </c>
      <c r="O102" s="612">
        <f t="shared" ref="O102:AE102" si="44">O66+O69+O81+O84+O87+O90+O93</f>
        <v>0</v>
      </c>
      <c r="P102" s="612">
        <f t="shared" si="44"/>
        <v>108</v>
      </c>
      <c r="Q102" s="612">
        <f t="shared" si="44"/>
        <v>0</v>
      </c>
      <c r="R102" s="612">
        <f t="shared" si="44"/>
        <v>3.36</v>
      </c>
      <c r="S102" s="612">
        <f t="shared" si="44"/>
        <v>3.36</v>
      </c>
      <c r="T102" s="612">
        <f t="shared" si="44"/>
        <v>0</v>
      </c>
      <c r="U102" s="612">
        <f t="shared" si="44"/>
        <v>0</v>
      </c>
      <c r="V102" s="612">
        <f t="shared" si="44"/>
        <v>3.2</v>
      </c>
      <c r="W102" s="612">
        <f t="shared" si="44"/>
        <v>3.2</v>
      </c>
      <c r="X102" s="612">
        <f t="shared" si="44"/>
        <v>513.36</v>
      </c>
      <c r="Y102" s="612">
        <f t="shared" si="44"/>
        <v>329.15999999999997</v>
      </c>
      <c r="Z102" s="612">
        <f t="shared" si="44"/>
        <v>81.099999999999994</v>
      </c>
      <c r="AA102" s="612">
        <f t="shared" si="44"/>
        <v>263.98</v>
      </c>
      <c r="AB102" s="612">
        <f t="shared" si="44"/>
        <v>3.35</v>
      </c>
      <c r="AC102" s="612">
        <f t="shared" si="44"/>
        <v>0</v>
      </c>
      <c r="AD102" s="612">
        <f t="shared" si="44"/>
        <v>170</v>
      </c>
      <c r="AE102" s="961">
        <f t="shared" si="44"/>
        <v>3.35</v>
      </c>
      <c r="AF102" s="29"/>
      <c r="AG102" s="663"/>
    </row>
    <row r="103" spans="1:33" ht="37.5" x14ac:dyDescent="0.3">
      <c r="A103" s="54" t="s">
        <v>123</v>
      </c>
      <c r="B103" s="587"/>
      <c r="C103" s="587"/>
      <c r="D103" s="587"/>
      <c r="E103" s="587"/>
      <c r="F103" s="587"/>
      <c r="G103" s="587"/>
      <c r="H103" s="587"/>
      <c r="I103" s="587"/>
      <c r="J103" s="587"/>
      <c r="K103" s="587"/>
      <c r="L103" s="587"/>
      <c r="M103" s="587"/>
      <c r="N103" s="587"/>
      <c r="O103" s="587"/>
      <c r="P103" s="587"/>
      <c r="Q103" s="587"/>
      <c r="R103" s="587"/>
      <c r="S103" s="587"/>
      <c r="T103" s="587"/>
      <c r="U103" s="587"/>
      <c r="V103" s="587"/>
      <c r="W103" s="587"/>
      <c r="X103" s="587"/>
      <c r="Y103" s="587"/>
      <c r="Z103" s="587"/>
      <c r="AA103" s="587"/>
      <c r="AB103" s="587"/>
      <c r="AC103" s="587"/>
      <c r="AD103" s="587"/>
      <c r="AE103" s="965"/>
      <c r="AF103" s="29"/>
      <c r="AG103" s="663"/>
    </row>
    <row r="104" spans="1:33" ht="18.75" x14ac:dyDescent="0.3">
      <c r="A104" s="52" t="s">
        <v>54</v>
      </c>
      <c r="B104" s="587"/>
      <c r="C104" s="587"/>
      <c r="D104" s="587"/>
      <c r="E104" s="587"/>
      <c r="F104" s="587"/>
      <c r="G104" s="587"/>
      <c r="H104" s="587"/>
      <c r="I104" s="587"/>
      <c r="J104" s="587"/>
      <c r="K104" s="587"/>
      <c r="L104" s="587"/>
      <c r="M104" s="587"/>
      <c r="N104" s="587"/>
      <c r="O104" s="587"/>
      <c r="P104" s="587"/>
      <c r="Q104" s="587"/>
      <c r="R104" s="587"/>
      <c r="S104" s="587"/>
      <c r="T104" s="587"/>
      <c r="U104" s="587"/>
      <c r="V104" s="587"/>
      <c r="W104" s="587"/>
      <c r="X104" s="587"/>
      <c r="Y104" s="587"/>
      <c r="Z104" s="587"/>
      <c r="AA104" s="587"/>
      <c r="AB104" s="587"/>
      <c r="AC104" s="587"/>
      <c r="AD104" s="587"/>
      <c r="AE104" s="965"/>
      <c r="AF104" s="29"/>
      <c r="AG104" s="663"/>
    </row>
    <row r="105" spans="1:33" ht="56.25" x14ac:dyDescent="0.3">
      <c r="A105" s="50" t="s">
        <v>124</v>
      </c>
      <c r="B105" s="693">
        <v>0</v>
      </c>
      <c r="C105" s="693">
        <v>0</v>
      </c>
      <c r="D105" s="693">
        <v>0</v>
      </c>
      <c r="E105" s="693">
        <v>0</v>
      </c>
      <c r="F105" s="693">
        <v>0</v>
      </c>
      <c r="G105" s="693">
        <v>0</v>
      </c>
      <c r="H105" s="693">
        <v>0</v>
      </c>
      <c r="I105" s="693">
        <v>0</v>
      </c>
      <c r="J105" s="693">
        <v>0</v>
      </c>
      <c r="K105" s="693">
        <v>0</v>
      </c>
      <c r="L105" s="693">
        <v>0</v>
      </c>
      <c r="M105" s="693">
        <v>0</v>
      </c>
      <c r="N105" s="693">
        <v>0</v>
      </c>
      <c r="O105" s="693">
        <v>0</v>
      </c>
      <c r="P105" s="693">
        <v>0</v>
      </c>
      <c r="Q105" s="693">
        <v>0</v>
      </c>
      <c r="R105" s="693">
        <v>0</v>
      </c>
      <c r="S105" s="693">
        <v>0</v>
      </c>
      <c r="T105" s="693">
        <v>0</v>
      </c>
      <c r="U105" s="693">
        <v>0</v>
      </c>
      <c r="V105" s="693">
        <v>0</v>
      </c>
      <c r="W105" s="693">
        <v>0</v>
      </c>
      <c r="X105" s="693">
        <v>0</v>
      </c>
      <c r="Y105" s="693">
        <v>0</v>
      </c>
      <c r="Z105" s="693">
        <v>0</v>
      </c>
      <c r="AA105" s="693">
        <v>0</v>
      </c>
      <c r="AB105" s="693">
        <v>0</v>
      </c>
      <c r="AC105" s="693">
        <v>0</v>
      </c>
      <c r="AD105" s="693">
        <v>0</v>
      </c>
      <c r="AE105" s="967">
        <v>0</v>
      </c>
      <c r="AF105" s="29"/>
      <c r="AG105" s="663"/>
    </row>
    <row r="106" spans="1:33" ht="18.75" x14ac:dyDescent="0.3">
      <c r="A106" s="18" t="s">
        <v>31</v>
      </c>
      <c r="B106" s="692">
        <f>B107</f>
        <v>0</v>
      </c>
      <c r="C106" s="692">
        <f t="shared" ref="C106:E107" si="45">C107</f>
        <v>0</v>
      </c>
      <c r="D106" s="692">
        <f t="shared" si="45"/>
        <v>0</v>
      </c>
      <c r="E106" s="692">
        <f t="shared" si="45"/>
        <v>0</v>
      </c>
      <c r="F106" s="32" t="e">
        <f>E106/B106*100</f>
        <v>#DIV/0!</v>
      </c>
      <c r="G106" s="47" t="e">
        <f>E106/C106*100</f>
        <v>#DIV/0!</v>
      </c>
      <c r="H106" s="693">
        <v>0</v>
      </c>
      <c r="I106" s="693">
        <v>0</v>
      </c>
      <c r="J106" s="693">
        <v>0</v>
      </c>
      <c r="K106" s="693">
        <v>0</v>
      </c>
      <c r="L106" s="693">
        <v>0</v>
      </c>
      <c r="M106" s="693">
        <v>0</v>
      </c>
      <c r="N106" s="693">
        <v>0</v>
      </c>
      <c r="O106" s="693">
        <v>0</v>
      </c>
      <c r="P106" s="693">
        <v>0</v>
      </c>
      <c r="Q106" s="693">
        <v>0</v>
      </c>
      <c r="R106" s="693">
        <v>0</v>
      </c>
      <c r="S106" s="693">
        <v>0</v>
      </c>
      <c r="T106" s="693">
        <v>0</v>
      </c>
      <c r="U106" s="693">
        <v>0</v>
      </c>
      <c r="V106" s="693">
        <v>0</v>
      </c>
      <c r="W106" s="693">
        <v>0</v>
      </c>
      <c r="X106" s="693">
        <v>0</v>
      </c>
      <c r="Y106" s="693">
        <v>0</v>
      </c>
      <c r="Z106" s="693">
        <v>0</v>
      </c>
      <c r="AA106" s="693">
        <v>0</v>
      </c>
      <c r="AB106" s="693">
        <v>0</v>
      </c>
      <c r="AC106" s="693">
        <v>0</v>
      </c>
      <c r="AD106" s="693">
        <v>0</v>
      </c>
      <c r="AE106" s="967">
        <v>0</v>
      </c>
      <c r="AF106" s="29"/>
      <c r="AG106" s="663"/>
    </row>
    <row r="107" spans="1:33" s="616" customFormat="1" ht="18.75" x14ac:dyDescent="0.3">
      <c r="A107" s="691" t="s">
        <v>33</v>
      </c>
      <c r="B107" s="692">
        <f>B108</f>
        <v>0</v>
      </c>
      <c r="C107" s="692">
        <f t="shared" si="45"/>
        <v>0</v>
      </c>
      <c r="D107" s="692">
        <f t="shared" si="45"/>
        <v>0</v>
      </c>
      <c r="E107" s="692">
        <f t="shared" si="45"/>
        <v>0</v>
      </c>
      <c r="F107" s="32" t="e">
        <f>E107/B107*100</f>
        <v>#DIV/0!</v>
      </c>
      <c r="G107" s="47" t="e">
        <f>E107/C107*100</f>
        <v>#DIV/0!</v>
      </c>
      <c r="H107" s="693">
        <v>0</v>
      </c>
      <c r="I107" s="693">
        <v>0</v>
      </c>
      <c r="J107" s="693">
        <v>0</v>
      </c>
      <c r="K107" s="693">
        <v>0</v>
      </c>
      <c r="L107" s="693">
        <v>0</v>
      </c>
      <c r="M107" s="693">
        <v>0</v>
      </c>
      <c r="N107" s="693">
        <v>0</v>
      </c>
      <c r="O107" s="693">
        <v>0</v>
      </c>
      <c r="P107" s="693">
        <v>0</v>
      </c>
      <c r="Q107" s="693">
        <v>0</v>
      </c>
      <c r="R107" s="693">
        <v>0</v>
      </c>
      <c r="S107" s="693">
        <v>0</v>
      </c>
      <c r="T107" s="693">
        <v>0</v>
      </c>
      <c r="U107" s="693">
        <v>0</v>
      </c>
      <c r="V107" s="693">
        <v>0</v>
      </c>
      <c r="W107" s="693">
        <v>0</v>
      </c>
      <c r="X107" s="693">
        <v>0</v>
      </c>
      <c r="Y107" s="693">
        <v>0</v>
      </c>
      <c r="Z107" s="693">
        <v>0</v>
      </c>
      <c r="AA107" s="693">
        <v>0</v>
      </c>
      <c r="AB107" s="693">
        <v>0</v>
      </c>
      <c r="AC107" s="693">
        <v>0</v>
      </c>
      <c r="AD107" s="693">
        <v>0</v>
      </c>
      <c r="AE107" s="967">
        <v>0</v>
      </c>
      <c r="AF107" s="587"/>
      <c r="AG107" s="663"/>
    </row>
    <row r="108" spans="1:33" ht="18.75" x14ac:dyDescent="0.3">
      <c r="A108" s="55" t="s">
        <v>62</v>
      </c>
      <c r="B108" s="587"/>
      <c r="C108" s="587"/>
      <c r="D108" s="587"/>
      <c r="E108" s="587"/>
      <c r="F108" s="587"/>
      <c r="G108" s="587"/>
      <c r="H108" s="587"/>
      <c r="I108" s="47"/>
      <c r="J108" s="47"/>
      <c r="K108" s="47"/>
      <c r="L108" s="47"/>
      <c r="M108" s="47"/>
      <c r="N108" s="47"/>
      <c r="O108" s="587"/>
      <c r="P108" s="587"/>
      <c r="Q108" s="587"/>
      <c r="R108" s="587"/>
      <c r="S108" s="587"/>
      <c r="T108" s="587"/>
      <c r="U108" s="587"/>
      <c r="V108" s="587"/>
      <c r="W108" s="587"/>
      <c r="X108" s="587"/>
      <c r="Y108" s="587"/>
      <c r="Z108" s="587"/>
      <c r="AA108" s="587"/>
      <c r="AB108" s="587"/>
      <c r="AC108" s="587"/>
      <c r="AD108" s="587"/>
      <c r="AE108" s="965"/>
      <c r="AF108" s="29"/>
      <c r="AG108" s="663"/>
    </row>
    <row r="109" spans="1:33" ht="18.75" x14ac:dyDescent="0.3">
      <c r="A109" s="19" t="s">
        <v>31</v>
      </c>
      <c r="B109" s="692">
        <f>B110</f>
        <v>0</v>
      </c>
      <c r="C109" s="692">
        <f>C110</f>
        <v>0</v>
      </c>
      <c r="D109" s="692">
        <f>D110</f>
        <v>0</v>
      </c>
      <c r="E109" s="692">
        <f>E110</f>
        <v>0</v>
      </c>
      <c r="F109" s="32" t="e">
        <f>E109/B109*100</f>
        <v>#DIV/0!</v>
      </c>
      <c r="G109" s="47" t="e">
        <f>E109/C109*100</f>
        <v>#DIV/0!</v>
      </c>
      <c r="H109" s="692">
        <v>0</v>
      </c>
      <c r="I109" s="692">
        <v>0</v>
      </c>
      <c r="J109" s="692">
        <v>0</v>
      </c>
      <c r="K109" s="692">
        <v>0</v>
      </c>
      <c r="L109" s="692">
        <v>0</v>
      </c>
      <c r="M109" s="692">
        <v>0</v>
      </c>
      <c r="N109" s="692">
        <v>0</v>
      </c>
      <c r="O109" s="692">
        <v>0</v>
      </c>
      <c r="P109" s="692">
        <v>0</v>
      </c>
      <c r="Q109" s="692">
        <v>0</v>
      </c>
      <c r="R109" s="692">
        <v>0</v>
      </c>
      <c r="S109" s="692">
        <v>0</v>
      </c>
      <c r="T109" s="692">
        <v>0</v>
      </c>
      <c r="U109" s="692">
        <v>0</v>
      </c>
      <c r="V109" s="692">
        <v>0</v>
      </c>
      <c r="W109" s="692">
        <v>0</v>
      </c>
      <c r="X109" s="692">
        <v>0</v>
      </c>
      <c r="Y109" s="692">
        <v>0</v>
      </c>
      <c r="Z109" s="692">
        <v>0</v>
      </c>
      <c r="AA109" s="692">
        <v>0</v>
      </c>
      <c r="AB109" s="692">
        <v>0</v>
      </c>
      <c r="AC109" s="692">
        <v>0</v>
      </c>
      <c r="AD109" s="692">
        <v>0</v>
      </c>
      <c r="AE109" s="962">
        <v>0</v>
      </c>
      <c r="AF109" s="29"/>
      <c r="AG109" s="663"/>
    </row>
    <row r="110" spans="1:33" ht="18.75" x14ac:dyDescent="0.3">
      <c r="A110" s="15" t="s">
        <v>33</v>
      </c>
      <c r="B110" s="692">
        <f>B107</f>
        <v>0</v>
      </c>
      <c r="C110" s="692">
        <f>C107</f>
        <v>0</v>
      </c>
      <c r="D110" s="692">
        <f>D107</f>
        <v>0</v>
      </c>
      <c r="E110" s="692">
        <f>E107</f>
        <v>0</v>
      </c>
      <c r="F110" s="32" t="e">
        <f>E110/B110*100</f>
        <v>#DIV/0!</v>
      </c>
      <c r="G110" s="47" t="e">
        <f>E110/C110*100</f>
        <v>#DIV/0!</v>
      </c>
      <c r="H110" s="692">
        <v>0</v>
      </c>
      <c r="I110" s="692">
        <v>0</v>
      </c>
      <c r="J110" s="692">
        <v>0</v>
      </c>
      <c r="K110" s="692">
        <v>0</v>
      </c>
      <c r="L110" s="692">
        <v>0</v>
      </c>
      <c r="M110" s="692">
        <v>0</v>
      </c>
      <c r="N110" s="692">
        <v>0</v>
      </c>
      <c r="O110" s="692">
        <v>0</v>
      </c>
      <c r="P110" s="692">
        <v>0</v>
      </c>
      <c r="Q110" s="692">
        <v>0</v>
      </c>
      <c r="R110" s="692">
        <v>0</v>
      </c>
      <c r="S110" s="692">
        <v>0</v>
      </c>
      <c r="T110" s="692">
        <v>0</v>
      </c>
      <c r="U110" s="692">
        <v>0</v>
      </c>
      <c r="V110" s="692">
        <v>0</v>
      </c>
      <c r="W110" s="692">
        <v>0</v>
      </c>
      <c r="X110" s="692">
        <v>0</v>
      </c>
      <c r="Y110" s="692">
        <v>0</v>
      </c>
      <c r="Z110" s="692">
        <v>0</v>
      </c>
      <c r="AA110" s="692">
        <v>0</v>
      </c>
      <c r="AB110" s="692">
        <v>0</v>
      </c>
      <c r="AC110" s="692">
        <v>0</v>
      </c>
      <c r="AD110" s="692">
        <v>0</v>
      </c>
      <c r="AE110" s="962">
        <v>0</v>
      </c>
      <c r="AF110" s="29"/>
      <c r="AG110" s="663"/>
    </row>
    <row r="111" spans="1:33" ht="37.5" x14ac:dyDescent="0.3">
      <c r="A111" s="28" t="s">
        <v>76</v>
      </c>
      <c r="B111" s="587"/>
      <c r="C111" s="587"/>
      <c r="D111" s="587"/>
      <c r="E111" s="587"/>
      <c r="F111" s="587"/>
      <c r="G111" s="587"/>
      <c r="H111" s="587"/>
      <c r="I111" s="587"/>
      <c r="J111" s="587"/>
      <c r="K111" s="587"/>
      <c r="L111" s="587"/>
      <c r="M111" s="587"/>
      <c r="N111" s="587"/>
      <c r="O111" s="587"/>
      <c r="P111" s="587"/>
      <c r="Q111" s="587"/>
      <c r="R111" s="587"/>
      <c r="S111" s="587"/>
      <c r="T111" s="587"/>
      <c r="U111" s="587"/>
      <c r="V111" s="587"/>
      <c r="W111" s="587"/>
      <c r="X111" s="587"/>
      <c r="Y111" s="587"/>
      <c r="Z111" s="587"/>
      <c r="AA111" s="587"/>
      <c r="AB111" s="587"/>
      <c r="AC111" s="587"/>
      <c r="AD111" s="587"/>
      <c r="AE111" s="965"/>
      <c r="AF111" s="29"/>
      <c r="AG111" s="663"/>
    </row>
    <row r="112" spans="1:33" ht="18.75" x14ac:dyDescent="0.3">
      <c r="A112" s="8" t="s">
        <v>31</v>
      </c>
      <c r="B112" s="692">
        <f>B113</f>
        <v>0</v>
      </c>
      <c r="C112" s="692">
        <f>C113</f>
        <v>0</v>
      </c>
      <c r="D112" s="692">
        <f>D113</f>
        <v>0</v>
      </c>
      <c r="E112" s="692">
        <f>E113</f>
        <v>0</v>
      </c>
      <c r="F112" s="32" t="e">
        <f>E112/B112*100</f>
        <v>#DIV/0!</v>
      </c>
      <c r="G112" s="47" t="e">
        <f>E112/C112*100</f>
        <v>#DIV/0!</v>
      </c>
      <c r="H112" s="692">
        <v>0</v>
      </c>
      <c r="I112" s="692">
        <v>0</v>
      </c>
      <c r="J112" s="692">
        <v>0</v>
      </c>
      <c r="K112" s="692">
        <v>0</v>
      </c>
      <c r="L112" s="692">
        <v>0</v>
      </c>
      <c r="M112" s="692">
        <v>0</v>
      </c>
      <c r="N112" s="692">
        <v>0</v>
      </c>
      <c r="O112" s="692">
        <v>0</v>
      </c>
      <c r="P112" s="692">
        <v>0</v>
      </c>
      <c r="Q112" s="692">
        <v>0</v>
      </c>
      <c r="R112" s="692">
        <v>0</v>
      </c>
      <c r="S112" s="692">
        <v>0</v>
      </c>
      <c r="T112" s="692">
        <v>0</v>
      </c>
      <c r="U112" s="692">
        <v>0</v>
      </c>
      <c r="V112" s="692">
        <v>0</v>
      </c>
      <c r="W112" s="692">
        <v>0</v>
      </c>
      <c r="X112" s="692">
        <v>0</v>
      </c>
      <c r="Y112" s="692">
        <v>0</v>
      </c>
      <c r="Z112" s="692">
        <v>0</v>
      </c>
      <c r="AA112" s="692">
        <v>0</v>
      </c>
      <c r="AB112" s="692">
        <v>0</v>
      </c>
      <c r="AC112" s="692">
        <v>0</v>
      </c>
      <c r="AD112" s="692">
        <v>0</v>
      </c>
      <c r="AE112" s="962">
        <v>0</v>
      </c>
      <c r="AF112" s="29"/>
      <c r="AG112" s="663"/>
    </row>
    <row r="113" spans="1:33" ht="18.75" x14ac:dyDescent="0.3">
      <c r="A113" s="13" t="s">
        <v>33</v>
      </c>
      <c r="B113" s="692">
        <f>B110</f>
        <v>0</v>
      </c>
      <c r="C113" s="692">
        <f>C110</f>
        <v>0</v>
      </c>
      <c r="D113" s="692">
        <f>D110</f>
        <v>0</v>
      </c>
      <c r="E113" s="692">
        <f>E110</f>
        <v>0</v>
      </c>
      <c r="F113" s="32" t="e">
        <f>E113/B113*100</f>
        <v>#DIV/0!</v>
      </c>
      <c r="G113" s="47" t="e">
        <f>E113/C113*100</f>
        <v>#DIV/0!</v>
      </c>
      <c r="H113" s="692">
        <v>0</v>
      </c>
      <c r="I113" s="692">
        <v>0</v>
      </c>
      <c r="J113" s="692">
        <v>0</v>
      </c>
      <c r="K113" s="692">
        <v>0</v>
      </c>
      <c r="L113" s="692">
        <v>0</v>
      </c>
      <c r="M113" s="692">
        <v>0</v>
      </c>
      <c r="N113" s="692">
        <v>0</v>
      </c>
      <c r="O113" s="692">
        <v>0</v>
      </c>
      <c r="P113" s="692">
        <v>0</v>
      </c>
      <c r="Q113" s="692">
        <v>0</v>
      </c>
      <c r="R113" s="692">
        <v>0</v>
      </c>
      <c r="S113" s="692">
        <v>0</v>
      </c>
      <c r="T113" s="692">
        <v>0</v>
      </c>
      <c r="U113" s="692">
        <v>0</v>
      </c>
      <c r="V113" s="692">
        <v>0</v>
      </c>
      <c r="W113" s="692">
        <v>0</v>
      </c>
      <c r="X113" s="692">
        <v>0</v>
      </c>
      <c r="Y113" s="692">
        <v>0</v>
      </c>
      <c r="Z113" s="692">
        <v>0</v>
      </c>
      <c r="AA113" s="692">
        <v>0</v>
      </c>
      <c r="AB113" s="692">
        <v>0</v>
      </c>
      <c r="AC113" s="692">
        <v>0</v>
      </c>
      <c r="AD113" s="692">
        <v>0</v>
      </c>
      <c r="AE113" s="962">
        <v>0</v>
      </c>
      <c r="AF113" s="29"/>
      <c r="AG113" s="663"/>
    </row>
    <row r="114" spans="1:33" ht="112.5" x14ac:dyDescent="0.3">
      <c r="A114" s="50" t="s">
        <v>125</v>
      </c>
      <c r="B114" s="612"/>
      <c r="C114" s="612"/>
      <c r="D114" s="612"/>
      <c r="E114" s="612"/>
      <c r="F114" s="32"/>
      <c r="G114" s="47"/>
      <c r="H114" s="612"/>
      <c r="I114" s="612"/>
      <c r="J114" s="612"/>
      <c r="K114" s="612"/>
      <c r="L114" s="612"/>
      <c r="M114" s="612"/>
      <c r="N114" s="612"/>
      <c r="O114" s="612"/>
      <c r="P114" s="612"/>
      <c r="Q114" s="612"/>
      <c r="R114" s="612"/>
      <c r="S114" s="612"/>
      <c r="T114" s="612"/>
      <c r="U114" s="612"/>
      <c r="V114" s="612"/>
      <c r="W114" s="612"/>
      <c r="X114" s="612"/>
      <c r="Y114" s="612"/>
      <c r="Z114" s="612"/>
      <c r="AA114" s="612"/>
      <c r="AB114" s="612"/>
      <c r="AC114" s="612"/>
      <c r="AD114" s="612"/>
      <c r="AE114" s="961"/>
      <c r="AF114" s="29"/>
      <c r="AG114" s="663"/>
    </row>
    <row r="115" spans="1:33" ht="118.5" customHeight="1" x14ac:dyDescent="0.3">
      <c r="A115" s="50" t="s">
        <v>127</v>
      </c>
      <c r="B115" s="612"/>
      <c r="C115" s="612"/>
      <c r="D115" s="612"/>
      <c r="E115" s="612"/>
      <c r="F115" s="32"/>
      <c r="G115" s="47"/>
      <c r="H115" s="612"/>
      <c r="I115" s="612"/>
      <c r="J115" s="612"/>
      <c r="K115" s="612"/>
      <c r="L115" s="612"/>
      <c r="M115" s="612"/>
      <c r="N115" s="612"/>
      <c r="O115" s="612"/>
      <c r="P115" s="612"/>
      <c r="Q115" s="612"/>
      <c r="R115" s="612"/>
      <c r="S115" s="612"/>
      <c r="T115" s="612"/>
      <c r="U115" s="612"/>
      <c r="V115" s="612"/>
      <c r="W115" s="612"/>
      <c r="X115" s="612"/>
      <c r="Y115" s="612"/>
      <c r="Z115" s="612"/>
      <c r="AA115" s="612"/>
      <c r="AB115" s="612"/>
      <c r="AC115" s="612"/>
      <c r="AD115" s="612"/>
      <c r="AE115" s="961"/>
      <c r="AF115" s="710" t="s">
        <v>557</v>
      </c>
      <c r="AG115" s="663"/>
    </row>
    <row r="116" spans="1:33" ht="18.75" x14ac:dyDescent="0.3">
      <c r="A116" s="19" t="s">
        <v>31</v>
      </c>
      <c r="B116" s="32">
        <f>B117</f>
        <v>6417.5099999999993</v>
      </c>
      <c r="C116" s="32">
        <f>C117</f>
        <v>3600.39</v>
      </c>
      <c r="D116" s="32">
        <f>D117</f>
        <v>7080.0969999999998</v>
      </c>
      <c r="E116" s="32">
        <f>E117</f>
        <v>7080.0969999999998</v>
      </c>
      <c r="F116" s="32">
        <f>E116/B116*100</f>
        <v>110.32467421164907</v>
      </c>
      <c r="G116" s="47">
        <f>E116/C116*100</f>
        <v>196.64805757154087</v>
      </c>
      <c r="H116" s="32">
        <f>H117</f>
        <v>855.75</v>
      </c>
      <c r="I116" s="32">
        <f t="shared" ref="I116:AD116" si="46">I117</f>
        <v>541.91999999999996</v>
      </c>
      <c r="J116" s="32">
        <f t="shared" si="46"/>
        <v>534.54999999999995</v>
      </c>
      <c r="K116" s="32">
        <f t="shared" si="46"/>
        <v>628.73</v>
      </c>
      <c r="L116" s="32">
        <f t="shared" si="46"/>
        <v>429.83</v>
      </c>
      <c r="M116" s="32">
        <f t="shared" si="46"/>
        <v>402.57</v>
      </c>
      <c r="N116" s="32">
        <f t="shared" si="46"/>
        <v>611.53</v>
      </c>
      <c r="O116" s="32">
        <f t="shared" si="46"/>
        <v>439.83</v>
      </c>
      <c r="P116" s="32">
        <f t="shared" si="46"/>
        <v>583.14</v>
      </c>
      <c r="Q116" s="32">
        <f>Q117+Q118</f>
        <v>824.92000000000007</v>
      </c>
      <c r="R116" s="32">
        <f t="shared" si="46"/>
        <v>585.59</v>
      </c>
      <c r="S116" s="32">
        <f t="shared" si="46"/>
        <v>740.64</v>
      </c>
      <c r="T116" s="32">
        <f t="shared" si="46"/>
        <v>654.35</v>
      </c>
      <c r="U116" s="32">
        <f t="shared" si="46"/>
        <v>557.59</v>
      </c>
      <c r="V116" s="32">
        <f>V117+V118</f>
        <v>541.33000000000004</v>
      </c>
      <c r="W116" s="32">
        <f t="shared" si="46"/>
        <v>542.80999999999995</v>
      </c>
      <c r="X116" s="32">
        <f t="shared" si="46"/>
        <v>432.07</v>
      </c>
      <c r="Y116" s="32">
        <f t="shared" si="46"/>
        <v>326.16000000000003</v>
      </c>
      <c r="Z116" s="32">
        <f t="shared" si="46"/>
        <v>487.8</v>
      </c>
      <c r="AA116" s="32">
        <f t="shared" si="46"/>
        <v>582.19000000000005</v>
      </c>
      <c r="AB116" s="32">
        <f t="shared" si="46"/>
        <v>409.82</v>
      </c>
      <c r="AC116" s="32">
        <f t="shared" si="46"/>
        <v>601.54100000000005</v>
      </c>
      <c r="AD116" s="32">
        <f t="shared" si="46"/>
        <v>348.38</v>
      </c>
      <c r="AE116" s="968">
        <f>AE117</f>
        <v>834.56600000000003</v>
      </c>
      <c r="AF116" s="29"/>
      <c r="AG116" s="663"/>
    </row>
    <row r="117" spans="1:33" ht="18.75" x14ac:dyDescent="0.3">
      <c r="A117" s="15" t="s">
        <v>33</v>
      </c>
      <c r="B117" s="32">
        <f>H117+J117+L117+N117+P117+R117+T117+V117+X117+Z117+AB117+AD117</f>
        <v>6417.5099999999993</v>
      </c>
      <c r="C117" s="32">
        <f>H117+J117+L117+N117+P117+R117</f>
        <v>3600.39</v>
      </c>
      <c r="D117" s="32">
        <f>E117</f>
        <v>7080.0969999999998</v>
      </c>
      <c r="E117" s="32">
        <f>I117+K117+M117+O117+Q117+S117+U117+W117+Y117+AA117+AC117+AE117+Q118+V118</f>
        <v>7080.0969999999998</v>
      </c>
      <c r="F117" s="47">
        <f>D117/B117*100</f>
        <v>110.32467421164907</v>
      </c>
      <c r="G117" s="47">
        <f>E117/C117*100</f>
        <v>196.64805757154087</v>
      </c>
      <c r="H117" s="32">
        <v>855.75</v>
      </c>
      <c r="I117" s="612">
        <v>541.91999999999996</v>
      </c>
      <c r="J117" s="612">
        <v>534.54999999999995</v>
      </c>
      <c r="K117" s="612">
        <v>628.73</v>
      </c>
      <c r="L117" s="612">
        <v>429.83</v>
      </c>
      <c r="M117" s="612">
        <v>402.57</v>
      </c>
      <c r="N117" s="612">
        <v>611.53</v>
      </c>
      <c r="O117" s="612">
        <v>439.83</v>
      </c>
      <c r="P117" s="612">
        <v>583.14</v>
      </c>
      <c r="Q117" s="612">
        <v>726.48</v>
      </c>
      <c r="R117" s="612">
        <v>585.59</v>
      </c>
      <c r="S117" s="612">
        <v>740.64</v>
      </c>
      <c r="T117" s="612">
        <v>654.35</v>
      </c>
      <c r="U117" s="612">
        <v>557.59</v>
      </c>
      <c r="V117" s="612">
        <v>484.7</v>
      </c>
      <c r="W117" s="612">
        <v>542.80999999999995</v>
      </c>
      <c r="X117" s="612">
        <v>432.07</v>
      </c>
      <c r="Y117" s="612">
        <v>326.16000000000003</v>
      </c>
      <c r="Z117" s="612">
        <v>487.8</v>
      </c>
      <c r="AA117" s="612">
        <v>582.19000000000005</v>
      </c>
      <c r="AB117" s="612">
        <v>409.82</v>
      </c>
      <c r="AC117" s="612">
        <v>601.54100000000005</v>
      </c>
      <c r="AD117" s="612">
        <v>348.38</v>
      </c>
      <c r="AE117" s="961">
        <v>834.56600000000003</v>
      </c>
      <c r="AF117" s="29"/>
      <c r="AG117" s="663"/>
    </row>
    <row r="118" spans="1:33" ht="18.75" x14ac:dyDescent="0.3">
      <c r="A118" s="15" t="s">
        <v>548</v>
      </c>
      <c r="B118" s="32">
        <f>Q118+V118</f>
        <v>155.07</v>
      </c>
      <c r="C118" s="32"/>
      <c r="D118" s="32"/>
      <c r="E118" s="32"/>
      <c r="F118" s="47"/>
      <c r="G118" s="47"/>
      <c r="H118" s="32"/>
      <c r="I118" s="612"/>
      <c r="J118" s="612"/>
      <c r="K118" s="612"/>
      <c r="L118" s="612"/>
      <c r="M118" s="612"/>
      <c r="N118" s="612"/>
      <c r="O118" s="612"/>
      <c r="P118" s="612"/>
      <c r="Q118" s="804">
        <v>98.44</v>
      </c>
      <c r="R118" s="612"/>
      <c r="S118" s="612"/>
      <c r="T118" s="612"/>
      <c r="U118" s="612"/>
      <c r="V118" s="612">
        <v>56.63</v>
      </c>
      <c r="W118" s="612"/>
      <c r="X118" s="612"/>
      <c r="Y118" s="612"/>
      <c r="Z118" s="612"/>
      <c r="AA118" s="612"/>
      <c r="AB118" s="612"/>
      <c r="AC118" s="612"/>
      <c r="AD118" s="612"/>
      <c r="AE118" s="961"/>
      <c r="AF118" s="803"/>
      <c r="AG118" s="663"/>
    </row>
    <row r="119" spans="1:33" ht="131.25" x14ac:dyDescent="0.3">
      <c r="A119" s="50" t="s">
        <v>128</v>
      </c>
      <c r="B119" s="612"/>
      <c r="C119" s="612"/>
      <c r="D119" s="612"/>
      <c r="E119" s="612"/>
      <c r="F119" s="32"/>
      <c r="G119" s="47"/>
      <c r="H119" s="612"/>
      <c r="I119" s="612"/>
      <c r="J119" s="612"/>
      <c r="K119" s="612"/>
      <c r="L119" s="612"/>
      <c r="M119" s="612"/>
      <c r="N119" s="612"/>
      <c r="O119" s="612"/>
      <c r="P119" s="612"/>
      <c r="Q119" s="612"/>
      <c r="R119" s="612"/>
      <c r="S119" s="612"/>
      <c r="T119" s="612"/>
      <c r="U119" s="612"/>
      <c r="V119" s="612"/>
      <c r="W119" s="612"/>
      <c r="X119" s="612"/>
      <c r="Y119" s="612"/>
      <c r="Z119" s="612"/>
      <c r="AA119" s="612"/>
      <c r="AB119" s="612"/>
      <c r="AC119" s="612"/>
      <c r="AD119" s="612"/>
      <c r="AE119" s="961"/>
      <c r="AF119" s="711" t="s">
        <v>558</v>
      </c>
      <c r="AG119" s="663"/>
    </row>
    <row r="120" spans="1:33" ht="18.75" x14ac:dyDescent="0.3">
      <c r="A120" s="19" t="s">
        <v>31</v>
      </c>
      <c r="B120" s="32">
        <f>B121</f>
        <v>9864.9799999999977</v>
      </c>
      <c r="C120" s="32">
        <f>C121</f>
        <v>5427.2899999999991</v>
      </c>
      <c r="D120" s="32">
        <f>D121</f>
        <v>9440.5789999999979</v>
      </c>
      <c r="E120" s="32">
        <f>E121</f>
        <v>9440.5789999999979</v>
      </c>
      <c r="F120" s="32">
        <f>E120/B120*100</f>
        <v>95.697903087487262</v>
      </c>
      <c r="G120" s="47">
        <f>E120/C120*100</f>
        <v>173.94646315195982</v>
      </c>
      <c r="H120" s="32">
        <f>H121</f>
        <v>1303.6199999999999</v>
      </c>
      <c r="I120" s="32">
        <f t="shared" ref="I120:AE120" si="47">I121</f>
        <v>634.54999999999995</v>
      </c>
      <c r="J120" s="32">
        <f t="shared" si="47"/>
        <v>980.04</v>
      </c>
      <c r="K120" s="32">
        <f t="shared" si="47"/>
        <v>911.26</v>
      </c>
      <c r="L120" s="32">
        <f t="shared" si="47"/>
        <v>609.14</v>
      </c>
      <c r="M120" s="32">
        <f t="shared" si="47"/>
        <v>643.58000000000004</v>
      </c>
      <c r="N120" s="32">
        <f t="shared" si="47"/>
        <v>943.69</v>
      </c>
      <c r="O120" s="32">
        <f t="shared" si="47"/>
        <v>595.28</v>
      </c>
      <c r="P120" s="32">
        <f t="shared" si="47"/>
        <v>753.9</v>
      </c>
      <c r="Q120" s="32">
        <f t="shared" si="47"/>
        <v>940.87</v>
      </c>
      <c r="R120" s="32">
        <f t="shared" si="47"/>
        <v>836.9</v>
      </c>
      <c r="S120" s="32">
        <f t="shared" si="47"/>
        <v>979.28</v>
      </c>
      <c r="T120" s="32">
        <f t="shared" si="47"/>
        <v>1066.29</v>
      </c>
      <c r="U120" s="32">
        <f t="shared" si="47"/>
        <v>768.23</v>
      </c>
      <c r="V120" s="32">
        <f t="shared" si="47"/>
        <v>693.9</v>
      </c>
      <c r="W120" s="32">
        <f t="shared" si="47"/>
        <v>577.20000000000005</v>
      </c>
      <c r="X120" s="32">
        <f t="shared" si="47"/>
        <v>624.24</v>
      </c>
      <c r="Y120" s="32">
        <f t="shared" si="47"/>
        <v>647.94000000000005</v>
      </c>
      <c r="Z120" s="32">
        <f t="shared" si="47"/>
        <v>861.62</v>
      </c>
      <c r="AA120" s="32">
        <f t="shared" si="47"/>
        <v>582.95000000000005</v>
      </c>
      <c r="AB120" s="32">
        <f t="shared" si="47"/>
        <v>713.68</v>
      </c>
      <c r="AC120" s="32">
        <f t="shared" si="47"/>
        <v>601.54100000000005</v>
      </c>
      <c r="AD120" s="32">
        <f t="shared" si="47"/>
        <v>477.96</v>
      </c>
      <c r="AE120" s="968">
        <f t="shared" si="47"/>
        <v>1557.8979999999999</v>
      </c>
      <c r="AF120" s="809"/>
      <c r="AG120" s="663"/>
    </row>
    <row r="121" spans="1:33" ht="18.75" x14ac:dyDescent="0.3">
      <c r="A121" s="15" t="s">
        <v>97</v>
      </c>
      <c r="B121" s="32">
        <f>H121+J121+L121+N121+P121+R121+T121+V121+X121+Z121+AB121+AD121</f>
        <v>9864.9799999999977</v>
      </c>
      <c r="C121" s="32">
        <f>H121+J121+L121+N121+P121+R121</f>
        <v>5427.2899999999991</v>
      </c>
      <c r="D121" s="32">
        <f>E121</f>
        <v>9440.5789999999979</v>
      </c>
      <c r="E121" s="32">
        <f>I121+K121+M121+O121+Q121+S121+U121+W121+Y121+AA121+AC121+AE121</f>
        <v>9440.5789999999979</v>
      </c>
      <c r="F121" s="47">
        <f>D121/B121*100</f>
        <v>95.697903087487262</v>
      </c>
      <c r="G121" s="47">
        <f>E121/C121*100</f>
        <v>173.94646315195982</v>
      </c>
      <c r="H121" s="32">
        <v>1303.6199999999999</v>
      </c>
      <c r="I121" s="612">
        <v>634.54999999999995</v>
      </c>
      <c r="J121" s="612">
        <v>980.04</v>
      </c>
      <c r="K121" s="612">
        <v>911.26</v>
      </c>
      <c r="L121" s="612">
        <v>609.14</v>
      </c>
      <c r="M121" s="612">
        <v>643.58000000000004</v>
      </c>
      <c r="N121" s="612">
        <v>943.69</v>
      </c>
      <c r="O121" s="612">
        <v>595.28</v>
      </c>
      <c r="P121" s="612">
        <v>753.9</v>
      </c>
      <c r="Q121" s="612">
        <v>940.87</v>
      </c>
      <c r="R121" s="612">
        <v>836.9</v>
      </c>
      <c r="S121" s="612">
        <v>979.28</v>
      </c>
      <c r="T121" s="612">
        <v>1066.29</v>
      </c>
      <c r="U121" s="612">
        <v>768.23</v>
      </c>
      <c r="V121" s="612">
        <v>693.9</v>
      </c>
      <c r="W121" s="612">
        <v>577.20000000000005</v>
      </c>
      <c r="X121" s="612">
        <v>624.24</v>
      </c>
      <c r="Y121" s="612">
        <v>647.94000000000005</v>
      </c>
      <c r="Z121" s="612">
        <v>861.62</v>
      </c>
      <c r="AA121" s="612">
        <v>582.95000000000005</v>
      </c>
      <c r="AB121" s="612">
        <v>713.68</v>
      </c>
      <c r="AC121" s="612">
        <v>601.54100000000005</v>
      </c>
      <c r="AD121" s="612">
        <v>477.96</v>
      </c>
      <c r="AE121" s="961">
        <v>1557.8979999999999</v>
      </c>
      <c r="AF121" s="809"/>
      <c r="AG121" s="663"/>
    </row>
    <row r="122" spans="1:33" ht="18.75" x14ac:dyDescent="0.3">
      <c r="A122" s="55" t="s">
        <v>85</v>
      </c>
      <c r="B122" s="612"/>
      <c r="C122" s="612"/>
      <c r="D122" s="612"/>
      <c r="E122" s="612"/>
      <c r="F122" s="32"/>
      <c r="G122" s="47"/>
      <c r="H122" s="612"/>
      <c r="I122" s="612"/>
      <c r="J122" s="612"/>
      <c r="K122" s="612"/>
      <c r="L122" s="612"/>
      <c r="M122" s="612"/>
      <c r="N122" s="612"/>
      <c r="O122" s="612"/>
      <c r="P122" s="612"/>
      <c r="Q122" s="612"/>
      <c r="R122" s="612"/>
      <c r="S122" s="612"/>
      <c r="T122" s="612"/>
      <c r="U122" s="612"/>
      <c r="V122" s="612"/>
      <c r="W122" s="612"/>
      <c r="X122" s="612"/>
      <c r="Y122" s="612"/>
      <c r="Z122" s="612"/>
      <c r="AA122" s="612"/>
      <c r="AB122" s="612"/>
      <c r="AC122" s="612"/>
      <c r="AD122" s="612"/>
      <c r="AE122" s="961"/>
      <c r="AF122" s="809"/>
      <c r="AG122" s="663"/>
    </row>
    <row r="123" spans="1:33" ht="18.75" x14ac:dyDescent="0.3">
      <c r="A123" s="19" t="s">
        <v>31</v>
      </c>
      <c r="B123" s="612">
        <f>B124+B125</f>
        <v>16282.489999999998</v>
      </c>
      <c r="C123" s="612">
        <f>C124+C125</f>
        <v>9027.6799999999985</v>
      </c>
      <c r="D123" s="612">
        <f>D124+D125</f>
        <v>16520.675999999999</v>
      </c>
      <c r="E123" s="612">
        <f>E124+E125</f>
        <v>16520.675999999999</v>
      </c>
      <c r="F123" s="32">
        <f>E123/B123*100</f>
        <v>101.46283522974682</v>
      </c>
      <c r="G123" s="47">
        <f>E123/C123*100</f>
        <v>183.0002392641299</v>
      </c>
      <c r="H123" s="612">
        <f>H124+H125</f>
        <v>2159.37</v>
      </c>
      <c r="I123" s="612">
        <f t="shared" ref="I123:AE123" si="48">I124+I125</f>
        <v>1176.4699999999998</v>
      </c>
      <c r="J123" s="612">
        <f t="shared" si="48"/>
        <v>1514.59</v>
      </c>
      <c r="K123" s="612">
        <f t="shared" si="48"/>
        <v>1539.99</v>
      </c>
      <c r="L123" s="612">
        <f t="shared" si="48"/>
        <v>1038.97</v>
      </c>
      <c r="M123" s="612">
        <f t="shared" si="48"/>
        <v>1046.1500000000001</v>
      </c>
      <c r="N123" s="612">
        <f t="shared" si="48"/>
        <v>1555.22</v>
      </c>
      <c r="O123" s="612">
        <f t="shared" si="48"/>
        <v>1035.1099999999999</v>
      </c>
      <c r="P123" s="612">
        <f t="shared" si="48"/>
        <v>1337.04</v>
      </c>
      <c r="Q123" s="612">
        <f t="shared" si="48"/>
        <v>1667.35</v>
      </c>
      <c r="R123" s="612">
        <f t="shared" si="48"/>
        <v>1422.49</v>
      </c>
      <c r="S123" s="612">
        <f t="shared" si="48"/>
        <v>1719.92</v>
      </c>
      <c r="T123" s="612">
        <f t="shared" si="48"/>
        <v>1720.6399999999999</v>
      </c>
      <c r="U123" s="612">
        <f t="shared" si="48"/>
        <v>1325.8200000000002</v>
      </c>
      <c r="V123" s="612">
        <f t="shared" si="48"/>
        <v>1178.5999999999999</v>
      </c>
      <c r="W123" s="612">
        <f t="shared" si="48"/>
        <v>1120.01</v>
      </c>
      <c r="X123" s="612">
        <f t="shared" si="48"/>
        <v>1056.31</v>
      </c>
      <c r="Y123" s="612">
        <f t="shared" si="48"/>
        <v>974.10000000000014</v>
      </c>
      <c r="Z123" s="612">
        <f t="shared" si="48"/>
        <v>1349.42</v>
      </c>
      <c r="AA123" s="612">
        <f t="shared" si="48"/>
        <v>1165.1400000000001</v>
      </c>
      <c r="AB123" s="612">
        <f t="shared" si="48"/>
        <v>1123.5</v>
      </c>
      <c r="AC123" s="612">
        <f t="shared" si="48"/>
        <v>1203.0820000000001</v>
      </c>
      <c r="AD123" s="612">
        <f t="shared" si="48"/>
        <v>826.33999999999992</v>
      </c>
      <c r="AE123" s="961">
        <f t="shared" si="48"/>
        <v>2392.4639999999999</v>
      </c>
      <c r="AF123" s="809"/>
      <c r="AG123" s="663"/>
    </row>
    <row r="124" spans="1:33" ht="18.75" x14ac:dyDescent="0.3">
      <c r="A124" s="15" t="s">
        <v>97</v>
      </c>
      <c r="B124" s="612">
        <f>B121</f>
        <v>9864.9799999999977</v>
      </c>
      <c r="C124" s="612">
        <f>C121</f>
        <v>5427.2899999999991</v>
      </c>
      <c r="D124" s="612">
        <f>D121</f>
        <v>9440.5789999999979</v>
      </c>
      <c r="E124" s="612">
        <f>E121</f>
        <v>9440.5789999999979</v>
      </c>
      <c r="F124" s="32"/>
      <c r="G124" s="47"/>
      <c r="H124" s="612">
        <f>H121</f>
        <v>1303.6199999999999</v>
      </c>
      <c r="I124" s="612">
        <f t="shared" ref="I124:AE124" si="49">I121</f>
        <v>634.54999999999995</v>
      </c>
      <c r="J124" s="612">
        <f t="shared" si="49"/>
        <v>980.04</v>
      </c>
      <c r="K124" s="612">
        <f t="shared" si="49"/>
        <v>911.26</v>
      </c>
      <c r="L124" s="612">
        <f t="shared" si="49"/>
        <v>609.14</v>
      </c>
      <c r="M124" s="612">
        <f t="shared" si="49"/>
        <v>643.58000000000004</v>
      </c>
      <c r="N124" s="612">
        <f t="shared" si="49"/>
        <v>943.69</v>
      </c>
      <c r="O124" s="612">
        <f t="shared" si="49"/>
        <v>595.28</v>
      </c>
      <c r="P124" s="612">
        <f t="shared" si="49"/>
        <v>753.9</v>
      </c>
      <c r="Q124" s="612">
        <f t="shared" si="49"/>
        <v>940.87</v>
      </c>
      <c r="R124" s="612">
        <f t="shared" si="49"/>
        <v>836.9</v>
      </c>
      <c r="S124" s="612">
        <f t="shared" si="49"/>
        <v>979.28</v>
      </c>
      <c r="T124" s="612">
        <f t="shared" si="49"/>
        <v>1066.29</v>
      </c>
      <c r="U124" s="612">
        <f t="shared" si="49"/>
        <v>768.23</v>
      </c>
      <c r="V124" s="612">
        <f t="shared" si="49"/>
        <v>693.9</v>
      </c>
      <c r="W124" s="612">
        <f t="shared" si="49"/>
        <v>577.20000000000005</v>
      </c>
      <c r="X124" s="612">
        <f t="shared" si="49"/>
        <v>624.24</v>
      </c>
      <c r="Y124" s="612">
        <f t="shared" si="49"/>
        <v>647.94000000000005</v>
      </c>
      <c r="Z124" s="612">
        <f t="shared" si="49"/>
        <v>861.62</v>
      </c>
      <c r="AA124" s="612">
        <f t="shared" si="49"/>
        <v>582.95000000000005</v>
      </c>
      <c r="AB124" s="612">
        <f t="shared" si="49"/>
        <v>713.68</v>
      </c>
      <c r="AC124" s="612">
        <f t="shared" si="49"/>
        <v>601.54100000000005</v>
      </c>
      <c r="AD124" s="612">
        <f t="shared" si="49"/>
        <v>477.96</v>
      </c>
      <c r="AE124" s="961">
        <f t="shared" si="49"/>
        <v>1557.8979999999999</v>
      </c>
      <c r="AF124" s="809"/>
      <c r="AG124" s="663"/>
    </row>
    <row r="125" spans="1:33" ht="18.75" x14ac:dyDescent="0.3">
      <c r="A125" s="15" t="s">
        <v>33</v>
      </c>
      <c r="B125" s="612">
        <f>B117</f>
        <v>6417.5099999999993</v>
      </c>
      <c r="C125" s="612">
        <f>C117</f>
        <v>3600.39</v>
      </c>
      <c r="D125" s="612">
        <f>D117</f>
        <v>7080.0969999999998</v>
      </c>
      <c r="E125" s="612">
        <f>E117</f>
        <v>7080.0969999999998</v>
      </c>
      <c r="F125" s="47">
        <f>D125/B125*100</f>
        <v>110.32467421164907</v>
      </c>
      <c r="G125" s="47">
        <f>E125/C125*100</f>
        <v>196.64805757154087</v>
      </c>
      <c r="H125" s="612">
        <f>H117</f>
        <v>855.75</v>
      </c>
      <c r="I125" s="612">
        <f t="shared" ref="I125:AE125" si="50">I117</f>
        <v>541.91999999999996</v>
      </c>
      <c r="J125" s="612">
        <f t="shared" si="50"/>
        <v>534.54999999999995</v>
      </c>
      <c r="K125" s="612">
        <f t="shared" si="50"/>
        <v>628.73</v>
      </c>
      <c r="L125" s="612">
        <f t="shared" si="50"/>
        <v>429.83</v>
      </c>
      <c r="M125" s="612">
        <f t="shared" si="50"/>
        <v>402.57</v>
      </c>
      <c r="N125" s="612">
        <f t="shared" si="50"/>
        <v>611.53</v>
      </c>
      <c r="O125" s="612">
        <f t="shared" si="50"/>
        <v>439.83</v>
      </c>
      <c r="P125" s="612">
        <f t="shared" si="50"/>
        <v>583.14</v>
      </c>
      <c r="Q125" s="612">
        <f t="shared" si="50"/>
        <v>726.48</v>
      </c>
      <c r="R125" s="612">
        <f t="shared" si="50"/>
        <v>585.59</v>
      </c>
      <c r="S125" s="612">
        <f t="shared" si="50"/>
        <v>740.64</v>
      </c>
      <c r="T125" s="612">
        <f t="shared" si="50"/>
        <v>654.35</v>
      </c>
      <c r="U125" s="612">
        <f t="shared" si="50"/>
        <v>557.59</v>
      </c>
      <c r="V125" s="612">
        <f t="shared" si="50"/>
        <v>484.7</v>
      </c>
      <c r="W125" s="612">
        <f t="shared" si="50"/>
        <v>542.80999999999995</v>
      </c>
      <c r="X125" s="612">
        <f t="shared" si="50"/>
        <v>432.07</v>
      </c>
      <c r="Y125" s="612">
        <f t="shared" si="50"/>
        <v>326.16000000000003</v>
      </c>
      <c r="Z125" s="612">
        <f t="shared" si="50"/>
        <v>487.8</v>
      </c>
      <c r="AA125" s="612">
        <f t="shared" si="50"/>
        <v>582.19000000000005</v>
      </c>
      <c r="AB125" s="612">
        <f t="shared" si="50"/>
        <v>409.82</v>
      </c>
      <c r="AC125" s="612">
        <f t="shared" si="50"/>
        <v>601.54100000000005</v>
      </c>
      <c r="AD125" s="612">
        <f t="shared" si="50"/>
        <v>348.38</v>
      </c>
      <c r="AE125" s="961">
        <f t="shared" si="50"/>
        <v>834.56600000000003</v>
      </c>
      <c r="AF125" s="29"/>
      <c r="AG125" s="663"/>
    </row>
    <row r="126" spans="1:33" ht="37.5" x14ac:dyDescent="0.3">
      <c r="A126" s="28" t="s">
        <v>92</v>
      </c>
      <c r="B126" s="612"/>
      <c r="C126" s="612"/>
      <c r="D126" s="612"/>
      <c r="E126" s="612"/>
      <c r="F126" s="32"/>
      <c r="G126" s="47"/>
      <c r="H126" s="612"/>
      <c r="I126" s="612"/>
      <c r="J126" s="612"/>
      <c r="K126" s="612"/>
      <c r="L126" s="612"/>
      <c r="M126" s="612"/>
      <c r="N126" s="612"/>
      <c r="O126" s="612"/>
      <c r="P126" s="612"/>
      <c r="Q126" s="612"/>
      <c r="R126" s="612"/>
      <c r="S126" s="612"/>
      <c r="T126" s="612"/>
      <c r="U126" s="612"/>
      <c r="V126" s="612"/>
      <c r="W126" s="612"/>
      <c r="X126" s="612"/>
      <c r="Y126" s="612"/>
      <c r="Z126" s="612"/>
      <c r="AA126" s="612"/>
      <c r="AB126" s="612"/>
      <c r="AC126" s="612"/>
      <c r="AD126" s="612"/>
      <c r="AE126" s="961"/>
      <c r="AF126" s="29"/>
      <c r="AG126" s="663"/>
    </row>
    <row r="127" spans="1:33" ht="18.75" x14ac:dyDescent="0.3">
      <c r="A127" s="8" t="s">
        <v>31</v>
      </c>
      <c r="B127" s="612">
        <f>B128+B129</f>
        <v>16282.489999999998</v>
      </c>
      <c r="C127" s="612">
        <f>C128+C129</f>
        <v>9027.6799999999985</v>
      </c>
      <c r="D127" s="612">
        <f>D128+D129</f>
        <v>16520.675999999999</v>
      </c>
      <c r="E127" s="612">
        <f>E128+E129</f>
        <v>16520.675999999999</v>
      </c>
      <c r="F127" s="32">
        <f>E127/B127*100</f>
        <v>101.46283522974682</v>
      </c>
      <c r="G127" s="47">
        <f>E127/C127*100</f>
        <v>183.0002392641299</v>
      </c>
      <c r="H127" s="612">
        <f>H128+H129</f>
        <v>2159.37</v>
      </c>
      <c r="I127" s="612">
        <f t="shared" ref="I127:AE127" si="51">I128+I129</f>
        <v>1176.4699999999998</v>
      </c>
      <c r="J127" s="612">
        <f t="shared" si="51"/>
        <v>1514.59</v>
      </c>
      <c r="K127" s="612">
        <f t="shared" si="51"/>
        <v>1539.99</v>
      </c>
      <c r="L127" s="612">
        <f t="shared" si="51"/>
        <v>1038.97</v>
      </c>
      <c r="M127" s="612">
        <f t="shared" si="51"/>
        <v>1046.1500000000001</v>
      </c>
      <c r="N127" s="612">
        <f t="shared" si="51"/>
        <v>1555.22</v>
      </c>
      <c r="O127" s="612">
        <f t="shared" si="51"/>
        <v>1035.1099999999999</v>
      </c>
      <c r="P127" s="612">
        <f t="shared" si="51"/>
        <v>1337.04</v>
      </c>
      <c r="Q127" s="612">
        <f t="shared" si="51"/>
        <v>1667.35</v>
      </c>
      <c r="R127" s="612">
        <f t="shared" si="51"/>
        <v>1422.49</v>
      </c>
      <c r="S127" s="612">
        <f t="shared" si="51"/>
        <v>1719.92</v>
      </c>
      <c r="T127" s="612">
        <f t="shared" si="51"/>
        <v>1720.6399999999999</v>
      </c>
      <c r="U127" s="612">
        <f t="shared" si="51"/>
        <v>1325.8200000000002</v>
      </c>
      <c r="V127" s="612">
        <f t="shared" si="51"/>
        <v>1178.5999999999999</v>
      </c>
      <c r="W127" s="612">
        <f t="shared" si="51"/>
        <v>1120.01</v>
      </c>
      <c r="X127" s="612">
        <f t="shared" si="51"/>
        <v>1056.31</v>
      </c>
      <c r="Y127" s="612">
        <f t="shared" si="51"/>
        <v>974.10000000000014</v>
      </c>
      <c r="Z127" s="612">
        <f t="shared" si="51"/>
        <v>1349.42</v>
      </c>
      <c r="AA127" s="612">
        <f t="shared" si="51"/>
        <v>1165.1400000000001</v>
      </c>
      <c r="AB127" s="612">
        <f t="shared" si="51"/>
        <v>1123.5</v>
      </c>
      <c r="AC127" s="612">
        <f t="shared" si="51"/>
        <v>1203.0820000000001</v>
      </c>
      <c r="AD127" s="612">
        <f t="shared" si="51"/>
        <v>826.33999999999992</v>
      </c>
      <c r="AE127" s="961">
        <f t="shared" si="51"/>
        <v>2392.4639999999999</v>
      </c>
      <c r="AF127" s="29"/>
      <c r="AG127" s="663"/>
    </row>
    <row r="128" spans="1:33" ht="18.75" x14ac:dyDescent="0.3">
      <c r="A128" s="15" t="s">
        <v>97</v>
      </c>
      <c r="B128" s="612">
        <f t="shared" ref="B128:E129" si="52">B124</f>
        <v>9864.9799999999977</v>
      </c>
      <c r="C128" s="612">
        <f t="shared" si="52"/>
        <v>5427.2899999999991</v>
      </c>
      <c r="D128" s="612">
        <f t="shared" si="52"/>
        <v>9440.5789999999979</v>
      </c>
      <c r="E128" s="612">
        <f t="shared" si="52"/>
        <v>9440.5789999999979</v>
      </c>
      <c r="F128" s="32"/>
      <c r="G128" s="47"/>
      <c r="H128" s="612">
        <f>H124</f>
        <v>1303.6199999999999</v>
      </c>
      <c r="I128" s="612">
        <f t="shared" ref="I128:AE128" si="53">I124</f>
        <v>634.54999999999995</v>
      </c>
      <c r="J128" s="612">
        <f t="shared" si="53"/>
        <v>980.04</v>
      </c>
      <c r="K128" s="612">
        <f t="shared" si="53"/>
        <v>911.26</v>
      </c>
      <c r="L128" s="612">
        <f t="shared" si="53"/>
        <v>609.14</v>
      </c>
      <c r="M128" s="612">
        <f t="shared" si="53"/>
        <v>643.58000000000004</v>
      </c>
      <c r="N128" s="612">
        <f t="shared" si="53"/>
        <v>943.69</v>
      </c>
      <c r="O128" s="612">
        <f t="shared" si="53"/>
        <v>595.28</v>
      </c>
      <c r="P128" s="612">
        <f t="shared" si="53"/>
        <v>753.9</v>
      </c>
      <c r="Q128" s="612">
        <f t="shared" si="53"/>
        <v>940.87</v>
      </c>
      <c r="R128" s="612">
        <f t="shared" si="53"/>
        <v>836.9</v>
      </c>
      <c r="S128" s="612">
        <f t="shared" si="53"/>
        <v>979.28</v>
      </c>
      <c r="T128" s="612">
        <f t="shared" si="53"/>
        <v>1066.29</v>
      </c>
      <c r="U128" s="612">
        <f t="shared" si="53"/>
        <v>768.23</v>
      </c>
      <c r="V128" s="612">
        <f t="shared" si="53"/>
        <v>693.9</v>
      </c>
      <c r="W128" s="612">
        <f t="shared" si="53"/>
        <v>577.20000000000005</v>
      </c>
      <c r="X128" s="612">
        <f t="shared" si="53"/>
        <v>624.24</v>
      </c>
      <c r="Y128" s="612">
        <f t="shared" si="53"/>
        <v>647.94000000000005</v>
      </c>
      <c r="Z128" s="612">
        <f t="shared" si="53"/>
        <v>861.62</v>
      </c>
      <c r="AA128" s="612">
        <f t="shared" si="53"/>
        <v>582.95000000000005</v>
      </c>
      <c r="AB128" s="612">
        <f t="shared" si="53"/>
        <v>713.68</v>
      </c>
      <c r="AC128" s="612">
        <f t="shared" si="53"/>
        <v>601.54100000000005</v>
      </c>
      <c r="AD128" s="612">
        <f t="shared" si="53"/>
        <v>477.96</v>
      </c>
      <c r="AE128" s="961">
        <f t="shared" si="53"/>
        <v>1557.8979999999999</v>
      </c>
      <c r="AF128" s="29"/>
      <c r="AG128" s="663"/>
    </row>
    <row r="129" spans="1:33" ht="18.75" x14ac:dyDescent="0.3">
      <c r="A129" s="13" t="s">
        <v>33</v>
      </c>
      <c r="B129" s="612">
        <f t="shared" si="52"/>
        <v>6417.5099999999993</v>
      </c>
      <c r="C129" s="612">
        <f t="shared" si="52"/>
        <v>3600.39</v>
      </c>
      <c r="D129" s="612">
        <f t="shared" si="52"/>
        <v>7080.0969999999998</v>
      </c>
      <c r="E129" s="612">
        <f t="shared" si="52"/>
        <v>7080.0969999999998</v>
      </c>
      <c r="F129" s="47">
        <f>D129/B129*100</f>
        <v>110.32467421164907</v>
      </c>
      <c r="G129" s="47">
        <f>E129/C129*100</f>
        <v>196.64805757154087</v>
      </c>
      <c r="H129" s="612">
        <f>H125</f>
        <v>855.75</v>
      </c>
      <c r="I129" s="612">
        <f t="shared" ref="I129:AE129" si="54">I125</f>
        <v>541.91999999999996</v>
      </c>
      <c r="J129" s="612">
        <f t="shared" si="54"/>
        <v>534.54999999999995</v>
      </c>
      <c r="K129" s="612">
        <f t="shared" si="54"/>
        <v>628.73</v>
      </c>
      <c r="L129" s="612">
        <f t="shared" si="54"/>
        <v>429.83</v>
      </c>
      <c r="M129" s="612">
        <f t="shared" si="54"/>
        <v>402.57</v>
      </c>
      <c r="N129" s="612">
        <f t="shared" si="54"/>
        <v>611.53</v>
      </c>
      <c r="O129" s="612">
        <f t="shared" si="54"/>
        <v>439.83</v>
      </c>
      <c r="P129" s="612">
        <f t="shared" si="54"/>
        <v>583.14</v>
      </c>
      <c r="Q129" s="612">
        <f t="shared" si="54"/>
        <v>726.48</v>
      </c>
      <c r="R129" s="612">
        <f t="shared" si="54"/>
        <v>585.59</v>
      </c>
      <c r="S129" s="612">
        <f t="shared" si="54"/>
        <v>740.64</v>
      </c>
      <c r="T129" s="612">
        <f t="shared" si="54"/>
        <v>654.35</v>
      </c>
      <c r="U129" s="612">
        <f t="shared" si="54"/>
        <v>557.59</v>
      </c>
      <c r="V129" s="612">
        <f t="shared" si="54"/>
        <v>484.7</v>
      </c>
      <c r="W129" s="612">
        <f t="shared" si="54"/>
        <v>542.80999999999995</v>
      </c>
      <c r="X129" s="612">
        <f t="shared" si="54"/>
        <v>432.07</v>
      </c>
      <c r="Y129" s="612">
        <f t="shared" si="54"/>
        <v>326.16000000000003</v>
      </c>
      <c r="Z129" s="612">
        <f t="shared" si="54"/>
        <v>487.8</v>
      </c>
      <c r="AA129" s="612">
        <f t="shared" si="54"/>
        <v>582.19000000000005</v>
      </c>
      <c r="AB129" s="612">
        <f t="shared" si="54"/>
        <v>409.82</v>
      </c>
      <c r="AC129" s="612">
        <f t="shared" si="54"/>
        <v>601.54100000000005</v>
      </c>
      <c r="AD129" s="612">
        <f t="shared" si="54"/>
        <v>348.38</v>
      </c>
      <c r="AE129" s="961">
        <f t="shared" si="54"/>
        <v>834.56600000000003</v>
      </c>
      <c r="AF129" s="29"/>
      <c r="AG129" s="663"/>
    </row>
    <row r="130" spans="1:33" ht="37.5" x14ac:dyDescent="0.3">
      <c r="A130" s="55" t="s">
        <v>63</v>
      </c>
      <c r="B130" s="804">
        <f>B52+B98+B123</f>
        <v>32819.119999999995</v>
      </c>
      <c r="C130" s="612">
        <f>C131+C132+C133</f>
        <v>16804.36</v>
      </c>
      <c r="D130" s="612">
        <f>D131+D132+D133</f>
        <v>24106.383000000002</v>
      </c>
      <c r="E130" s="804">
        <f>I130+K130+M130+O130+Q130+S130+U130+W130+Y130+AA130+AC130+AE130</f>
        <v>30684.483</v>
      </c>
      <c r="F130" s="32">
        <f>E130/B130*100</f>
        <v>93.495751866594858</v>
      </c>
      <c r="G130" s="47">
        <f>E130/C130*100</f>
        <v>182.59834352513275</v>
      </c>
      <c r="H130" s="612">
        <f>H131+H132+H133</f>
        <v>3535.6499999999996</v>
      </c>
      <c r="I130" s="612">
        <f t="shared" ref="I130:AE130" si="55">I131+I132+I133</f>
        <v>2274.5299999999997</v>
      </c>
      <c r="J130" s="612">
        <f t="shared" si="55"/>
        <v>2782.91</v>
      </c>
      <c r="K130" s="612">
        <f t="shared" si="55"/>
        <v>2810.16</v>
      </c>
      <c r="L130" s="612">
        <f t="shared" si="55"/>
        <v>2266.91</v>
      </c>
      <c r="M130" s="612">
        <f t="shared" si="55"/>
        <v>2015.29</v>
      </c>
      <c r="N130" s="612">
        <f t="shared" si="55"/>
        <v>2931.12</v>
      </c>
      <c r="O130" s="612">
        <f t="shared" si="55"/>
        <v>2111.66</v>
      </c>
      <c r="P130" s="612">
        <f t="shared" si="55"/>
        <v>2767.8199999999997</v>
      </c>
      <c r="Q130" s="612">
        <f t="shared" si="55"/>
        <v>3342.31</v>
      </c>
      <c r="R130" s="612">
        <f t="shared" si="55"/>
        <v>2553.08</v>
      </c>
      <c r="S130" s="612">
        <f t="shared" si="55"/>
        <v>2661.81</v>
      </c>
      <c r="T130" s="612">
        <f t="shared" si="55"/>
        <v>3116.17</v>
      </c>
      <c r="U130" s="612">
        <f t="shared" si="55"/>
        <v>2639.98</v>
      </c>
      <c r="V130" s="612">
        <f t="shared" si="55"/>
        <v>2234.4499999999998</v>
      </c>
      <c r="W130" s="612">
        <f t="shared" si="55"/>
        <v>1997.9</v>
      </c>
      <c r="X130" s="612">
        <f t="shared" si="55"/>
        <v>2568.6999999999998</v>
      </c>
      <c r="Y130" s="612">
        <f t="shared" si="55"/>
        <v>2770.75</v>
      </c>
      <c r="Z130" s="612">
        <f t="shared" si="55"/>
        <v>3365.36</v>
      </c>
      <c r="AA130" s="612">
        <f t="shared" si="55"/>
        <v>2381.13</v>
      </c>
      <c r="AB130" s="612">
        <f t="shared" si="55"/>
        <v>2147.21</v>
      </c>
      <c r="AC130" s="612">
        <f t="shared" si="55"/>
        <v>2055.7069999999999</v>
      </c>
      <c r="AD130" s="612">
        <f t="shared" si="55"/>
        <v>2416.0100000000002</v>
      </c>
      <c r="AE130" s="961">
        <f t="shared" si="55"/>
        <v>3623.2559999999999</v>
      </c>
      <c r="AF130" s="29"/>
      <c r="AG130" s="663"/>
    </row>
    <row r="131" spans="1:33" ht="18.75" x14ac:dyDescent="0.3">
      <c r="A131" s="15" t="s">
        <v>102</v>
      </c>
      <c r="B131" s="612">
        <f>B59</f>
        <v>2.8</v>
      </c>
      <c r="C131" s="612">
        <f>C23</f>
        <v>2.8</v>
      </c>
      <c r="D131" s="612">
        <f>D23</f>
        <v>2.79</v>
      </c>
      <c r="E131" s="612">
        <f>E23</f>
        <v>2.79</v>
      </c>
      <c r="F131" s="32"/>
      <c r="G131" s="47"/>
      <c r="H131" s="612">
        <f t="shared" ref="H131:AE131" si="56">H23</f>
        <v>0</v>
      </c>
      <c r="I131" s="612">
        <f t="shared" si="56"/>
        <v>0</v>
      </c>
      <c r="J131" s="612">
        <f t="shared" si="56"/>
        <v>0</v>
      </c>
      <c r="K131" s="612">
        <f t="shared" si="56"/>
        <v>0</v>
      </c>
      <c r="L131" s="612">
        <f t="shared" si="56"/>
        <v>0</v>
      </c>
      <c r="M131" s="612">
        <f t="shared" si="56"/>
        <v>0</v>
      </c>
      <c r="N131" s="612">
        <f t="shared" si="56"/>
        <v>0</v>
      </c>
      <c r="O131" s="612">
        <f t="shared" si="56"/>
        <v>0</v>
      </c>
      <c r="P131" s="612">
        <f t="shared" si="56"/>
        <v>2.8</v>
      </c>
      <c r="Q131" s="612">
        <f t="shared" si="56"/>
        <v>2.79</v>
      </c>
      <c r="R131" s="612">
        <f t="shared" si="56"/>
        <v>0</v>
      </c>
      <c r="S131" s="612">
        <f t="shared" si="56"/>
        <v>0</v>
      </c>
      <c r="T131" s="612">
        <f t="shared" si="56"/>
        <v>0</v>
      </c>
      <c r="U131" s="612">
        <f t="shared" si="56"/>
        <v>0</v>
      </c>
      <c r="V131" s="612">
        <f t="shared" si="56"/>
        <v>0</v>
      </c>
      <c r="W131" s="612">
        <f t="shared" si="56"/>
        <v>0</v>
      </c>
      <c r="X131" s="612">
        <f t="shared" si="56"/>
        <v>0</v>
      </c>
      <c r="Y131" s="612">
        <f t="shared" si="56"/>
        <v>0</v>
      </c>
      <c r="Z131" s="612">
        <f t="shared" si="56"/>
        <v>0</v>
      </c>
      <c r="AA131" s="612">
        <f t="shared" si="56"/>
        <v>0</v>
      </c>
      <c r="AB131" s="612">
        <f t="shared" si="56"/>
        <v>0</v>
      </c>
      <c r="AC131" s="612">
        <f t="shared" si="56"/>
        <v>0</v>
      </c>
      <c r="AD131" s="612">
        <f t="shared" si="56"/>
        <v>0</v>
      </c>
      <c r="AE131" s="961">
        <f t="shared" si="56"/>
        <v>0</v>
      </c>
      <c r="AF131" s="29"/>
      <c r="AG131" s="663"/>
    </row>
    <row r="132" spans="1:33" ht="18.75" x14ac:dyDescent="0.3">
      <c r="A132" s="15" t="s">
        <v>97</v>
      </c>
      <c r="B132" s="612">
        <f>B54+B124</f>
        <v>13057.419999999998</v>
      </c>
      <c r="C132" s="612">
        <f>C11+C19+C121</f>
        <v>6411.7899999999991</v>
      </c>
      <c r="D132" s="612">
        <f>D11+D19+D121</f>
        <v>12551.392999999998</v>
      </c>
      <c r="E132" s="612">
        <f>I132+K132+M132+O132+Q132+S132+U132+W132+Y132+AA132+AC132</f>
        <v>10647.191000000001</v>
      </c>
      <c r="F132" s="32"/>
      <c r="G132" s="47"/>
      <c r="H132" s="612">
        <f>H54+H124</f>
        <v>1647.3899999999999</v>
      </c>
      <c r="I132" s="612">
        <f t="shared" ref="I132:AE132" si="57">I11+I19+I121</f>
        <v>883.26</v>
      </c>
      <c r="J132" s="612">
        <f t="shared" si="57"/>
        <v>1196.71</v>
      </c>
      <c r="K132" s="612">
        <f t="shared" si="57"/>
        <v>1162.8899999999999</v>
      </c>
      <c r="L132" s="612">
        <f t="shared" si="57"/>
        <v>995.13</v>
      </c>
      <c r="M132" s="612">
        <f t="shared" si="57"/>
        <v>962.26</v>
      </c>
      <c r="N132" s="612">
        <f t="shared" si="57"/>
        <v>1295.75</v>
      </c>
      <c r="O132" s="612">
        <f t="shared" si="57"/>
        <v>904.14</v>
      </c>
      <c r="P132" s="612">
        <f t="shared" si="57"/>
        <v>1060.1199999999999</v>
      </c>
      <c r="Q132" s="612">
        <f t="shared" si="57"/>
        <v>1204.04</v>
      </c>
      <c r="R132" s="612">
        <f t="shared" si="57"/>
        <v>1115.3599999999999</v>
      </c>
      <c r="S132" s="612">
        <f t="shared" si="57"/>
        <v>1267.42</v>
      </c>
      <c r="T132" s="612">
        <f t="shared" si="57"/>
        <v>1486.55</v>
      </c>
      <c r="U132" s="612">
        <f t="shared" si="57"/>
        <v>1356.5</v>
      </c>
      <c r="V132" s="612">
        <f t="shared" si="57"/>
        <v>878.91</v>
      </c>
      <c r="W132" s="612">
        <f t="shared" si="57"/>
        <v>789.1</v>
      </c>
      <c r="X132" s="612">
        <f t="shared" si="57"/>
        <v>774.5</v>
      </c>
      <c r="Y132" s="612">
        <f t="shared" si="57"/>
        <v>647.94000000000005</v>
      </c>
      <c r="Z132" s="612">
        <f t="shared" si="57"/>
        <v>1012.6</v>
      </c>
      <c r="AA132" s="612">
        <f t="shared" si="57"/>
        <v>759.38000000000011</v>
      </c>
      <c r="AB132" s="612">
        <f t="shared" si="57"/>
        <v>885.29</v>
      </c>
      <c r="AC132" s="612">
        <f t="shared" si="57"/>
        <v>710.26100000000008</v>
      </c>
      <c r="AD132" s="612">
        <f t="shared" si="57"/>
        <v>709.11</v>
      </c>
      <c r="AE132" s="961">
        <f t="shared" si="57"/>
        <v>1904.2019999999998</v>
      </c>
      <c r="AF132" s="29"/>
      <c r="AG132" s="663"/>
    </row>
    <row r="133" spans="1:33" ht="18.75" x14ac:dyDescent="0.3">
      <c r="A133" s="15" t="s">
        <v>33</v>
      </c>
      <c r="B133" s="612">
        <f>B55+B99+B125</f>
        <v>19758.900000000001</v>
      </c>
      <c r="C133" s="612">
        <f>C12+C16+C20+C26+C41+C66+C72+C78+C107+C117</f>
        <v>10389.77</v>
      </c>
      <c r="D133" s="612">
        <f>D12+D16+D20+D26+D41+D66+D72+D78+D107+D117</f>
        <v>11552.2</v>
      </c>
      <c r="E133" s="612">
        <f>I133+K133+M133+O133+Q133+S133+U133+W133+Y133+AA133+AC133+AE133</f>
        <v>18130.3</v>
      </c>
      <c r="F133" s="32">
        <f>E133/B133*100</f>
        <v>91.757638330068971</v>
      </c>
      <c r="G133" s="47">
        <f>E133/C133*100</f>
        <v>174.50145672137108</v>
      </c>
      <c r="H133" s="612">
        <f>H55+H125</f>
        <v>1888.26</v>
      </c>
      <c r="I133" s="612">
        <f>I55+I99+I125</f>
        <v>1391.27</v>
      </c>
      <c r="J133" s="612">
        <f>J55+J102+J125</f>
        <v>1586.1999999999998</v>
      </c>
      <c r="K133" s="612">
        <f t="shared" ref="K133:AE133" si="58">K55+K99+K125</f>
        <v>1647.27</v>
      </c>
      <c r="L133" s="612">
        <f t="shared" si="58"/>
        <v>1271.78</v>
      </c>
      <c r="M133" s="612">
        <f t="shared" si="58"/>
        <v>1053.03</v>
      </c>
      <c r="N133" s="612">
        <f t="shared" si="58"/>
        <v>1635.37</v>
      </c>
      <c r="O133" s="612">
        <f t="shared" si="58"/>
        <v>1207.52</v>
      </c>
      <c r="P133" s="612">
        <f t="shared" si="58"/>
        <v>1704.9</v>
      </c>
      <c r="Q133" s="612">
        <f t="shared" si="58"/>
        <v>2135.48</v>
      </c>
      <c r="R133" s="612">
        <f t="shared" si="58"/>
        <v>1437.72</v>
      </c>
      <c r="S133" s="612">
        <f t="shared" si="58"/>
        <v>1394.3899999999999</v>
      </c>
      <c r="T133" s="612">
        <f t="shared" si="58"/>
        <v>1629.62</v>
      </c>
      <c r="U133" s="612">
        <f t="shared" si="58"/>
        <v>1283.48</v>
      </c>
      <c r="V133" s="612">
        <f t="shared" si="58"/>
        <v>1355.54</v>
      </c>
      <c r="W133" s="612">
        <f t="shared" si="58"/>
        <v>1208.8</v>
      </c>
      <c r="X133" s="612">
        <f t="shared" si="58"/>
        <v>1794.2</v>
      </c>
      <c r="Y133" s="612">
        <f t="shared" si="58"/>
        <v>2122.81</v>
      </c>
      <c r="Z133" s="612">
        <f t="shared" si="58"/>
        <v>2352.7600000000002</v>
      </c>
      <c r="AA133" s="612">
        <f t="shared" si="58"/>
        <v>1621.75</v>
      </c>
      <c r="AB133" s="612">
        <f t="shared" si="58"/>
        <v>1261.92</v>
      </c>
      <c r="AC133" s="612">
        <f t="shared" si="58"/>
        <v>1345.4459999999999</v>
      </c>
      <c r="AD133" s="612">
        <f t="shared" si="58"/>
        <v>1706.9</v>
      </c>
      <c r="AE133" s="961">
        <f t="shared" si="58"/>
        <v>1719.0540000000001</v>
      </c>
      <c r="AF133" s="29"/>
      <c r="AG133" s="663"/>
    </row>
    <row r="134" spans="1:33" ht="37.5" x14ac:dyDescent="0.3">
      <c r="A134" s="72" t="s">
        <v>130</v>
      </c>
      <c r="B134" s="612">
        <f>K143+B56</f>
        <v>65.319999999999993</v>
      </c>
      <c r="C134" s="612">
        <f>C56</f>
        <v>32.659999999999997</v>
      </c>
      <c r="D134" s="612">
        <f>D56</f>
        <v>16.329999999999998</v>
      </c>
      <c r="E134" s="612">
        <f>E56</f>
        <v>16.329999999999998</v>
      </c>
      <c r="F134" s="32">
        <f>E134/B134*100</f>
        <v>25</v>
      </c>
      <c r="G134" s="47">
        <f>E134/C134*100</f>
        <v>50</v>
      </c>
      <c r="H134" s="612">
        <f t="shared" ref="H134:AE134" si="59">H56</f>
        <v>0</v>
      </c>
      <c r="I134" s="612">
        <f t="shared" si="59"/>
        <v>0</v>
      </c>
      <c r="J134" s="612">
        <f t="shared" si="59"/>
        <v>0</v>
      </c>
      <c r="K134" s="612">
        <f t="shared" si="59"/>
        <v>0</v>
      </c>
      <c r="L134" s="612">
        <f t="shared" si="59"/>
        <v>0</v>
      </c>
      <c r="M134" s="612">
        <f t="shared" si="59"/>
        <v>0</v>
      </c>
      <c r="N134" s="612">
        <f t="shared" si="59"/>
        <v>16.329999999999998</v>
      </c>
      <c r="O134" s="612">
        <f t="shared" si="59"/>
        <v>16.329999999999998</v>
      </c>
      <c r="P134" s="612">
        <f t="shared" si="59"/>
        <v>0</v>
      </c>
      <c r="Q134" s="612">
        <f t="shared" si="59"/>
        <v>0</v>
      </c>
      <c r="R134" s="612">
        <f t="shared" si="59"/>
        <v>0</v>
      </c>
      <c r="S134" s="612">
        <f t="shared" si="59"/>
        <v>0</v>
      </c>
      <c r="T134" s="612">
        <f t="shared" si="59"/>
        <v>16.329999999999998</v>
      </c>
      <c r="U134" s="612">
        <f t="shared" si="59"/>
        <v>0</v>
      </c>
      <c r="V134" s="612">
        <f t="shared" si="59"/>
        <v>0</v>
      </c>
      <c r="W134" s="612">
        <f t="shared" si="59"/>
        <v>0</v>
      </c>
      <c r="X134" s="612">
        <f t="shared" si="59"/>
        <v>0</v>
      </c>
      <c r="Y134" s="612">
        <f t="shared" si="59"/>
        <v>0</v>
      </c>
      <c r="Z134" s="612">
        <f t="shared" si="59"/>
        <v>16.329999999999998</v>
      </c>
      <c r="AA134" s="612">
        <f t="shared" si="59"/>
        <v>0</v>
      </c>
      <c r="AB134" s="612">
        <f t="shared" si="59"/>
        <v>0</v>
      </c>
      <c r="AC134" s="612">
        <f t="shared" si="59"/>
        <v>0</v>
      </c>
      <c r="AD134" s="612">
        <f t="shared" si="59"/>
        <v>16.329999999999998</v>
      </c>
      <c r="AE134" s="961">
        <f t="shared" si="59"/>
        <v>0</v>
      </c>
      <c r="AF134" s="29"/>
      <c r="AG134" s="663"/>
    </row>
    <row r="135" spans="1:33" ht="37.5" x14ac:dyDescent="0.3">
      <c r="A135" s="56" t="s">
        <v>64</v>
      </c>
      <c r="B135" s="612">
        <f>B136+B137+B138</f>
        <v>32819.119999999995</v>
      </c>
      <c r="C135" s="612">
        <f>C136+C137+C138</f>
        <v>16804.36</v>
      </c>
      <c r="D135" s="612">
        <f>D136+D137+D138</f>
        <v>24106.383000000002</v>
      </c>
      <c r="E135" s="612">
        <f>E136+E137+E138</f>
        <v>28780.281000000003</v>
      </c>
      <c r="F135" s="32">
        <f>E135/B135*100</f>
        <v>87.693640170729765</v>
      </c>
      <c r="G135" s="47">
        <f>E135/C135*100</f>
        <v>171.26674862952237</v>
      </c>
      <c r="H135" s="612">
        <f>H136+H137+H138</f>
        <v>3535.6499999999996</v>
      </c>
      <c r="I135" s="612">
        <f t="shared" ref="I135:AE135" si="60">I136+I137+I138</f>
        <v>2274.5299999999997</v>
      </c>
      <c r="J135" s="612">
        <f t="shared" si="60"/>
        <v>2782.91</v>
      </c>
      <c r="K135" s="612">
        <f t="shared" si="60"/>
        <v>2810.16</v>
      </c>
      <c r="L135" s="612">
        <f t="shared" si="60"/>
        <v>2266.91</v>
      </c>
      <c r="M135" s="612">
        <f t="shared" si="60"/>
        <v>2015.29</v>
      </c>
      <c r="N135" s="612">
        <f t="shared" si="60"/>
        <v>2931.12</v>
      </c>
      <c r="O135" s="612">
        <f t="shared" si="60"/>
        <v>2111.66</v>
      </c>
      <c r="P135" s="612">
        <f t="shared" si="60"/>
        <v>2767.8199999999997</v>
      </c>
      <c r="Q135" s="612">
        <f t="shared" si="60"/>
        <v>3342.31</v>
      </c>
      <c r="R135" s="612">
        <f t="shared" si="60"/>
        <v>2553.08</v>
      </c>
      <c r="S135" s="612">
        <f t="shared" si="60"/>
        <v>2661.81</v>
      </c>
      <c r="T135" s="612">
        <f t="shared" si="60"/>
        <v>3116.17</v>
      </c>
      <c r="U135" s="612">
        <f t="shared" si="60"/>
        <v>2639.98</v>
      </c>
      <c r="V135" s="612">
        <f t="shared" si="60"/>
        <v>2234.4499999999998</v>
      </c>
      <c r="W135" s="612">
        <f t="shared" si="60"/>
        <v>1997.9</v>
      </c>
      <c r="X135" s="612">
        <f t="shared" si="60"/>
        <v>2568.6999999999998</v>
      </c>
      <c r="Y135" s="612">
        <f t="shared" si="60"/>
        <v>2770.75</v>
      </c>
      <c r="Z135" s="612">
        <f t="shared" si="60"/>
        <v>3365.36</v>
      </c>
      <c r="AA135" s="612">
        <f t="shared" si="60"/>
        <v>2381.13</v>
      </c>
      <c r="AB135" s="612">
        <f t="shared" si="60"/>
        <v>2147.21</v>
      </c>
      <c r="AC135" s="612">
        <f t="shared" si="60"/>
        <v>2055.7069999999999</v>
      </c>
      <c r="AD135" s="612">
        <f t="shared" si="60"/>
        <v>2416.0100000000002</v>
      </c>
      <c r="AE135" s="961">
        <f t="shared" si="60"/>
        <v>3623.2559999999999</v>
      </c>
      <c r="AF135" s="29"/>
      <c r="AG135" s="663"/>
    </row>
    <row r="136" spans="1:33" ht="18.75" x14ac:dyDescent="0.3">
      <c r="A136" s="15" t="s">
        <v>102</v>
      </c>
      <c r="B136" s="612">
        <f t="shared" ref="B136:E139" si="61">B131</f>
        <v>2.8</v>
      </c>
      <c r="C136" s="612">
        <f t="shared" si="61"/>
        <v>2.8</v>
      </c>
      <c r="D136" s="612">
        <f t="shared" si="61"/>
        <v>2.79</v>
      </c>
      <c r="E136" s="612">
        <f t="shared" si="61"/>
        <v>2.79</v>
      </c>
      <c r="F136" s="32"/>
      <c r="G136" s="47"/>
      <c r="H136" s="612">
        <f>H131</f>
        <v>0</v>
      </c>
      <c r="I136" s="612">
        <f t="shared" ref="I136:AE136" si="62">I131</f>
        <v>0</v>
      </c>
      <c r="J136" s="612">
        <f t="shared" si="62"/>
        <v>0</v>
      </c>
      <c r="K136" s="612">
        <f t="shared" si="62"/>
        <v>0</v>
      </c>
      <c r="L136" s="612">
        <f t="shared" si="62"/>
        <v>0</v>
      </c>
      <c r="M136" s="612">
        <f t="shared" si="62"/>
        <v>0</v>
      </c>
      <c r="N136" s="612">
        <f t="shared" si="62"/>
        <v>0</v>
      </c>
      <c r="O136" s="612">
        <f t="shared" si="62"/>
        <v>0</v>
      </c>
      <c r="P136" s="612">
        <f t="shared" si="62"/>
        <v>2.8</v>
      </c>
      <c r="Q136" s="612">
        <f t="shared" si="62"/>
        <v>2.79</v>
      </c>
      <c r="R136" s="612">
        <f t="shared" si="62"/>
        <v>0</v>
      </c>
      <c r="S136" s="612">
        <f t="shared" si="62"/>
        <v>0</v>
      </c>
      <c r="T136" s="612">
        <f t="shared" si="62"/>
        <v>0</v>
      </c>
      <c r="U136" s="612">
        <f t="shared" si="62"/>
        <v>0</v>
      </c>
      <c r="V136" s="612">
        <f t="shared" si="62"/>
        <v>0</v>
      </c>
      <c r="W136" s="612">
        <f t="shared" si="62"/>
        <v>0</v>
      </c>
      <c r="X136" s="612">
        <f t="shared" si="62"/>
        <v>0</v>
      </c>
      <c r="Y136" s="612">
        <f t="shared" si="62"/>
        <v>0</v>
      </c>
      <c r="Z136" s="612">
        <f t="shared" si="62"/>
        <v>0</v>
      </c>
      <c r="AA136" s="612">
        <f t="shared" si="62"/>
        <v>0</v>
      </c>
      <c r="AB136" s="612">
        <f t="shared" si="62"/>
        <v>0</v>
      </c>
      <c r="AC136" s="612">
        <f t="shared" si="62"/>
        <v>0</v>
      </c>
      <c r="AD136" s="612">
        <f t="shared" si="62"/>
        <v>0</v>
      </c>
      <c r="AE136" s="961">
        <f t="shared" si="62"/>
        <v>0</v>
      </c>
      <c r="AF136" s="29"/>
      <c r="AG136" s="663"/>
    </row>
    <row r="137" spans="1:33" ht="18.75" x14ac:dyDescent="0.3">
      <c r="A137" s="15" t="s">
        <v>97</v>
      </c>
      <c r="B137" s="612">
        <f t="shared" si="61"/>
        <v>13057.419999999998</v>
      </c>
      <c r="C137" s="612">
        <f t="shared" si="61"/>
        <v>6411.7899999999991</v>
      </c>
      <c r="D137" s="612">
        <f t="shared" si="61"/>
        <v>12551.392999999998</v>
      </c>
      <c r="E137" s="612">
        <f t="shared" si="61"/>
        <v>10647.191000000001</v>
      </c>
      <c r="F137" s="32"/>
      <c r="G137" s="47"/>
      <c r="H137" s="612">
        <f>H132</f>
        <v>1647.3899999999999</v>
      </c>
      <c r="I137" s="612">
        <f t="shared" ref="I137:AE137" si="63">I132</f>
        <v>883.26</v>
      </c>
      <c r="J137" s="612">
        <f t="shared" si="63"/>
        <v>1196.71</v>
      </c>
      <c r="K137" s="612">
        <f t="shared" si="63"/>
        <v>1162.8899999999999</v>
      </c>
      <c r="L137" s="612">
        <f t="shared" si="63"/>
        <v>995.13</v>
      </c>
      <c r="M137" s="612">
        <f t="shared" si="63"/>
        <v>962.26</v>
      </c>
      <c r="N137" s="612">
        <f t="shared" si="63"/>
        <v>1295.75</v>
      </c>
      <c r="O137" s="612">
        <f t="shared" si="63"/>
        <v>904.14</v>
      </c>
      <c r="P137" s="612">
        <f t="shared" si="63"/>
        <v>1060.1199999999999</v>
      </c>
      <c r="Q137" s="612">
        <f t="shared" si="63"/>
        <v>1204.04</v>
      </c>
      <c r="R137" s="612">
        <f t="shared" si="63"/>
        <v>1115.3599999999999</v>
      </c>
      <c r="S137" s="612">
        <f t="shared" si="63"/>
        <v>1267.42</v>
      </c>
      <c r="T137" s="612">
        <f t="shared" si="63"/>
        <v>1486.55</v>
      </c>
      <c r="U137" s="612">
        <f t="shared" si="63"/>
        <v>1356.5</v>
      </c>
      <c r="V137" s="612">
        <f t="shared" si="63"/>
        <v>878.91</v>
      </c>
      <c r="W137" s="612">
        <f t="shared" si="63"/>
        <v>789.1</v>
      </c>
      <c r="X137" s="612">
        <f t="shared" si="63"/>
        <v>774.5</v>
      </c>
      <c r="Y137" s="612">
        <f t="shared" si="63"/>
        <v>647.94000000000005</v>
      </c>
      <c r="Z137" s="612">
        <f t="shared" si="63"/>
        <v>1012.6</v>
      </c>
      <c r="AA137" s="612">
        <f t="shared" si="63"/>
        <v>759.38000000000011</v>
      </c>
      <c r="AB137" s="612">
        <f t="shared" si="63"/>
        <v>885.29</v>
      </c>
      <c r="AC137" s="612">
        <f t="shared" si="63"/>
        <v>710.26100000000008</v>
      </c>
      <c r="AD137" s="612">
        <f t="shared" si="63"/>
        <v>709.11</v>
      </c>
      <c r="AE137" s="961">
        <f t="shared" si="63"/>
        <v>1904.2019999999998</v>
      </c>
      <c r="AF137" s="29"/>
      <c r="AG137" s="663"/>
    </row>
    <row r="138" spans="1:33" ht="18.75" x14ac:dyDescent="0.3">
      <c r="A138" s="15" t="s">
        <v>33</v>
      </c>
      <c r="B138" s="612">
        <f t="shared" si="61"/>
        <v>19758.900000000001</v>
      </c>
      <c r="C138" s="612">
        <f t="shared" si="61"/>
        <v>10389.77</v>
      </c>
      <c r="D138" s="612">
        <f t="shared" si="61"/>
        <v>11552.2</v>
      </c>
      <c r="E138" s="612">
        <f t="shared" si="61"/>
        <v>18130.3</v>
      </c>
      <c r="F138" s="32">
        <f>E138/B138*100</f>
        <v>91.757638330068971</v>
      </c>
      <c r="G138" s="47">
        <f>E138/C138*100</f>
        <v>174.50145672137108</v>
      </c>
      <c r="H138" s="612">
        <f>H133</f>
        <v>1888.26</v>
      </c>
      <c r="I138" s="612">
        <f t="shared" ref="I138:AE138" si="64">I133</f>
        <v>1391.27</v>
      </c>
      <c r="J138" s="612">
        <f t="shared" si="64"/>
        <v>1586.1999999999998</v>
      </c>
      <c r="K138" s="612">
        <f t="shared" si="64"/>
        <v>1647.27</v>
      </c>
      <c r="L138" s="612">
        <f t="shared" si="64"/>
        <v>1271.78</v>
      </c>
      <c r="M138" s="612">
        <f t="shared" si="64"/>
        <v>1053.03</v>
      </c>
      <c r="N138" s="612">
        <f t="shared" si="64"/>
        <v>1635.37</v>
      </c>
      <c r="O138" s="612">
        <f t="shared" si="64"/>
        <v>1207.52</v>
      </c>
      <c r="P138" s="612">
        <f t="shared" si="64"/>
        <v>1704.9</v>
      </c>
      <c r="Q138" s="612">
        <f t="shared" si="64"/>
        <v>2135.48</v>
      </c>
      <c r="R138" s="612">
        <f t="shared" si="64"/>
        <v>1437.72</v>
      </c>
      <c r="S138" s="612">
        <f t="shared" si="64"/>
        <v>1394.3899999999999</v>
      </c>
      <c r="T138" s="612">
        <f t="shared" si="64"/>
        <v>1629.62</v>
      </c>
      <c r="U138" s="612">
        <f t="shared" si="64"/>
        <v>1283.48</v>
      </c>
      <c r="V138" s="612">
        <f t="shared" si="64"/>
        <v>1355.54</v>
      </c>
      <c r="W138" s="612">
        <f t="shared" si="64"/>
        <v>1208.8</v>
      </c>
      <c r="X138" s="612">
        <f t="shared" si="64"/>
        <v>1794.2</v>
      </c>
      <c r="Y138" s="612">
        <f t="shared" si="64"/>
        <v>2122.81</v>
      </c>
      <c r="Z138" s="612">
        <f t="shared" si="64"/>
        <v>2352.7600000000002</v>
      </c>
      <c r="AA138" s="612">
        <f t="shared" si="64"/>
        <v>1621.75</v>
      </c>
      <c r="AB138" s="612">
        <f t="shared" si="64"/>
        <v>1261.92</v>
      </c>
      <c r="AC138" s="612">
        <f>AC133</f>
        <v>1345.4459999999999</v>
      </c>
      <c r="AD138" s="612">
        <f t="shared" si="64"/>
        <v>1706.9</v>
      </c>
      <c r="AE138" s="961">
        <f t="shared" si="64"/>
        <v>1719.0540000000001</v>
      </c>
      <c r="AF138" s="29"/>
      <c r="AG138" s="663"/>
    </row>
    <row r="139" spans="1:33" ht="37.5" x14ac:dyDescent="0.3">
      <c r="A139" s="73" t="s">
        <v>130</v>
      </c>
      <c r="B139" s="41">
        <f t="shared" si="61"/>
        <v>65.319999999999993</v>
      </c>
      <c r="C139" s="41">
        <f t="shared" si="61"/>
        <v>32.659999999999997</v>
      </c>
      <c r="D139" s="41">
        <f t="shared" si="61"/>
        <v>16.329999999999998</v>
      </c>
      <c r="E139" s="41">
        <f t="shared" si="61"/>
        <v>16.329999999999998</v>
      </c>
      <c r="F139" s="32">
        <f>E139/B139*100</f>
        <v>25</v>
      </c>
      <c r="G139" s="47">
        <f>E139/C139*100</f>
        <v>50</v>
      </c>
      <c r="H139" s="41">
        <f>H134</f>
        <v>0</v>
      </c>
      <c r="I139" s="41">
        <f t="shared" ref="I139:AE139" si="65">I134</f>
        <v>0</v>
      </c>
      <c r="J139" s="41">
        <f t="shared" si="65"/>
        <v>0</v>
      </c>
      <c r="K139" s="41">
        <f t="shared" si="65"/>
        <v>0</v>
      </c>
      <c r="L139" s="41">
        <f t="shared" si="65"/>
        <v>0</v>
      </c>
      <c r="M139" s="41">
        <f t="shared" si="65"/>
        <v>0</v>
      </c>
      <c r="N139" s="41">
        <f t="shared" si="65"/>
        <v>16.329999999999998</v>
      </c>
      <c r="O139" s="41">
        <f t="shared" si="65"/>
        <v>16.329999999999998</v>
      </c>
      <c r="P139" s="41">
        <f t="shared" si="65"/>
        <v>0</v>
      </c>
      <c r="Q139" s="41">
        <f t="shared" si="65"/>
        <v>0</v>
      </c>
      <c r="R139" s="41">
        <f t="shared" si="65"/>
        <v>0</v>
      </c>
      <c r="S139" s="41">
        <f t="shared" si="65"/>
        <v>0</v>
      </c>
      <c r="T139" s="41">
        <f t="shared" si="65"/>
        <v>16.329999999999998</v>
      </c>
      <c r="U139" s="41">
        <f t="shared" si="65"/>
        <v>0</v>
      </c>
      <c r="V139" s="41">
        <f t="shared" si="65"/>
        <v>0</v>
      </c>
      <c r="W139" s="41">
        <f t="shared" si="65"/>
        <v>0</v>
      </c>
      <c r="X139" s="41">
        <f t="shared" si="65"/>
        <v>0</v>
      </c>
      <c r="Y139" s="41">
        <f t="shared" si="65"/>
        <v>0</v>
      </c>
      <c r="Z139" s="41">
        <f t="shared" si="65"/>
        <v>16.329999999999998</v>
      </c>
      <c r="AA139" s="41">
        <f t="shared" si="65"/>
        <v>0</v>
      </c>
      <c r="AB139" s="41">
        <f t="shared" si="65"/>
        <v>0</v>
      </c>
      <c r="AC139" s="612">
        <f t="shared" si="65"/>
        <v>0</v>
      </c>
      <c r="AD139" s="41">
        <f t="shared" si="65"/>
        <v>16.329999999999998</v>
      </c>
      <c r="AE139" s="961">
        <f t="shared" si="65"/>
        <v>0</v>
      </c>
      <c r="AF139" s="29"/>
      <c r="AG139" s="663"/>
    </row>
    <row r="140" spans="1:33" ht="19.5" x14ac:dyDescent="0.3">
      <c r="B140" s="689"/>
      <c r="C140" s="690"/>
      <c r="D140" s="690"/>
      <c r="E140" s="690"/>
    </row>
    <row r="141" spans="1:33" x14ac:dyDescent="0.25">
      <c r="B141" s="69"/>
      <c r="C141" s="69"/>
    </row>
    <row r="142" spans="1:33" x14ac:dyDescent="0.25">
      <c r="B142" s="69"/>
    </row>
    <row r="143" spans="1:33" ht="37.5" x14ac:dyDescent="0.3">
      <c r="A143" s="701" t="s">
        <v>71</v>
      </c>
      <c r="B143" s="702"/>
      <c r="C143" s="702"/>
      <c r="D143" s="703" t="s">
        <v>509</v>
      </c>
      <c r="E143" s="700"/>
    </row>
    <row r="144" spans="1:33" ht="18.75" x14ac:dyDescent="0.3">
      <c r="A144" s="701"/>
      <c r="B144" s="704" t="s">
        <v>68</v>
      </c>
      <c r="C144" s="704"/>
      <c r="D144" s="705"/>
    </row>
    <row r="145" spans="1:4" ht="56.25" x14ac:dyDescent="0.3">
      <c r="A145" s="706" t="s">
        <v>510</v>
      </c>
      <c r="B145" s="706"/>
      <c r="C145" s="706"/>
      <c r="D145" s="701"/>
    </row>
    <row r="146" spans="1:4" x14ac:dyDescent="0.25">
      <c r="A146" s="707"/>
      <c r="B146" s="708"/>
      <c r="C146" s="708"/>
      <c r="D146" s="708"/>
    </row>
  </sheetData>
  <customSheetViews>
    <customSheetView guid="{7C130984-112A-4861-AA43-E2940708E3DC}" scale="55" state="hidden">
      <pane xSplit="5" ySplit="6" topLeftCell="U98" activePane="bottomRight" state="frozen"/>
      <selection pane="bottomRight" activeCell="T88" sqref="T88"/>
      <pageMargins left="0.70866141732283472" right="0.70866141732283472" top="0.74803149606299213" bottom="0.74803149606299213" header="0.31496062992125984" footer="0.31496062992125984"/>
      <pageSetup paperSize="9" scale="55" orientation="landscape" r:id="rId1"/>
    </customSheetView>
    <customSheetView guid="{533DC55B-6AD4-4674-9488-685EF2039F3E}" scale="55" state="hidden">
      <pane xSplit="5" ySplit="6" topLeftCell="U98" activePane="bottomRight" state="frozen"/>
      <selection pane="bottomRight" activeCell="T88" sqref="T88"/>
      <pageMargins left="0.70866141732283472" right="0.70866141732283472" top="0.74803149606299213" bottom="0.74803149606299213" header="0.31496062992125984" footer="0.31496062992125984"/>
      <pageSetup paperSize="9" scale="55" orientation="landscape" r:id="rId2"/>
    </customSheetView>
    <customSheetView guid="{09C3E205-981E-4A4E-BE89-8B7044192060}" scale="55">
      <pane xSplit="5" ySplit="6" topLeftCell="U98" activePane="bottomRight" state="frozen"/>
      <selection pane="bottomRight" activeCell="T88" sqref="T88"/>
      <pageMargins left="0.70866141732283472" right="0.70866141732283472" top="0.74803149606299213" bottom="0.74803149606299213" header="0.31496062992125984" footer="0.31496062992125984"/>
      <pageSetup paperSize="9" scale="55" orientation="landscape" r:id="rId3"/>
    </customSheetView>
    <customSheetView guid="{B1BF08D1-D416-4B47-ADD0-4F59132DC9E8}" scale="55">
      <pane xSplit="5" ySplit="6" topLeftCell="U98" activePane="bottomRight" state="frozen"/>
      <selection pane="bottomRight" activeCell="T88" sqref="T88"/>
      <pageMargins left="0.70866141732283472" right="0.70866141732283472" top="0.74803149606299213" bottom="0.74803149606299213" header="0.31496062992125984" footer="0.31496062992125984"/>
      <pageSetup paperSize="9" scale="55" orientation="landscape" r:id="rId4"/>
    </customSheetView>
    <customSheetView guid="{4F41B9CC-959D-442C-80B0-1F0DB2C76D27}" scale="55">
      <pane xSplit="5" ySplit="6" topLeftCell="U98" activePane="bottomRight" state="frozen"/>
      <selection pane="bottomRight" activeCell="T88" sqref="T88"/>
      <pageMargins left="0.70866141732283472" right="0.70866141732283472" top="0.74803149606299213" bottom="0.74803149606299213" header="0.31496062992125984" footer="0.31496062992125984"/>
      <pageSetup paperSize="9" scale="55" orientation="landscape" r:id="rId5"/>
    </customSheetView>
    <customSheetView guid="{84867370-1F3E-4368-AF79-FBCE46FFFE92}" scale="55">
      <pane xSplit="5" ySplit="6" topLeftCell="F7" activePane="bottomRight" state="frozen"/>
      <selection pane="bottomRight" activeCell="B58" sqref="B58"/>
      <pageMargins left="0.70866141732283472" right="0.70866141732283472" top="0.74803149606299213" bottom="0.74803149606299213" header="0.31496062992125984" footer="0.31496062992125984"/>
      <pageSetup paperSize="9" scale="55" orientation="landscape" r:id="rId6"/>
    </customSheetView>
    <customSheetView guid="{E508E171-4ED9-4B07-84DF-DA28C60E1969}" scale="55">
      <pane xSplit="5" ySplit="6" topLeftCell="F7" activePane="bottomRight" state="frozen"/>
      <selection pane="bottomRight" activeCell="B58" sqref="B58"/>
      <pageMargins left="0.70866141732283472" right="0.70866141732283472" top="0.74803149606299213" bottom="0.74803149606299213" header="0.31496062992125984" footer="0.31496062992125984"/>
      <pageSetup paperSize="9" scale="55" orientation="landscape" r:id="rId7"/>
    </customSheetView>
    <customSheetView guid="{602C8EDB-B9EF-4C85-B0D5-0558C3A0ABAB}" scale="55">
      <pane xSplit="5" ySplit="6" topLeftCell="F7" activePane="bottomRight" state="frozen"/>
      <selection pane="bottomRight" activeCell="B58" sqref="B58"/>
      <pageMargins left="0.70866141732283472" right="0.70866141732283472" top="0.74803149606299213" bottom="0.74803149606299213" header="0.31496062992125984" footer="0.31496062992125984"/>
      <pageSetup paperSize="9" scale="55" orientation="landscape" r:id="rId8"/>
    </customSheetView>
    <customSheetView guid="{84B3377A-1CDD-4881-99FA-112F8B470D6F}" scale="55">
      <pane xSplit="5" ySplit="6" topLeftCell="F7" activePane="bottomRight" state="frozen"/>
      <selection pane="bottomRight" activeCell="B58" sqref="B58"/>
      <pageMargins left="0.70866141732283472" right="0.70866141732283472" top="0.74803149606299213" bottom="0.74803149606299213" header="0.31496062992125984" footer="0.31496062992125984"/>
      <pageSetup paperSize="9" scale="55" orientation="landscape" r:id="rId9"/>
    </customSheetView>
    <customSheetView guid="{87218168-6C8E-4D5B-A5E5-DCCC26803AA3}" scale="55">
      <pane xSplit="5" ySplit="6" topLeftCell="F7" activePane="bottomRight" state="frozen"/>
      <selection pane="bottomRight" activeCell="B58" sqref="B58"/>
      <pageMargins left="0.70866141732283472" right="0.70866141732283472" top="0.74803149606299213" bottom="0.74803149606299213" header="0.31496062992125984" footer="0.31496062992125984"/>
      <pageSetup paperSize="9" scale="55" orientation="landscape" r:id="rId10"/>
    </customSheetView>
    <customSheetView guid="{6A602CB8-B24C-4ED4-B378-B27354BE0A1A}" scale="55">
      <pane xSplit="5" ySplit="6" topLeftCell="F127" activePane="bottomRight" state="frozen"/>
      <selection pane="bottomRight" activeCell="D14" sqref="D14"/>
      <pageMargins left="0.70866141732283472" right="0.70866141732283472" top="0.74803149606299213" bottom="0.74803149606299213" header="0.31496062992125984" footer="0.31496062992125984"/>
      <pageSetup paperSize="9" scale="55" orientation="landscape" r:id="rId11"/>
    </customSheetView>
    <customSheetView guid="{D01FA037-9AEC-4167-ADB8-2F327C01ECE6}" scale="55">
      <pane xSplit="5" ySplit="6" topLeftCell="P7" activePane="bottomRight" state="frozen"/>
      <selection pane="bottomRight" activeCell="AF14" sqref="AF14"/>
      <pageMargins left="0.70866141732283472" right="0.70866141732283472" top="0.74803149606299213" bottom="0.74803149606299213" header="0.31496062992125984" footer="0.31496062992125984"/>
      <pageSetup paperSize="9" scale="55" orientation="landscape" r:id="rId12"/>
    </customSheetView>
    <customSheetView guid="{74870EE6-26B9-40F7-9DC9-260EF16D8959}" scale="55">
      <pane xSplit="5" ySplit="6" topLeftCell="F7" activePane="bottomRight" state="frozen"/>
      <selection pane="bottomRight" activeCell="B12" sqref="B12"/>
      <pageMargins left="0.70866141732283472" right="0.70866141732283472" top="0.74803149606299213" bottom="0.74803149606299213" header="0.31496062992125984" footer="0.31496062992125984"/>
      <pageSetup paperSize="9" scale="55" orientation="landscape" r:id="rId13"/>
    </customSheetView>
    <customSheetView guid="{7226EA2B-7866-416F-9240-410CC1BF0336}" scale="55">
      <pane xSplit="5" ySplit="6" topLeftCell="F10" activePane="bottomRight" state="frozen"/>
      <selection pane="bottomRight" activeCell="D19" sqref="D19"/>
      <pageMargins left="0.70866141732283472" right="0.70866141732283472" top="0.74803149606299213" bottom="0.74803149606299213" header="0.31496062992125984" footer="0.31496062992125984"/>
      <pageSetup paperSize="9" scale="55" orientation="landscape" r:id="rId14"/>
    </customSheetView>
    <customSheetView guid="{F8CAB90F-9980-4EC7-B30B-1637EB515304}" scale="55">
      <pane xSplit="5" ySplit="6" topLeftCell="F7" activePane="bottomRight" state="frozen"/>
      <selection pane="bottomRight" activeCell="X17" sqref="X17"/>
      <pageMargins left="0.70866141732283472" right="0.70866141732283472" top="0.74803149606299213" bottom="0.74803149606299213" header="0.31496062992125984" footer="0.31496062992125984"/>
      <pageSetup paperSize="9" scale="55" orientation="landscape" r:id="rId15"/>
    </customSheetView>
    <customSheetView guid="{415078CD-EB99-432D-90BA-2F3D5A746E20}" scale="55">
      <pane xSplit="5" ySplit="6" topLeftCell="F115" activePane="bottomRight" state="frozen"/>
      <selection pane="bottomRight" activeCell="W121" sqref="W121"/>
      <pageMargins left="0.70866141732283472" right="0.70866141732283472" top="0.74803149606299213" bottom="0.74803149606299213" header="0.31496062992125984" footer="0.31496062992125984"/>
      <pageSetup paperSize="9" scale="55" orientation="landscape" r:id="rId16"/>
    </customSheetView>
    <customSheetView guid="{CB4792DB-A624-4844-AEB6-A6ADA80946BB}" scale="55">
      <pane xSplit="5" ySplit="6" topLeftCell="AD7" activePane="bottomRight" state="frozen"/>
      <selection pane="bottomRight" activeCell="AF19" sqref="AF19"/>
      <pageMargins left="0.70866141732283472" right="0.70866141732283472" top="0.74803149606299213" bottom="0.74803149606299213" header="0.31496062992125984" footer="0.31496062992125984"/>
      <pageSetup paperSize="9" scale="55" orientation="landscape" r:id="rId17"/>
    </customSheetView>
    <customSheetView guid="{0C2B9C2A-7B94-41EF-A2E6-F8AC9A67DE25}" scale="55">
      <pane xSplit="5" ySplit="6" topLeftCell="AD7" activePane="bottomRight" state="frozen"/>
      <selection pane="bottomRight" activeCell="AF19" sqref="AF19"/>
      <pageMargins left="0.70866141732283472" right="0.70866141732283472" top="0.74803149606299213" bottom="0.74803149606299213" header="0.31496062992125984" footer="0.31496062992125984"/>
      <pageSetup paperSize="9" scale="55" orientation="landscape" r:id="rId18"/>
    </customSheetView>
    <customSheetView guid="{391AB76E-B386-49C1-800F-016A48AA1A46}" scale="55">
      <pane xSplit="5" ySplit="6" topLeftCell="F7" activePane="bottomRight" state="frozen"/>
      <selection pane="bottomRight" activeCell="N7" sqref="N7"/>
      <pageMargins left="0.70866141732283472" right="0.70866141732283472" top="0.74803149606299213" bottom="0.74803149606299213" header="0.31496062992125984" footer="0.31496062992125984"/>
      <pageSetup paperSize="9" scale="55" orientation="landscape" r:id="rId19"/>
    </customSheetView>
    <customSheetView guid="{959E901C-5DDE-42EE-AE94-AB8976B5E00B}" scale="60">
      <pane xSplit="1" ySplit="6" topLeftCell="B7" activePane="bottomRight" state="frozen"/>
      <selection pane="bottomRight" activeCell="E144" sqref="E144"/>
      <pageMargins left="0.70866141732283472" right="0.70866141732283472" top="0.74803149606299213" bottom="0.74803149606299213" header="0.31496062992125984" footer="0.31496062992125984"/>
      <pageSetup paperSize="9" scale="55" orientation="landscape" r:id="rId20"/>
    </customSheetView>
    <customSheetView guid="{F679EF4A-C5FD-4B86-B87B-D85968E0F2CA}" scale="60">
      <pane xSplit="1" ySplit="6" topLeftCell="B7" activePane="bottomRight" state="frozen"/>
      <selection pane="bottomRight" activeCell="E144" sqref="E144"/>
      <pageMargins left="0.70866141732283472" right="0.70866141732283472" top="0.74803149606299213" bottom="0.74803149606299213" header="0.31496062992125984" footer="0.31496062992125984"/>
      <pageSetup paperSize="9" scale="55" orientation="landscape" r:id="rId21"/>
    </customSheetView>
    <customSheetView guid="{009B3074-D8EC-4952-BF50-43CD64449612}" scale="60">
      <pane xSplit="1" ySplit="6" topLeftCell="B7" activePane="bottomRight" state="frozen"/>
      <selection pane="bottomRight" activeCell="M17" sqref="M17"/>
      <pageMargins left="0.7" right="0.7" top="0.75" bottom="0.75" header="0.3" footer="0.3"/>
      <pageSetup paperSize="9" orientation="portrait" r:id="rId22"/>
    </customSheetView>
    <customSheetView guid="{770624BF-07F3-44B6-94C3-4CC447CDD45C}" scale="60">
      <pane xSplit="1" ySplit="6" topLeftCell="B7" activePane="bottomRight" state="frozen"/>
      <selection pane="bottomRight" activeCell="G10" sqref="G10"/>
      <pageMargins left="0.7" right="0.7" top="0.75" bottom="0.75" header="0.3" footer="0.3"/>
      <pageSetup paperSize="9" orientation="portrait" r:id="rId23"/>
    </customSheetView>
    <customSheetView guid="{B82BA08A-1A30-4F4D-A478-74A6BD09EA97}" scale="60">
      <pane xSplit="1" ySplit="6" topLeftCell="B7" activePane="bottomRight" state="frozen"/>
      <selection pane="bottomRight" activeCell="G10" sqref="G10"/>
      <pageMargins left="0.7" right="0.7" top="0.75" bottom="0.75" header="0.3" footer="0.3"/>
      <pageSetup paperSize="9" orientation="portrait" r:id="rId24"/>
    </customSheetView>
    <customSheetView guid="{874882D1-E741-4CCA-BF0D-E72FA60B771D}" scale="60">
      <pane xSplit="1" ySplit="6" topLeftCell="B35" activePane="bottomRight" state="frozen"/>
      <selection pane="bottomRight" activeCell="G39" sqref="G39"/>
      <pageMargins left="0.7" right="0.7" top="0.75" bottom="0.75" header="0.3" footer="0.3"/>
      <pageSetup paperSize="9" orientation="portrait" r:id="rId25"/>
    </customSheetView>
    <customSheetView guid="{C236B307-BD63-48C4-A75F-B3F3717BF55C}" scale="60">
      <pane xSplit="1" ySplit="6" topLeftCell="B35" activePane="bottomRight" state="frozen"/>
      <selection pane="bottomRight" activeCell="G39" sqref="G39"/>
      <pageMargins left="0.7" right="0.7" top="0.75" bottom="0.75" header="0.3" footer="0.3"/>
      <pageSetup paperSize="9" orientation="portrait" r:id="rId26"/>
    </customSheetView>
    <customSheetView guid="{BCD82A82-B724-4763-8580-D765356E09BA}" scale="60">
      <pane xSplit="1" ySplit="6" topLeftCell="B7" activePane="bottomRight" state="frozen"/>
      <selection pane="bottomRight" activeCell="A2" sqref="A2:AE2"/>
      <pageMargins left="0.7" right="0.7" top="0.75" bottom="0.75" header="0.3" footer="0.3"/>
      <pageSetup paperSize="9" orientation="portrait" r:id="rId27"/>
    </customSheetView>
    <customSheetView guid="{85F4575B-DBC5-482A-9916-255D8F0BC94E}" scale="60">
      <pane xSplit="1" ySplit="6" topLeftCell="X103" activePane="bottomRight" state="frozen"/>
      <selection pane="bottomRight" activeCell="AF115" sqref="AF115"/>
      <pageMargins left="0.70866141732283472" right="0.70866141732283472" top="0.74803149606299213" bottom="0.74803149606299213" header="0.31496062992125984" footer="0.31496062992125984"/>
      <pageSetup paperSize="9" scale="55" orientation="landscape" r:id="rId28"/>
    </customSheetView>
    <customSheetView guid="{4D0DFB57-2CBA-42F2-9A97-C453A6851FBA}" scale="55">
      <pane xSplit="5" ySplit="6" topLeftCell="F7" activePane="bottomRight" state="frozen"/>
      <selection pane="bottomRight" activeCell="G21" sqref="G21"/>
      <pageMargins left="0.70866141732283472" right="0.70866141732283472" top="0.74803149606299213" bottom="0.74803149606299213" header="0.31496062992125984" footer="0.31496062992125984"/>
      <pageSetup paperSize="9" scale="55" orientation="landscape" r:id="rId29"/>
    </customSheetView>
    <customSheetView guid="{CE1CCA00-200D-4EAA-9FBE-F8EE7C5F82FE}" scale="55">
      <pane xSplit="5" ySplit="6" topLeftCell="K112" activePane="bottomRight" state="frozen"/>
      <selection pane="bottomRight" activeCell="AF145" sqref="AF145"/>
      <pageMargins left="0.70866141732283472" right="0.70866141732283472" top="0.74803149606299213" bottom="0.74803149606299213" header="0.31496062992125984" footer="0.31496062992125984"/>
      <pageSetup paperSize="9" scale="55" orientation="landscape" r:id="rId30"/>
    </customSheetView>
    <customSheetView guid="{AC2D5927-4079-4C74-AF69-1BFAC505648F}" scale="55">
      <pane xSplit="5" ySplit="6" topLeftCell="F7" activePane="bottomRight" state="frozen"/>
      <selection pane="bottomRight" activeCell="N7" sqref="N7"/>
      <pageMargins left="0.70866141732283472" right="0.70866141732283472" top="0.74803149606299213" bottom="0.74803149606299213" header="0.31496062992125984" footer="0.31496062992125984"/>
      <pageSetup paperSize="9" scale="55" orientation="landscape" r:id="rId31"/>
    </customSheetView>
    <customSheetView guid="{3C3F523F-5F34-4CF7-831E-F1ABC4278CEB}" scale="55">
      <pane xSplit="5" ySplit="6" topLeftCell="F118" activePane="bottomRight" state="frozen"/>
      <selection pane="bottomRight" activeCell="U122" sqref="U122"/>
      <pageMargins left="0.70866141732283472" right="0.70866141732283472" top="0.74803149606299213" bottom="0.74803149606299213" header="0.31496062992125984" footer="0.31496062992125984"/>
      <pageSetup paperSize="9" scale="55" orientation="landscape" r:id="rId32"/>
    </customSheetView>
    <customSheetView guid="{69DABE6F-6182-4403-A4A2-969F10F1C13A}" scale="55">
      <pane xSplit="5" ySplit="6" topLeftCell="F49" activePane="bottomRight" state="frozen"/>
      <selection pane="bottomRight" activeCell="C64" sqref="C64"/>
      <pageMargins left="0.70866141732283472" right="0.70866141732283472" top="0.74803149606299213" bottom="0.74803149606299213" header="0.31496062992125984" footer="0.31496062992125984"/>
      <pageSetup paperSize="9" scale="55" orientation="landscape" r:id="rId33"/>
    </customSheetView>
    <customSheetView guid="{DAA8A688-7558-4B5B-8DBD-E2629BD9E9A8}" scale="55">
      <pane xSplit="5" ySplit="6" topLeftCell="F7" activePane="bottomRight" state="frozen"/>
      <selection pane="bottomRight" activeCell="B58" sqref="B58"/>
      <pageMargins left="0.70866141732283472" right="0.70866141732283472" top="0.74803149606299213" bottom="0.74803149606299213" header="0.31496062992125984" footer="0.31496062992125984"/>
      <pageSetup paperSize="9" scale="55" orientation="landscape" r:id="rId34"/>
    </customSheetView>
    <customSheetView guid="{47B983AB-FE5F-4725-860C-A2F29420596D}" scale="55">
      <pane xSplit="5" ySplit="6" topLeftCell="F7" activePane="bottomRight" state="frozen"/>
      <selection pane="bottomRight" activeCell="B58" sqref="B58"/>
      <pageMargins left="0.70866141732283472" right="0.70866141732283472" top="0.74803149606299213" bottom="0.74803149606299213" header="0.31496062992125984" footer="0.31496062992125984"/>
      <pageSetup paperSize="9" scale="55" orientation="landscape" r:id="rId35"/>
    </customSheetView>
    <customSheetView guid="{442F2C94-DD1B-4A01-8694-513D4D6F3BD9}" scale="55">
      <pane xSplit="5" ySplit="6" topLeftCell="F7" activePane="bottomRight" state="frozen"/>
      <selection pane="bottomRight" activeCell="B58" sqref="B58"/>
      <pageMargins left="0.70866141732283472" right="0.70866141732283472" top="0.74803149606299213" bottom="0.74803149606299213" header="0.31496062992125984" footer="0.31496062992125984"/>
      <pageSetup paperSize="9" scale="55" orientation="landscape" r:id="rId36"/>
    </customSheetView>
    <customSheetView guid="{472DFAFE-DC7C-463D-92A0-F6A14555FDD6}" scale="55">
      <pane xSplit="5" ySplit="6" topLeftCell="T86" activePane="bottomRight" state="frozen"/>
      <selection pane="bottomRight" activeCell="AE91" sqref="AE91"/>
      <pageMargins left="0.70866141732283472" right="0.70866141732283472" top="0.74803149606299213" bottom="0.74803149606299213" header="0.31496062992125984" footer="0.31496062992125984"/>
      <pageSetup paperSize="9" scale="55" orientation="landscape" r:id="rId37"/>
    </customSheetView>
    <customSheetView guid="{B43381A8-767B-4F49-BD2E-0056691293F3}" scale="55">
      <pane xSplit="5" ySplit="6" topLeftCell="U98" activePane="bottomRight" state="frozen"/>
      <selection pane="bottomRight" activeCell="T88" sqref="T88"/>
      <pageMargins left="0.70866141732283472" right="0.70866141732283472" top="0.74803149606299213" bottom="0.74803149606299213" header="0.31496062992125984" footer="0.31496062992125984"/>
      <pageSetup paperSize="9" scale="55" orientation="landscape" r:id="rId38"/>
    </customSheetView>
  </customSheetViews>
  <mergeCells count="21">
    <mergeCell ref="X3:Y4"/>
    <mergeCell ref="Z3:AA4"/>
    <mergeCell ref="AB3:AC4"/>
    <mergeCell ref="AD3:AE4"/>
    <mergeCell ref="AF3:AF5"/>
    <mergeCell ref="V3:W4"/>
    <mergeCell ref="A1:AF1"/>
    <mergeCell ref="A2:AE2"/>
    <mergeCell ref="A3:A4"/>
    <mergeCell ref="B3:B4"/>
    <mergeCell ref="C3:C4"/>
    <mergeCell ref="D3:D4"/>
    <mergeCell ref="E3:E4"/>
    <mergeCell ref="F3:G4"/>
    <mergeCell ref="H3:I4"/>
    <mergeCell ref="J3:K4"/>
    <mergeCell ref="L3:M4"/>
    <mergeCell ref="N3:O4"/>
    <mergeCell ref="P3:Q4"/>
    <mergeCell ref="R3:S4"/>
    <mergeCell ref="T3:U4"/>
  </mergeCells>
  <hyperlinks>
    <hyperlink ref="A2:AE2" location="Оглавление!A1" display="&quot;Профилактика правонарушений и обеспечение отдельных прав граждан в городе Когалыме&quot;"/>
  </hyperlinks>
  <pageMargins left="0.70866141732283472" right="0.70866141732283472" top="0.74803149606299213" bottom="0.74803149606299213" header="0.31496062992125984" footer="0.31496062992125984"/>
  <pageSetup paperSize="9" scale="55" orientation="landscape" r:id="rId39"/>
  <legacyDrawing r:id="rId4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8"/>
  <sheetViews>
    <sheetView zoomScale="50" zoomScaleNormal="50" workbookViewId="0">
      <pane xSplit="1" ySplit="6" topLeftCell="B98" activePane="bottomRight" state="frozen"/>
      <selection pane="topRight" activeCell="B1" sqref="B1"/>
      <selection pane="bottomLeft" activeCell="A7" sqref="A7"/>
      <selection pane="bottomRight" activeCell="A119" sqref="A119"/>
    </sheetView>
  </sheetViews>
  <sheetFormatPr defaultRowHeight="15" x14ac:dyDescent="0.25"/>
  <cols>
    <col min="1" max="1" width="46.140625" style="87" customWidth="1"/>
    <col min="2" max="2" width="18.85546875" style="61" bestFit="1" customWidth="1"/>
    <col min="3" max="3" width="15.5703125" style="61" bestFit="1" customWidth="1"/>
    <col min="4" max="4" width="24.42578125" customWidth="1"/>
    <col min="5" max="5" width="15.5703125" bestFit="1" customWidth="1"/>
    <col min="6" max="6" width="16.7109375" bestFit="1" customWidth="1"/>
    <col min="7" max="7" width="18.5703125" customWidth="1"/>
    <col min="8" max="8" width="15.7109375" style="996" bestFit="1" customWidth="1"/>
    <col min="9" max="9" width="13.7109375" style="996" bestFit="1" customWidth="1"/>
    <col min="10" max="10" width="17.42578125" style="996" bestFit="1" customWidth="1"/>
    <col min="11" max="11" width="13.7109375" style="996" bestFit="1" customWidth="1"/>
    <col min="12" max="12" width="15.7109375" style="996" bestFit="1" customWidth="1"/>
    <col min="13" max="13" width="13.7109375" style="996" bestFit="1" customWidth="1"/>
    <col min="14" max="14" width="17.42578125" style="996" bestFit="1" customWidth="1"/>
    <col min="15" max="15" width="13.7109375" style="996" bestFit="1" customWidth="1"/>
    <col min="16" max="16" width="17.42578125" style="996" bestFit="1" customWidth="1"/>
    <col min="17" max="17" width="21.7109375" style="996" customWidth="1"/>
    <col min="18" max="18" width="17.42578125" style="996" bestFit="1" customWidth="1"/>
    <col min="19" max="19" width="13.7109375" style="996" bestFit="1" customWidth="1"/>
    <col min="20" max="20" width="17.42578125" style="996" bestFit="1" customWidth="1"/>
    <col min="21" max="21" width="13.7109375" style="996" bestFit="1" customWidth="1"/>
    <col min="22" max="22" width="17.42578125" style="996" bestFit="1" customWidth="1"/>
    <col min="23" max="23" width="13.7109375" style="996" bestFit="1" customWidth="1"/>
    <col min="24" max="24" width="15.7109375" style="996" bestFit="1" customWidth="1"/>
    <col min="25" max="25" width="13.7109375" style="996" bestFit="1" customWidth="1"/>
    <col min="26" max="26" width="17.42578125" style="996" bestFit="1" customWidth="1"/>
    <col min="27" max="27" width="13.7109375" style="996" bestFit="1" customWidth="1"/>
    <col min="28" max="28" width="15.7109375" style="996" bestFit="1" customWidth="1"/>
    <col min="29" max="29" width="13.7109375" style="996" bestFit="1" customWidth="1"/>
    <col min="30" max="30" width="17.140625" style="996" bestFit="1" customWidth="1"/>
    <col min="31" max="31" width="13.7109375" style="996" bestFit="1" customWidth="1"/>
    <col min="32" max="32" width="32.140625" style="616" customWidth="1"/>
    <col min="33" max="33" width="9.140625" style="616"/>
  </cols>
  <sheetData>
    <row r="1" spans="1:32" ht="18.75" x14ac:dyDescent="0.25">
      <c r="A1" s="1137" t="s">
        <v>0</v>
      </c>
      <c r="B1" s="1137"/>
      <c r="C1" s="1137"/>
      <c r="D1" s="1137"/>
      <c r="E1" s="1137"/>
      <c r="F1" s="1137"/>
      <c r="G1" s="1137"/>
      <c r="H1" s="1137"/>
      <c r="I1" s="1137"/>
      <c r="J1" s="1137"/>
      <c r="K1" s="1137"/>
      <c r="L1" s="1137"/>
      <c r="M1" s="1137"/>
      <c r="N1" s="1137"/>
      <c r="O1" s="1137"/>
      <c r="P1" s="1137"/>
      <c r="Q1" s="1137"/>
      <c r="R1" s="1137"/>
      <c r="S1" s="1137"/>
      <c r="T1" s="1137"/>
      <c r="U1" s="1137"/>
      <c r="V1" s="1137"/>
      <c r="W1" s="1137"/>
      <c r="X1" s="1137"/>
      <c r="Y1" s="1137"/>
      <c r="Z1" s="1137"/>
      <c r="AA1" s="1137"/>
      <c r="AB1" s="1137"/>
      <c r="AC1" s="1137"/>
      <c r="AD1" s="1137"/>
      <c r="AE1" s="1137"/>
      <c r="AF1" s="1137"/>
    </row>
    <row r="2" spans="1:32" ht="18.75" x14ac:dyDescent="0.25">
      <c r="A2" s="1138" t="s">
        <v>131</v>
      </c>
      <c r="B2" s="1138"/>
      <c r="C2" s="1138"/>
      <c r="D2" s="1138"/>
      <c r="E2" s="1138"/>
      <c r="F2" s="1138"/>
      <c r="G2" s="1138"/>
      <c r="H2" s="1138"/>
      <c r="I2" s="1138"/>
      <c r="J2" s="1138"/>
      <c r="K2" s="1138"/>
      <c r="L2" s="1138"/>
      <c r="M2" s="1138"/>
      <c r="N2" s="1138"/>
      <c r="O2" s="1138"/>
      <c r="P2" s="1138"/>
      <c r="Q2" s="1138"/>
      <c r="R2" s="1138"/>
      <c r="S2" s="1138"/>
      <c r="T2" s="1138"/>
      <c r="U2" s="1138"/>
      <c r="V2" s="1138"/>
      <c r="W2" s="1138"/>
      <c r="X2" s="1138"/>
      <c r="Y2" s="1138"/>
      <c r="Z2" s="1138"/>
      <c r="AA2" s="1138"/>
      <c r="AB2" s="1138"/>
      <c r="AC2" s="1138"/>
      <c r="AD2" s="1138"/>
      <c r="AE2" s="1138"/>
      <c r="AF2" s="1019" t="s">
        <v>1</v>
      </c>
    </row>
    <row r="3" spans="1:32" x14ac:dyDescent="0.25">
      <c r="A3" s="1153" t="s">
        <v>2</v>
      </c>
      <c r="B3" s="1141" t="s">
        <v>3</v>
      </c>
      <c r="C3" s="1141" t="s">
        <v>3</v>
      </c>
      <c r="D3" s="1141" t="s">
        <v>4</v>
      </c>
      <c r="E3" s="1143" t="s">
        <v>5</v>
      </c>
      <c r="F3" s="1133" t="s">
        <v>6</v>
      </c>
      <c r="G3" s="1134"/>
      <c r="H3" s="1146" t="s">
        <v>7</v>
      </c>
      <c r="I3" s="1147"/>
      <c r="J3" s="1146" t="s">
        <v>8</v>
      </c>
      <c r="K3" s="1147"/>
      <c r="L3" s="1146" t="s">
        <v>9</v>
      </c>
      <c r="M3" s="1147"/>
      <c r="N3" s="1146" t="s">
        <v>10</v>
      </c>
      <c r="O3" s="1147"/>
      <c r="P3" s="1146" t="s">
        <v>11</v>
      </c>
      <c r="Q3" s="1147"/>
      <c r="R3" s="1146" t="s">
        <v>12</v>
      </c>
      <c r="S3" s="1147"/>
      <c r="T3" s="1146" t="s">
        <v>13</v>
      </c>
      <c r="U3" s="1147"/>
      <c r="V3" s="1146" t="s">
        <v>14</v>
      </c>
      <c r="W3" s="1147"/>
      <c r="X3" s="1146" t="s">
        <v>15</v>
      </c>
      <c r="Y3" s="1147"/>
      <c r="Z3" s="1146" t="s">
        <v>16</v>
      </c>
      <c r="AA3" s="1147"/>
      <c r="AB3" s="1146" t="s">
        <v>17</v>
      </c>
      <c r="AC3" s="1147"/>
      <c r="AD3" s="1146" t="s">
        <v>18</v>
      </c>
      <c r="AE3" s="1147"/>
      <c r="AF3" s="1150" t="s">
        <v>19</v>
      </c>
    </row>
    <row r="4" spans="1:32" ht="42.75" customHeight="1" x14ac:dyDescent="0.25">
      <c r="A4" s="1154"/>
      <c r="B4" s="1142"/>
      <c r="C4" s="1142"/>
      <c r="D4" s="1142"/>
      <c r="E4" s="1144"/>
      <c r="F4" s="1135"/>
      <c r="G4" s="1136"/>
      <c r="H4" s="1148"/>
      <c r="I4" s="1149"/>
      <c r="J4" s="1148"/>
      <c r="K4" s="1149"/>
      <c r="L4" s="1148"/>
      <c r="M4" s="1149"/>
      <c r="N4" s="1148"/>
      <c r="O4" s="1149"/>
      <c r="P4" s="1148"/>
      <c r="Q4" s="1149"/>
      <c r="R4" s="1148"/>
      <c r="S4" s="1149"/>
      <c r="T4" s="1148"/>
      <c r="U4" s="1149"/>
      <c r="V4" s="1148"/>
      <c r="W4" s="1149"/>
      <c r="X4" s="1148"/>
      <c r="Y4" s="1149"/>
      <c r="Z4" s="1148"/>
      <c r="AA4" s="1149"/>
      <c r="AB4" s="1148"/>
      <c r="AC4" s="1149"/>
      <c r="AD4" s="1148"/>
      <c r="AE4" s="1149"/>
      <c r="AF4" s="1151"/>
    </row>
    <row r="5" spans="1:32" ht="37.5" x14ac:dyDescent="0.25">
      <c r="A5" s="77"/>
      <c r="B5" s="3">
        <v>2024</v>
      </c>
      <c r="C5" s="4">
        <v>45658</v>
      </c>
      <c r="D5" s="4">
        <v>45658</v>
      </c>
      <c r="E5" s="4">
        <v>45627</v>
      </c>
      <c r="F5" s="5" t="s">
        <v>20</v>
      </c>
      <c r="G5" s="5" t="s">
        <v>21</v>
      </c>
      <c r="H5" s="1020" t="s">
        <v>22</v>
      </c>
      <c r="I5" s="1020" t="s">
        <v>23</v>
      </c>
      <c r="J5" s="1020" t="s">
        <v>22</v>
      </c>
      <c r="K5" s="1020" t="s">
        <v>23</v>
      </c>
      <c r="L5" s="1020" t="s">
        <v>22</v>
      </c>
      <c r="M5" s="1020" t="s">
        <v>23</v>
      </c>
      <c r="N5" s="1020" t="s">
        <v>22</v>
      </c>
      <c r="O5" s="1020" t="s">
        <v>23</v>
      </c>
      <c r="P5" s="1020" t="s">
        <v>22</v>
      </c>
      <c r="Q5" s="1020" t="s">
        <v>23</v>
      </c>
      <c r="R5" s="1020" t="s">
        <v>22</v>
      </c>
      <c r="S5" s="1020" t="s">
        <v>23</v>
      </c>
      <c r="T5" s="1020" t="s">
        <v>22</v>
      </c>
      <c r="U5" s="1020" t="s">
        <v>23</v>
      </c>
      <c r="V5" s="1020" t="s">
        <v>22</v>
      </c>
      <c r="W5" s="1020" t="s">
        <v>23</v>
      </c>
      <c r="X5" s="1020" t="s">
        <v>22</v>
      </c>
      <c r="Y5" s="1020" t="s">
        <v>23</v>
      </c>
      <c r="Z5" s="1020" t="s">
        <v>22</v>
      </c>
      <c r="AA5" s="1020" t="s">
        <v>23</v>
      </c>
      <c r="AB5" s="1020" t="s">
        <v>22</v>
      </c>
      <c r="AC5" s="1020" t="s">
        <v>23</v>
      </c>
      <c r="AD5" s="1020" t="s">
        <v>22</v>
      </c>
      <c r="AE5" s="1020" t="s">
        <v>23</v>
      </c>
      <c r="AF5" s="1152"/>
    </row>
    <row r="6" spans="1:32" ht="18.75" x14ac:dyDescent="0.25">
      <c r="A6" s="2">
        <v>1</v>
      </c>
      <c r="B6" s="6">
        <v>2</v>
      </c>
      <c r="C6" s="6">
        <v>3</v>
      </c>
      <c r="D6" s="6">
        <v>4</v>
      </c>
      <c r="E6" s="6">
        <v>5</v>
      </c>
      <c r="F6" s="6">
        <v>6</v>
      </c>
      <c r="G6" s="6">
        <v>7</v>
      </c>
      <c r="H6" s="695">
        <v>8</v>
      </c>
      <c r="I6" s="695">
        <v>9</v>
      </c>
      <c r="J6" s="695">
        <v>10</v>
      </c>
      <c r="K6" s="695">
        <v>11</v>
      </c>
      <c r="L6" s="695">
        <v>12</v>
      </c>
      <c r="M6" s="695">
        <v>13</v>
      </c>
      <c r="N6" s="695">
        <v>14</v>
      </c>
      <c r="O6" s="695">
        <v>15</v>
      </c>
      <c r="P6" s="695">
        <v>16</v>
      </c>
      <c r="Q6" s="695">
        <v>17</v>
      </c>
      <c r="R6" s="695">
        <v>18</v>
      </c>
      <c r="S6" s="695">
        <v>19</v>
      </c>
      <c r="T6" s="695">
        <v>20</v>
      </c>
      <c r="U6" s="695">
        <v>21</v>
      </c>
      <c r="V6" s="695">
        <v>22</v>
      </c>
      <c r="W6" s="695">
        <v>23</v>
      </c>
      <c r="X6" s="695">
        <v>24</v>
      </c>
      <c r="Y6" s="695">
        <v>25</v>
      </c>
      <c r="Z6" s="695">
        <v>26</v>
      </c>
      <c r="AA6" s="695">
        <v>27</v>
      </c>
      <c r="AB6" s="695">
        <v>28</v>
      </c>
      <c r="AC6" s="695">
        <v>29</v>
      </c>
      <c r="AD6" s="695">
        <v>30</v>
      </c>
      <c r="AE6" s="695">
        <v>31</v>
      </c>
      <c r="AF6" s="1021">
        <v>32</v>
      </c>
    </row>
    <row r="7" spans="1:32" ht="206.25" x14ac:dyDescent="0.25">
      <c r="A7" s="78" t="s">
        <v>132</v>
      </c>
      <c r="B7" s="93">
        <v>309.8</v>
      </c>
      <c r="C7" s="6">
        <v>0</v>
      </c>
      <c r="D7" s="6">
        <v>0</v>
      </c>
      <c r="E7" s="6">
        <v>0</v>
      </c>
      <c r="F7" s="6">
        <v>0</v>
      </c>
      <c r="G7" s="6">
        <v>0</v>
      </c>
      <c r="H7" s="695">
        <v>0</v>
      </c>
      <c r="I7" s="695">
        <v>0</v>
      </c>
      <c r="J7" s="695">
        <v>0</v>
      </c>
      <c r="K7" s="1022">
        <v>0</v>
      </c>
      <c r="L7" s="695">
        <v>0</v>
      </c>
      <c r="M7" s="695">
        <v>0</v>
      </c>
      <c r="N7" s="695">
        <v>0</v>
      </c>
      <c r="O7" s="695">
        <v>0</v>
      </c>
      <c r="P7" s="695">
        <v>0</v>
      </c>
      <c r="Q7" s="695">
        <v>0</v>
      </c>
      <c r="R7" s="695">
        <v>0</v>
      </c>
      <c r="S7" s="695">
        <v>0</v>
      </c>
      <c r="T7" s="695">
        <v>0</v>
      </c>
      <c r="U7" s="695">
        <v>0</v>
      </c>
      <c r="V7" s="695">
        <v>0</v>
      </c>
      <c r="W7" s="695">
        <v>0</v>
      </c>
      <c r="X7" s="695">
        <v>0</v>
      </c>
      <c r="Y7" s="695">
        <v>0</v>
      </c>
      <c r="Z7" s="695">
        <v>0</v>
      </c>
      <c r="AA7" s="695">
        <v>0</v>
      </c>
      <c r="AB7" s="695">
        <v>0</v>
      </c>
      <c r="AC7" s="695">
        <v>0</v>
      </c>
      <c r="AD7" s="695">
        <v>0</v>
      </c>
      <c r="AE7" s="695">
        <v>0</v>
      </c>
      <c r="AF7" s="1021"/>
    </row>
    <row r="8" spans="1:32" ht="18.75" x14ac:dyDescent="0.25">
      <c r="A8" s="79" t="s">
        <v>54</v>
      </c>
      <c r="B8" s="6"/>
      <c r="C8" s="6"/>
      <c r="D8" s="6"/>
      <c r="E8" s="6"/>
      <c r="F8" s="6"/>
      <c r="G8" s="6"/>
      <c r="H8" s="695"/>
      <c r="I8" s="695"/>
      <c r="J8" s="695"/>
      <c r="K8" s="1023"/>
      <c r="L8" s="695"/>
      <c r="M8" s="695"/>
      <c r="N8" s="695"/>
      <c r="O8" s="695"/>
      <c r="P8" s="695"/>
      <c r="Q8" s="695"/>
      <c r="R8" s="695"/>
      <c r="S8" s="695"/>
      <c r="T8" s="695"/>
      <c r="U8" s="695"/>
      <c r="V8" s="695"/>
      <c r="W8" s="695"/>
      <c r="X8" s="695"/>
      <c r="Y8" s="695"/>
      <c r="Z8" s="695"/>
      <c r="AA8" s="695"/>
      <c r="AB8" s="695"/>
      <c r="AC8" s="695"/>
      <c r="AD8" s="695"/>
      <c r="AE8" s="695"/>
      <c r="AF8" s="1021"/>
    </row>
    <row r="9" spans="1:32" ht="56.25" hidden="1" customHeight="1" x14ac:dyDescent="0.25">
      <c r="A9" s="50" t="s">
        <v>133</v>
      </c>
      <c r="B9" s="30">
        <f>B10</f>
        <v>0</v>
      </c>
      <c r="C9" s="30">
        <f>C10</f>
        <v>0</v>
      </c>
      <c r="D9" s="30">
        <f>D10</f>
        <v>0</v>
      </c>
      <c r="E9" s="30">
        <f>E10</f>
        <v>0</v>
      </c>
      <c r="F9" s="30"/>
      <c r="G9" s="30"/>
      <c r="H9" s="30"/>
      <c r="I9" s="30"/>
      <c r="J9" s="30"/>
      <c r="K9" s="564"/>
      <c r="L9" s="30"/>
      <c r="M9" s="30"/>
      <c r="N9" s="30"/>
      <c r="O9" s="30"/>
      <c r="P9" s="30"/>
      <c r="Q9" s="30"/>
      <c r="R9" s="30"/>
      <c r="S9" s="30"/>
      <c r="T9" s="30"/>
      <c r="U9" s="30"/>
      <c r="V9" s="30"/>
      <c r="W9" s="30"/>
      <c r="X9" s="30"/>
      <c r="Y9" s="30"/>
      <c r="Z9" s="30"/>
      <c r="AA9" s="30"/>
      <c r="AB9" s="30"/>
      <c r="AC9" s="30"/>
      <c r="AD9" s="30"/>
      <c r="AE9" s="30"/>
      <c r="AF9" s="1024"/>
    </row>
    <row r="10" spans="1:32" ht="18.75" hidden="1" x14ac:dyDescent="0.3">
      <c r="A10" s="80" t="s">
        <v>31</v>
      </c>
      <c r="B10" s="47">
        <f>B11</f>
        <v>0</v>
      </c>
      <c r="C10" s="47">
        <f>C11</f>
        <v>0</v>
      </c>
      <c r="D10" s="47"/>
      <c r="E10" s="47">
        <f>E11</f>
        <v>0</v>
      </c>
      <c r="F10" s="47" t="e">
        <f>E10/B10*100</f>
        <v>#DIV/0!</v>
      </c>
      <c r="G10" s="47" t="e">
        <f>E10/C10*100</f>
        <v>#DIV/0!</v>
      </c>
      <c r="H10" s="47"/>
      <c r="I10" s="47"/>
      <c r="J10" s="47"/>
      <c r="K10" s="565"/>
      <c r="L10" s="47"/>
      <c r="M10" s="47"/>
      <c r="N10" s="47"/>
      <c r="O10" s="47"/>
      <c r="P10" s="47"/>
      <c r="Q10" s="47"/>
      <c r="R10" s="47"/>
      <c r="S10" s="47"/>
      <c r="T10" s="47"/>
      <c r="U10" s="47"/>
      <c r="V10" s="47"/>
      <c r="W10" s="47"/>
      <c r="X10" s="47"/>
      <c r="Y10" s="47"/>
      <c r="Z10" s="47"/>
      <c r="AA10" s="47"/>
      <c r="AB10" s="47"/>
      <c r="AC10" s="47"/>
      <c r="AD10" s="47"/>
      <c r="AE10" s="47"/>
      <c r="AF10" s="952"/>
    </row>
    <row r="11" spans="1:32" ht="18.75" hidden="1" x14ac:dyDescent="0.3">
      <c r="A11" s="75" t="s">
        <v>33</v>
      </c>
      <c r="B11" s="47">
        <f>H11+J11+L11+N11+P11+R11+T11+V11+X11+Z11+AB11+AD11</f>
        <v>0</v>
      </c>
      <c r="C11" s="47">
        <f>H11</f>
        <v>0</v>
      </c>
      <c r="D11" s="47"/>
      <c r="E11" s="47">
        <f>K11+M11+O11+Q11+S11+U11+W11+Y11+AA11+AC11+AE11+AG11</f>
        <v>0</v>
      </c>
      <c r="F11" s="47" t="e">
        <f>E11/B11*100</f>
        <v>#DIV/0!</v>
      </c>
      <c r="G11" s="47" t="e">
        <f>E11/C11*100</f>
        <v>#DIV/0!</v>
      </c>
      <c r="H11" s="47"/>
      <c r="I11" s="47"/>
      <c r="J11" s="47"/>
      <c r="K11" s="565"/>
      <c r="L11" s="47"/>
      <c r="M11" s="47"/>
      <c r="N11" s="47"/>
      <c r="O11" s="47"/>
      <c r="P11" s="47"/>
      <c r="Q11" s="47"/>
      <c r="R11" s="47"/>
      <c r="S11" s="47"/>
      <c r="T11" s="47"/>
      <c r="U11" s="47"/>
      <c r="V11" s="47"/>
      <c r="W11" s="47"/>
      <c r="X11" s="47"/>
      <c r="Y11" s="47"/>
      <c r="Z11" s="47"/>
      <c r="AA11" s="47"/>
      <c r="AB11" s="47"/>
      <c r="AC11" s="47"/>
      <c r="AD11" s="47"/>
      <c r="AE11" s="47"/>
      <c r="AF11" s="952"/>
    </row>
    <row r="12" spans="1:32" ht="262.5" hidden="1" x14ac:dyDescent="0.3">
      <c r="A12" s="50" t="s">
        <v>134</v>
      </c>
      <c r="B12" s="57"/>
      <c r="C12" s="57"/>
      <c r="D12" s="57"/>
      <c r="E12" s="57"/>
      <c r="F12" s="47"/>
      <c r="G12" s="47"/>
      <c r="H12" s="795"/>
      <c r="I12" s="795"/>
      <c r="J12" s="795"/>
      <c r="K12" s="793"/>
      <c r="L12" s="795"/>
      <c r="M12" s="795"/>
      <c r="N12" s="795"/>
      <c r="O12" s="795"/>
      <c r="P12" s="795"/>
      <c r="Q12" s="795"/>
      <c r="R12" s="795"/>
      <c r="S12" s="795"/>
      <c r="T12" s="795"/>
      <c r="U12" s="795"/>
      <c r="V12" s="795"/>
      <c r="W12" s="795"/>
      <c r="X12" s="795"/>
      <c r="Y12" s="795"/>
      <c r="Z12" s="795"/>
      <c r="AA12" s="795"/>
      <c r="AB12" s="795"/>
      <c r="AC12" s="795"/>
      <c r="AD12" s="795"/>
      <c r="AE12" s="795"/>
      <c r="AF12" s="952"/>
    </row>
    <row r="13" spans="1:32" ht="18.75" hidden="1" x14ac:dyDescent="0.3">
      <c r="A13" s="80" t="s">
        <v>31</v>
      </c>
      <c r="B13" s="57">
        <f>B14</f>
        <v>0</v>
      </c>
      <c r="C13" s="57">
        <f>C14</f>
        <v>0</v>
      </c>
      <c r="D13" s="57"/>
      <c r="E13" s="57">
        <f>E14</f>
        <v>0</v>
      </c>
      <c r="F13" s="47" t="e">
        <f>E13/B13*100</f>
        <v>#DIV/0!</v>
      </c>
      <c r="G13" s="47" t="e">
        <f>E13/C13*100</f>
        <v>#DIV/0!</v>
      </c>
      <c r="H13" s="795"/>
      <c r="I13" s="795"/>
      <c r="J13" s="795"/>
      <c r="K13" s="793"/>
      <c r="L13" s="795"/>
      <c r="M13" s="795"/>
      <c r="N13" s="795"/>
      <c r="O13" s="795"/>
      <c r="P13" s="795"/>
      <c r="Q13" s="795"/>
      <c r="R13" s="795"/>
      <c r="S13" s="795"/>
      <c r="T13" s="795"/>
      <c r="U13" s="795"/>
      <c r="V13" s="795"/>
      <c r="W13" s="795"/>
      <c r="X13" s="795"/>
      <c r="Y13" s="795"/>
      <c r="Z13" s="795"/>
      <c r="AA13" s="795"/>
      <c r="AB13" s="795"/>
      <c r="AC13" s="795"/>
      <c r="AD13" s="795"/>
      <c r="AE13" s="795"/>
      <c r="AF13" s="952"/>
    </row>
    <row r="14" spans="1:32" ht="18.75" hidden="1" x14ac:dyDescent="0.3">
      <c r="A14" s="75" t="s">
        <v>33</v>
      </c>
      <c r="B14" s="47">
        <f>H14+J14+L14+N14+P14+R14+T14+V14+X14+Z14+AB14+AD14</f>
        <v>0</v>
      </c>
      <c r="C14" s="47">
        <f>H14</f>
        <v>0</v>
      </c>
      <c r="D14" s="47"/>
      <c r="E14" s="47">
        <f>K14+M14+O14+Q14+S14+U14+W14+Y14+AA14+AC14+AE14+AG14</f>
        <v>0</v>
      </c>
      <c r="F14" s="47" t="e">
        <f>E14/B14*100</f>
        <v>#DIV/0!</v>
      </c>
      <c r="G14" s="47" t="e">
        <f>E14/C14*100</f>
        <v>#DIV/0!</v>
      </c>
      <c r="H14" s="795"/>
      <c r="I14" s="795"/>
      <c r="J14" s="795"/>
      <c r="K14" s="793"/>
      <c r="L14" s="795"/>
      <c r="M14" s="795"/>
      <c r="N14" s="795"/>
      <c r="O14" s="795"/>
      <c r="P14" s="795"/>
      <c r="Q14" s="795"/>
      <c r="R14" s="795"/>
      <c r="S14" s="795"/>
      <c r="T14" s="795"/>
      <c r="U14" s="795"/>
      <c r="V14" s="795"/>
      <c r="W14" s="795"/>
      <c r="X14" s="795"/>
      <c r="Y14" s="795"/>
      <c r="Z14" s="795"/>
      <c r="AA14" s="795"/>
      <c r="AB14" s="795"/>
      <c r="AC14" s="795"/>
      <c r="AD14" s="795"/>
      <c r="AE14" s="795"/>
      <c r="AF14" s="952"/>
    </row>
    <row r="15" spans="1:32" ht="225" hidden="1" x14ac:dyDescent="0.3">
      <c r="A15" s="76" t="s">
        <v>135</v>
      </c>
      <c r="B15" s="57"/>
      <c r="C15" s="57"/>
      <c r="D15" s="57"/>
      <c r="E15" s="57"/>
      <c r="F15" s="47"/>
      <c r="G15" s="47"/>
      <c r="H15" s="795"/>
      <c r="I15" s="795"/>
      <c r="J15" s="795"/>
      <c r="K15" s="793"/>
      <c r="L15" s="795"/>
      <c r="M15" s="795"/>
      <c r="N15" s="795"/>
      <c r="O15" s="795"/>
      <c r="P15" s="795"/>
      <c r="Q15" s="795"/>
      <c r="R15" s="795"/>
      <c r="S15" s="795"/>
      <c r="T15" s="795"/>
      <c r="U15" s="795"/>
      <c r="V15" s="795"/>
      <c r="W15" s="795"/>
      <c r="X15" s="795"/>
      <c r="Y15" s="795"/>
      <c r="Z15" s="795"/>
      <c r="AA15" s="795"/>
      <c r="AB15" s="795"/>
      <c r="AC15" s="795"/>
      <c r="AD15" s="795"/>
      <c r="AE15" s="795"/>
      <c r="AF15" s="952"/>
    </row>
    <row r="16" spans="1:32" ht="18.75" hidden="1" x14ac:dyDescent="0.3">
      <c r="A16" s="80" t="s">
        <v>31</v>
      </c>
      <c r="B16" s="57">
        <f>B17</f>
        <v>0</v>
      </c>
      <c r="C16" s="57">
        <f>C17</f>
        <v>0</v>
      </c>
      <c r="D16" s="57">
        <f>D17</f>
        <v>0</v>
      </c>
      <c r="E16" s="57" t="e">
        <f>#REF!+E17</f>
        <v>#REF!</v>
      </c>
      <c r="F16" s="47" t="e">
        <f>E16/B16*100</f>
        <v>#REF!</v>
      </c>
      <c r="G16" s="47" t="e">
        <f>E16/C16*100</f>
        <v>#REF!</v>
      </c>
      <c r="H16" s="795"/>
      <c r="I16" s="795"/>
      <c r="J16" s="795"/>
      <c r="K16" s="793"/>
      <c r="L16" s="795"/>
      <c r="M16" s="795"/>
      <c r="N16" s="795"/>
      <c r="O16" s="795"/>
      <c r="P16" s="795"/>
      <c r="Q16" s="795"/>
      <c r="R16" s="795"/>
      <c r="S16" s="795"/>
      <c r="T16" s="795"/>
      <c r="U16" s="795"/>
      <c r="V16" s="795"/>
      <c r="W16" s="795"/>
      <c r="X16" s="795"/>
      <c r="Y16" s="795"/>
      <c r="Z16" s="795"/>
      <c r="AA16" s="795"/>
      <c r="AB16" s="795"/>
      <c r="AC16" s="795"/>
      <c r="AD16" s="795"/>
      <c r="AE16" s="795"/>
      <c r="AF16" s="952"/>
    </row>
    <row r="17" spans="1:32" ht="18.75" hidden="1" x14ac:dyDescent="0.3">
      <c r="A17" s="75" t="s">
        <v>33</v>
      </c>
      <c r="B17" s="47">
        <f>H17+J17+L17+N17+P17+R17+T17+V17+X17+Z17+AB17+AD17</f>
        <v>0</v>
      </c>
      <c r="C17" s="47">
        <f>H17</f>
        <v>0</v>
      </c>
      <c r="D17" s="47"/>
      <c r="E17" s="47">
        <f>K17+M17+O17+Q17+S17+U17+W17+Y17+AA17+AC17+AE17+AG17</f>
        <v>0</v>
      </c>
      <c r="F17" s="47" t="e">
        <f>E17/B17*100</f>
        <v>#DIV/0!</v>
      </c>
      <c r="G17" s="47" t="e">
        <f>E17/C17*100</f>
        <v>#DIV/0!</v>
      </c>
      <c r="H17" s="795"/>
      <c r="I17" s="795"/>
      <c r="J17" s="795"/>
      <c r="K17" s="793"/>
      <c r="L17" s="795"/>
      <c r="M17" s="795"/>
      <c r="N17" s="795"/>
      <c r="O17" s="795"/>
      <c r="P17" s="795"/>
      <c r="Q17" s="795"/>
      <c r="R17" s="795"/>
      <c r="S17" s="795"/>
      <c r="T17" s="795"/>
      <c r="U17" s="795"/>
      <c r="V17" s="795"/>
      <c r="W17" s="795"/>
      <c r="X17" s="795"/>
      <c r="Y17" s="795"/>
      <c r="Z17" s="795"/>
      <c r="AA17" s="795"/>
      <c r="AB17" s="795"/>
      <c r="AC17" s="795"/>
      <c r="AD17" s="795"/>
      <c r="AE17" s="795"/>
      <c r="AF17" s="952"/>
    </row>
    <row r="18" spans="1:32" ht="150" hidden="1" x14ac:dyDescent="0.3">
      <c r="A18" s="76" t="s">
        <v>136</v>
      </c>
      <c r="B18" s="57"/>
      <c r="C18" s="57"/>
      <c r="D18" s="57"/>
      <c r="E18" s="57"/>
      <c r="F18" s="47"/>
      <c r="G18" s="47"/>
      <c r="H18" s="795"/>
      <c r="I18" s="795"/>
      <c r="J18" s="795"/>
      <c r="K18" s="793"/>
      <c r="L18" s="795"/>
      <c r="M18" s="795"/>
      <c r="N18" s="795"/>
      <c r="O18" s="795"/>
      <c r="P18" s="795"/>
      <c r="Q18" s="795"/>
      <c r="R18" s="795"/>
      <c r="S18" s="795"/>
      <c r="T18" s="795"/>
      <c r="U18" s="795"/>
      <c r="V18" s="795"/>
      <c r="W18" s="795"/>
      <c r="X18" s="795"/>
      <c r="Y18" s="795"/>
      <c r="Z18" s="795"/>
      <c r="AA18" s="795"/>
      <c r="AB18" s="795"/>
      <c r="AC18" s="795"/>
      <c r="AD18" s="795"/>
      <c r="AE18" s="795"/>
      <c r="AF18" s="952"/>
    </row>
    <row r="19" spans="1:32" ht="18.75" hidden="1" x14ac:dyDescent="0.3">
      <c r="A19" s="80" t="s">
        <v>31</v>
      </c>
      <c r="B19" s="57">
        <f>B20</f>
        <v>0</v>
      </c>
      <c r="C19" s="57">
        <f>C20</f>
        <v>0</v>
      </c>
      <c r="D19" s="57"/>
      <c r="E19" s="57">
        <f>E20</f>
        <v>0</v>
      </c>
      <c r="F19" s="47" t="e">
        <f>E19/B19*100</f>
        <v>#DIV/0!</v>
      </c>
      <c r="G19" s="47" t="e">
        <f>E19/C19*100</f>
        <v>#DIV/0!</v>
      </c>
      <c r="H19" s="795"/>
      <c r="I19" s="795"/>
      <c r="J19" s="795"/>
      <c r="K19" s="793"/>
      <c r="L19" s="795"/>
      <c r="M19" s="795"/>
      <c r="N19" s="795"/>
      <c r="O19" s="795"/>
      <c r="P19" s="795"/>
      <c r="Q19" s="795"/>
      <c r="R19" s="795"/>
      <c r="S19" s="795"/>
      <c r="T19" s="795"/>
      <c r="U19" s="795"/>
      <c r="V19" s="795"/>
      <c r="W19" s="795"/>
      <c r="X19" s="795"/>
      <c r="Y19" s="795"/>
      <c r="Z19" s="795"/>
      <c r="AA19" s="795"/>
      <c r="AB19" s="795"/>
      <c r="AC19" s="795"/>
      <c r="AD19" s="795"/>
      <c r="AE19" s="795"/>
      <c r="AF19" s="952"/>
    </row>
    <row r="20" spans="1:32" ht="18.75" hidden="1" x14ac:dyDescent="0.3">
      <c r="A20" s="75" t="s">
        <v>33</v>
      </c>
      <c r="B20" s="47">
        <f>H20+J20+L20+N20+P20+R20+T20+V20+X20+Z20+AB20+AD20</f>
        <v>0</v>
      </c>
      <c r="C20" s="47">
        <f>H20</f>
        <v>0</v>
      </c>
      <c r="D20" s="47"/>
      <c r="E20" s="47">
        <f>K20+M20+O20+Q20+S20+U20+W20+Y20+AA20+AC20+AE20+AG20</f>
        <v>0</v>
      </c>
      <c r="F20" s="47" t="e">
        <f>E20/B20*100</f>
        <v>#DIV/0!</v>
      </c>
      <c r="G20" s="47" t="e">
        <f>E20/C20*100</f>
        <v>#DIV/0!</v>
      </c>
      <c r="H20" s="795"/>
      <c r="I20" s="795"/>
      <c r="J20" s="795"/>
      <c r="K20" s="793"/>
      <c r="L20" s="795"/>
      <c r="M20" s="795"/>
      <c r="N20" s="795"/>
      <c r="O20" s="795"/>
      <c r="P20" s="795"/>
      <c r="Q20" s="795"/>
      <c r="R20" s="795"/>
      <c r="S20" s="795"/>
      <c r="T20" s="795"/>
      <c r="U20" s="795"/>
      <c r="V20" s="795"/>
      <c r="W20" s="795"/>
      <c r="X20" s="795"/>
      <c r="Y20" s="795"/>
      <c r="Z20" s="795"/>
      <c r="AA20" s="795"/>
      <c r="AB20" s="795"/>
      <c r="AC20" s="795"/>
      <c r="AD20" s="795"/>
      <c r="AE20" s="795"/>
      <c r="AF20" s="952"/>
    </row>
    <row r="21" spans="1:32" ht="112.5" hidden="1" x14ac:dyDescent="0.3">
      <c r="A21" s="76" t="s">
        <v>137</v>
      </c>
      <c r="B21" s="57"/>
      <c r="C21" s="57"/>
      <c r="D21" s="57"/>
      <c r="E21" s="57"/>
      <c r="F21" s="47"/>
      <c r="G21" s="47"/>
      <c r="H21" s="795"/>
      <c r="I21" s="795"/>
      <c r="J21" s="795"/>
      <c r="K21" s="793"/>
      <c r="L21" s="795"/>
      <c r="M21" s="795"/>
      <c r="N21" s="795"/>
      <c r="O21" s="795"/>
      <c r="P21" s="795"/>
      <c r="Q21" s="795"/>
      <c r="R21" s="795"/>
      <c r="S21" s="795"/>
      <c r="T21" s="795"/>
      <c r="U21" s="795"/>
      <c r="V21" s="795"/>
      <c r="W21" s="795"/>
      <c r="X21" s="795"/>
      <c r="Y21" s="795"/>
      <c r="Z21" s="795"/>
      <c r="AA21" s="795"/>
      <c r="AB21" s="795"/>
      <c r="AC21" s="795"/>
      <c r="AD21" s="795"/>
      <c r="AE21" s="795"/>
      <c r="AF21" s="952"/>
    </row>
    <row r="22" spans="1:32" ht="18.75" hidden="1" x14ac:dyDescent="0.3">
      <c r="A22" s="80" t="s">
        <v>31</v>
      </c>
      <c r="B22" s="57">
        <f>B23</f>
        <v>0</v>
      </c>
      <c r="C22" s="57">
        <f>C23</f>
        <v>0</v>
      </c>
      <c r="D22" s="57"/>
      <c r="E22" s="57">
        <f>E23</f>
        <v>0</v>
      </c>
      <c r="F22" s="47" t="e">
        <f>E22/B22*100</f>
        <v>#DIV/0!</v>
      </c>
      <c r="G22" s="47" t="e">
        <f>E22/C22*100</f>
        <v>#DIV/0!</v>
      </c>
      <c r="H22" s="795"/>
      <c r="I22" s="795"/>
      <c r="J22" s="795"/>
      <c r="K22" s="793"/>
      <c r="L22" s="795"/>
      <c r="M22" s="795"/>
      <c r="N22" s="795"/>
      <c r="O22" s="795"/>
      <c r="P22" s="795"/>
      <c r="Q22" s="795"/>
      <c r="R22" s="795"/>
      <c r="S22" s="795"/>
      <c r="T22" s="795"/>
      <c r="U22" s="795"/>
      <c r="V22" s="795"/>
      <c r="W22" s="795"/>
      <c r="X22" s="795"/>
      <c r="Y22" s="795"/>
      <c r="Z22" s="795"/>
      <c r="AA22" s="795"/>
      <c r="AB22" s="795"/>
      <c r="AC22" s="795"/>
      <c r="AD22" s="795"/>
      <c r="AE22" s="795"/>
      <c r="AF22" s="952"/>
    </row>
    <row r="23" spans="1:32" ht="18.75" hidden="1" x14ac:dyDescent="0.3">
      <c r="A23" s="75" t="s">
        <v>33</v>
      </c>
      <c r="B23" s="47">
        <f>H23+J23+L23+N23+P23+R23+T23+V23+X23+Z23+AB23+AD23</f>
        <v>0</v>
      </c>
      <c r="C23" s="47">
        <f>H23</f>
        <v>0</v>
      </c>
      <c r="D23" s="47"/>
      <c r="E23" s="47">
        <f>K23+M23+O23+Q23+S23+U23+W23+Y23+AA23+AC23+AE23+AG23</f>
        <v>0</v>
      </c>
      <c r="F23" s="47" t="e">
        <f>E23/B23*100</f>
        <v>#DIV/0!</v>
      </c>
      <c r="G23" s="47" t="e">
        <f>E23/C23*100</f>
        <v>#DIV/0!</v>
      </c>
      <c r="H23" s="795"/>
      <c r="I23" s="795"/>
      <c r="J23" s="795"/>
      <c r="K23" s="793"/>
      <c r="L23" s="795"/>
      <c r="M23" s="795"/>
      <c r="N23" s="795"/>
      <c r="O23" s="795"/>
      <c r="P23" s="795"/>
      <c r="Q23" s="795"/>
      <c r="R23" s="795"/>
      <c r="S23" s="795"/>
      <c r="T23" s="795"/>
      <c r="U23" s="795"/>
      <c r="V23" s="795"/>
      <c r="W23" s="795"/>
      <c r="X23" s="795"/>
      <c r="Y23" s="795"/>
      <c r="Z23" s="795"/>
      <c r="AA23" s="795"/>
      <c r="AB23" s="795"/>
      <c r="AC23" s="795"/>
      <c r="AD23" s="795"/>
      <c r="AE23" s="795"/>
      <c r="AF23" s="952"/>
    </row>
    <row r="24" spans="1:32" ht="75" x14ac:dyDescent="0.3">
      <c r="A24" s="81" t="s">
        <v>138</v>
      </c>
      <c r="B24" s="57"/>
      <c r="C24" s="566"/>
      <c r="D24" s="566"/>
      <c r="E24" s="566"/>
      <c r="F24" s="565"/>
      <c r="G24" s="565"/>
      <c r="H24" s="793"/>
      <c r="I24" s="793"/>
      <c r="J24" s="793"/>
      <c r="K24" s="793"/>
      <c r="L24" s="795"/>
      <c r="M24" s="795"/>
      <c r="N24" s="795"/>
      <c r="O24" s="795"/>
      <c r="P24" s="795"/>
      <c r="Q24" s="795"/>
      <c r="R24" s="795"/>
      <c r="S24" s="795"/>
      <c r="T24" s="795"/>
      <c r="U24" s="795"/>
      <c r="V24" s="795"/>
      <c r="W24" s="795"/>
      <c r="X24" s="795"/>
      <c r="Y24" s="795"/>
      <c r="Z24" s="795"/>
      <c r="AA24" s="795"/>
      <c r="AB24" s="795"/>
      <c r="AC24" s="795"/>
      <c r="AD24" s="795"/>
      <c r="AE24" s="795"/>
      <c r="AF24" s="952"/>
    </row>
    <row r="25" spans="1:32" ht="18.75" x14ac:dyDescent="0.3">
      <c r="A25" s="794" t="s">
        <v>31</v>
      </c>
      <c r="B25" s="795">
        <f>B26</f>
        <v>309.8</v>
      </c>
      <c r="C25" s="793">
        <v>309.8</v>
      </c>
      <c r="D25" s="793">
        <v>309.8</v>
      </c>
      <c r="E25" s="793">
        <f>E26</f>
        <v>309.8</v>
      </c>
      <c r="F25" s="565">
        <f>E25/B25*100</f>
        <v>100</v>
      </c>
      <c r="G25" s="565">
        <f>E25/C25*100</f>
        <v>100</v>
      </c>
      <c r="H25" s="793">
        <f>H26</f>
        <v>0</v>
      </c>
      <c r="I25" s="793">
        <f t="shared" ref="I25:AE25" si="0">I26</f>
        <v>0</v>
      </c>
      <c r="J25" s="793">
        <f t="shared" si="0"/>
        <v>0</v>
      </c>
      <c r="K25" s="793">
        <v>0</v>
      </c>
      <c r="L25" s="795">
        <f t="shared" si="0"/>
        <v>0</v>
      </c>
      <c r="M25" s="795">
        <f t="shared" si="0"/>
        <v>0</v>
      </c>
      <c r="N25" s="795">
        <f t="shared" si="0"/>
        <v>0</v>
      </c>
      <c r="O25" s="795">
        <f t="shared" si="0"/>
        <v>0</v>
      </c>
      <c r="P25" s="795">
        <f t="shared" si="0"/>
        <v>0</v>
      </c>
      <c r="Q25" s="795">
        <f t="shared" si="0"/>
        <v>0</v>
      </c>
      <c r="R25" s="795">
        <f t="shared" si="0"/>
        <v>0</v>
      </c>
      <c r="S25" s="795">
        <f t="shared" si="0"/>
        <v>0</v>
      </c>
      <c r="T25" s="795">
        <f t="shared" si="0"/>
        <v>0</v>
      </c>
      <c r="U25" s="795">
        <f t="shared" si="0"/>
        <v>0</v>
      </c>
      <c r="V25" s="795">
        <f t="shared" si="0"/>
        <v>0</v>
      </c>
      <c r="W25" s="795">
        <f t="shared" si="0"/>
        <v>0</v>
      </c>
      <c r="X25" s="795">
        <f t="shared" si="0"/>
        <v>0</v>
      </c>
      <c r="Y25" s="795">
        <f t="shared" si="0"/>
        <v>0</v>
      </c>
      <c r="Z25" s="795">
        <f t="shared" si="0"/>
        <v>0</v>
      </c>
      <c r="AA25" s="795">
        <f t="shared" si="0"/>
        <v>0</v>
      </c>
      <c r="AB25" s="795">
        <f t="shared" si="0"/>
        <v>309.8</v>
      </c>
      <c r="AC25" s="795">
        <f t="shared" si="0"/>
        <v>213.8</v>
      </c>
      <c r="AD25" s="795">
        <f t="shared" si="0"/>
        <v>0</v>
      </c>
      <c r="AE25" s="795">
        <f t="shared" si="0"/>
        <v>96</v>
      </c>
      <c r="AF25" s="952"/>
    </row>
    <row r="26" spans="1:32" ht="18.75" x14ac:dyDescent="0.3">
      <c r="A26" s="75" t="s">
        <v>33</v>
      </c>
      <c r="B26" s="47">
        <f>B29+B32+B35+B38</f>
        <v>309.8</v>
      </c>
      <c r="C26" s="565">
        <f>C29+C32+C35+C38</f>
        <v>309.8</v>
      </c>
      <c r="D26" s="565">
        <f>D29+D32+D35+D38</f>
        <v>309.8</v>
      </c>
      <c r="E26" s="565">
        <f>E29+E32+E35+E38</f>
        <v>309.8</v>
      </c>
      <c r="F26" s="565">
        <f>E26/B26*100</f>
        <v>100</v>
      </c>
      <c r="G26" s="565">
        <f>E26/C26*100</f>
        <v>100</v>
      </c>
      <c r="H26" s="565">
        <f>H29+H32+H35+H38</f>
        <v>0</v>
      </c>
      <c r="I26" s="565">
        <f t="shared" ref="I26:AE26" si="1">I29+I32+I35+I38</f>
        <v>0</v>
      </c>
      <c r="J26" s="565">
        <f>J29+J32+J35+J38</f>
        <v>0</v>
      </c>
      <c r="K26" s="565">
        <v>0</v>
      </c>
      <c r="L26" s="47">
        <f t="shared" si="1"/>
        <v>0</v>
      </c>
      <c r="M26" s="47">
        <f t="shared" si="1"/>
        <v>0</v>
      </c>
      <c r="N26" s="47">
        <f t="shared" si="1"/>
        <v>0</v>
      </c>
      <c r="O26" s="47">
        <f t="shared" si="1"/>
        <v>0</v>
      </c>
      <c r="P26" s="47">
        <f t="shared" si="1"/>
        <v>0</v>
      </c>
      <c r="Q26" s="47">
        <f t="shared" si="1"/>
        <v>0</v>
      </c>
      <c r="R26" s="47">
        <f t="shared" si="1"/>
        <v>0</v>
      </c>
      <c r="S26" s="47">
        <f t="shared" si="1"/>
        <v>0</v>
      </c>
      <c r="T26" s="47">
        <f t="shared" si="1"/>
        <v>0</v>
      </c>
      <c r="U26" s="47">
        <f t="shared" si="1"/>
        <v>0</v>
      </c>
      <c r="V26" s="47">
        <f t="shared" si="1"/>
        <v>0</v>
      </c>
      <c r="W26" s="47">
        <f t="shared" si="1"/>
        <v>0</v>
      </c>
      <c r="X26" s="47">
        <f t="shared" si="1"/>
        <v>0</v>
      </c>
      <c r="Y26" s="47">
        <f t="shared" si="1"/>
        <v>0</v>
      </c>
      <c r="Z26" s="47">
        <f t="shared" si="1"/>
        <v>0</v>
      </c>
      <c r="AA26" s="47">
        <f t="shared" si="1"/>
        <v>0</v>
      </c>
      <c r="AB26" s="47">
        <f t="shared" si="1"/>
        <v>309.8</v>
      </c>
      <c r="AC26" s="47">
        <f t="shared" si="1"/>
        <v>213.8</v>
      </c>
      <c r="AD26" s="47">
        <v>0</v>
      </c>
      <c r="AE26" s="47">
        <f t="shared" si="1"/>
        <v>96</v>
      </c>
      <c r="AF26" s="952"/>
    </row>
    <row r="27" spans="1:32" ht="225" x14ac:dyDescent="0.3">
      <c r="A27" s="75" t="s">
        <v>139</v>
      </c>
      <c r="B27" s="57"/>
      <c r="C27" s="566"/>
      <c r="D27" s="566"/>
      <c r="E27" s="566"/>
      <c r="F27" s="565"/>
      <c r="G27" s="565"/>
      <c r="H27" s="793"/>
      <c r="I27" s="793"/>
      <c r="J27" s="793"/>
      <c r="K27" s="793"/>
      <c r="L27" s="795"/>
      <c r="M27" s="795"/>
      <c r="N27" s="795"/>
      <c r="O27" s="795"/>
      <c r="P27" s="795"/>
      <c r="Q27" s="795"/>
      <c r="R27" s="795"/>
      <c r="S27" s="795"/>
      <c r="T27" s="795"/>
      <c r="U27" s="795"/>
      <c r="V27" s="795"/>
      <c r="W27" s="795"/>
      <c r="X27" s="795"/>
      <c r="Y27" s="795"/>
      <c r="Z27" s="795"/>
      <c r="AA27" s="795"/>
      <c r="AB27" s="795"/>
      <c r="AC27" s="795"/>
      <c r="AD27" s="795"/>
      <c r="AE27" s="795"/>
      <c r="AF27" s="952"/>
    </row>
    <row r="28" spans="1:32" ht="18.75" x14ac:dyDescent="0.3">
      <c r="A28" s="80" t="s">
        <v>31</v>
      </c>
      <c r="B28" s="57">
        <f>B29</f>
        <v>309.8</v>
      </c>
      <c r="C28" s="566">
        <f>C29</f>
        <v>309.8</v>
      </c>
      <c r="D28" s="566">
        <v>309.8</v>
      </c>
      <c r="E28" s="566">
        <f>E29</f>
        <v>309.8</v>
      </c>
      <c r="F28" s="565">
        <f>E28/B28*100</f>
        <v>100</v>
      </c>
      <c r="G28" s="565">
        <f>E28/C28*100</f>
        <v>100</v>
      </c>
      <c r="H28" s="793">
        <f>H29</f>
        <v>0</v>
      </c>
      <c r="I28" s="793">
        <f t="shared" ref="I28:AE28" si="2">I29</f>
        <v>0</v>
      </c>
      <c r="J28" s="793">
        <f t="shared" si="2"/>
        <v>0</v>
      </c>
      <c r="K28" s="793">
        <f t="shared" si="2"/>
        <v>0</v>
      </c>
      <c r="L28" s="795">
        <f t="shared" si="2"/>
        <v>0</v>
      </c>
      <c r="M28" s="795">
        <f t="shared" si="2"/>
        <v>0</v>
      </c>
      <c r="N28" s="795">
        <f t="shared" si="2"/>
        <v>0</v>
      </c>
      <c r="O28" s="795">
        <f t="shared" si="2"/>
        <v>0</v>
      </c>
      <c r="P28" s="795">
        <f t="shared" si="2"/>
        <v>0</v>
      </c>
      <c r="Q28" s="795">
        <f t="shared" si="2"/>
        <v>0</v>
      </c>
      <c r="R28" s="795">
        <f t="shared" si="2"/>
        <v>0</v>
      </c>
      <c r="S28" s="795">
        <f t="shared" si="2"/>
        <v>0</v>
      </c>
      <c r="T28" s="795">
        <f t="shared" si="2"/>
        <v>0</v>
      </c>
      <c r="U28" s="795">
        <f t="shared" si="2"/>
        <v>0</v>
      </c>
      <c r="V28" s="795">
        <f t="shared" si="2"/>
        <v>0</v>
      </c>
      <c r="W28" s="795">
        <f t="shared" si="2"/>
        <v>0</v>
      </c>
      <c r="X28" s="795">
        <f t="shared" si="2"/>
        <v>0</v>
      </c>
      <c r="Y28" s="795">
        <f t="shared" si="2"/>
        <v>0</v>
      </c>
      <c r="Z28" s="795">
        <f t="shared" si="2"/>
        <v>0</v>
      </c>
      <c r="AA28" s="795">
        <f t="shared" si="2"/>
        <v>0</v>
      </c>
      <c r="AB28" s="795">
        <f t="shared" si="2"/>
        <v>309.8</v>
      </c>
      <c r="AC28" s="795">
        <f t="shared" si="2"/>
        <v>213.8</v>
      </c>
      <c r="AD28" s="795">
        <f t="shared" si="2"/>
        <v>0</v>
      </c>
      <c r="AE28" s="795">
        <f t="shared" si="2"/>
        <v>96</v>
      </c>
      <c r="AF28" s="952"/>
    </row>
    <row r="29" spans="1:32" ht="18.75" x14ac:dyDescent="0.3">
      <c r="A29" s="75" t="s">
        <v>33</v>
      </c>
      <c r="B29" s="47">
        <f>H29+J29+L29+N29+P29+R29+T29+V29+X29+Z29+AB29+AD29</f>
        <v>309.8</v>
      </c>
      <c r="C29" s="565">
        <v>309.8</v>
      </c>
      <c r="D29" s="567">
        <v>309.8</v>
      </c>
      <c r="E29" s="565">
        <f>K29+M29+O29+Q29+S29+U29+W29+Y29+AA29+AC29+AE29+AG29</f>
        <v>309.8</v>
      </c>
      <c r="F29" s="565">
        <f>E29/B29*100</f>
        <v>100</v>
      </c>
      <c r="G29" s="565">
        <f>E29/C29*100</f>
        <v>100</v>
      </c>
      <c r="H29" s="793">
        <v>0</v>
      </c>
      <c r="I29" s="793">
        <v>0</v>
      </c>
      <c r="J29" s="793">
        <v>0</v>
      </c>
      <c r="K29" s="793">
        <v>0</v>
      </c>
      <c r="L29" s="795">
        <v>0</v>
      </c>
      <c r="M29" s="795">
        <v>0</v>
      </c>
      <c r="N29" s="795">
        <v>0</v>
      </c>
      <c r="O29" s="795">
        <v>0</v>
      </c>
      <c r="P29" s="795">
        <v>0</v>
      </c>
      <c r="Q29" s="795">
        <v>0</v>
      </c>
      <c r="R29" s="795">
        <v>0</v>
      </c>
      <c r="S29" s="795">
        <v>0</v>
      </c>
      <c r="T29" s="795">
        <v>0</v>
      </c>
      <c r="U29" s="795">
        <v>0</v>
      </c>
      <c r="V29" s="795">
        <v>0</v>
      </c>
      <c r="W29" s="795">
        <v>0</v>
      </c>
      <c r="X29" s="795">
        <v>0</v>
      </c>
      <c r="Y29" s="795">
        <v>0</v>
      </c>
      <c r="Z29" s="795">
        <v>0</v>
      </c>
      <c r="AA29" s="795">
        <v>0</v>
      </c>
      <c r="AB29" s="795">
        <v>309.8</v>
      </c>
      <c r="AC29" s="795">
        <v>213.8</v>
      </c>
      <c r="AD29" s="795">
        <v>0</v>
      </c>
      <c r="AE29" s="795">
        <v>96</v>
      </c>
      <c r="AF29" s="952"/>
    </row>
    <row r="30" spans="1:32" ht="337.5" hidden="1" x14ac:dyDescent="0.3">
      <c r="A30" s="75" t="s">
        <v>140</v>
      </c>
      <c r="B30" s="57"/>
      <c r="C30" s="566"/>
      <c r="D30" s="566"/>
      <c r="E30" s="566"/>
      <c r="F30" s="565"/>
      <c r="G30" s="565"/>
      <c r="H30" s="793"/>
      <c r="I30" s="793"/>
      <c r="J30" s="793"/>
      <c r="K30" s="793"/>
      <c r="L30" s="795"/>
      <c r="M30" s="795"/>
      <c r="N30" s="795"/>
      <c r="O30" s="795"/>
      <c r="P30" s="795"/>
      <c r="Q30" s="795"/>
      <c r="R30" s="795"/>
      <c r="S30" s="795"/>
      <c r="T30" s="795"/>
      <c r="U30" s="795"/>
      <c r="V30" s="795"/>
      <c r="W30" s="795"/>
      <c r="X30" s="795"/>
      <c r="Y30" s="795"/>
      <c r="Z30" s="795"/>
      <c r="AA30" s="795"/>
      <c r="AB30" s="795"/>
      <c r="AC30" s="795"/>
      <c r="AD30" s="795"/>
      <c r="AE30" s="795"/>
      <c r="AF30" s="952"/>
    </row>
    <row r="31" spans="1:32" ht="18.75" hidden="1" x14ac:dyDescent="0.3">
      <c r="A31" s="80" t="s">
        <v>31</v>
      </c>
      <c r="B31" s="57">
        <f>B32</f>
        <v>0</v>
      </c>
      <c r="C31" s="566">
        <f>C32</f>
        <v>0</v>
      </c>
      <c r="D31" s="566"/>
      <c r="E31" s="566">
        <f>E32</f>
        <v>0</v>
      </c>
      <c r="F31" s="565"/>
      <c r="G31" s="565"/>
      <c r="H31" s="793"/>
      <c r="I31" s="793"/>
      <c r="J31" s="793"/>
      <c r="K31" s="793"/>
      <c r="L31" s="795"/>
      <c r="M31" s="795"/>
      <c r="N31" s="795"/>
      <c r="O31" s="795"/>
      <c r="P31" s="795"/>
      <c r="Q31" s="795"/>
      <c r="R31" s="795"/>
      <c r="S31" s="795"/>
      <c r="T31" s="795"/>
      <c r="U31" s="795"/>
      <c r="V31" s="795"/>
      <c r="W31" s="795"/>
      <c r="X31" s="795"/>
      <c r="Y31" s="795"/>
      <c r="Z31" s="795"/>
      <c r="AA31" s="795"/>
      <c r="AB31" s="795"/>
      <c r="AC31" s="795"/>
      <c r="AD31" s="795"/>
      <c r="AE31" s="795"/>
      <c r="AF31" s="952"/>
    </row>
    <row r="32" spans="1:32" ht="18.75" hidden="1" x14ac:dyDescent="0.3">
      <c r="A32" s="75" t="s">
        <v>33</v>
      </c>
      <c r="B32" s="47">
        <f>H32+J32+L32+N32+P32+R32+T32+V32+X32+Z32+AB32+AD32</f>
        <v>0</v>
      </c>
      <c r="C32" s="565">
        <f>H32</f>
        <v>0</v>
      </c>
      <c r="D32" s="565"/>
      <c r="E32" s="565">
        <f>K32+M32+O32+Q32+S32+U32+W32+Y32+AA32+AC32+AE32+AG32</f>
        <v>0</v>
      </c>
      <c r="F32" s="565" t="e">
        <f>E32/B32*100</f>
        <v>#DIV/0!</v>
      </c>
      <c r="G32" s="565" t="e">
        <f>E32/C32*100</f>
        <v>#DIV/0!</v>
      </c>
      <c r="H32" s="793"/>
      <c r="I32" s="793"/>
      <c r="J32" s="793"/>
      <c r="K32" s="793"/>
      <c r="L32" s="795"/>
      <c r="M32" s="795"/>
      <c r="N32" s="795"/>
      <c r="O32" s="795"/>
      <c r="P32" s="795"/>
      <c r="Q32" s="795"/>
      <c r="R32" s="795"/>
      <c r="S32" s="795"/>
      <c r="T32" s="795"/>
      <c r="U32" s="795"/>
      <c r="V32" s="795"/>
      <c r="W32" s="795"/>
      <c r="X32" s="795"/>
      <c r="Y32" s="795"/>
      <c r="Z32" s="795"/>
      <c r="AA32" s="795"/>
      <c r="AB32" s="795"/>
      <c r="AC32" s="795"/>
      <c r="AD32" s="795"/>
      <c r="AE32" s="795"/>
      <c r="AF32" s="952"/>
    </row>
    <row r="33" spans="1:32" ht="112.5" hidden="1" x14ac:dyDescent="0.3">
      <c r="A33" s="75" t="s">
        <v>141</v>
      </c>
      <c r="B33" s="57"/>
      <c r="C33" s="566"/>
      <c r="D33" s="566"/>
      <c r="E33" s="566"/>
      <c r="F33" s="565"/>
      <c r="G33" s="565"/>
      <c r="H33" s="793"/>
      <c r="I33" s="793"/>
      <c r="J33" s="793"/>
      <c r="K33" s="793"/>
      <c r="L33" s="795"/>
      <c r="M33" s="795"/>
      <c r="N33" s="795"/>
      <c r="O33" s="795"/>
      <c r="P33" s="795"/>
      <c r="Q33" s="795"/>
      <c r="R33" s="795"/>
      <c r="S33" s="795"/>
      <c r="T33" s="795"/>
      <c r="U33" s="795"/>
      <c r="V33" s="795"/>
      <c r="W33" s="795"/>
      <c r="X33" s="795"/>
      <c r="Y33" s="795"/>
      <c r="Z33" s="795"/>
      <c r="AA33" s="795"/>
      <c r="AB33" s="795"/>
      <c r="AC33" s="795"/>
      <c r="AD33" s="795"/>
      <c r="AE33" s="795"/>
      <c r="AF33" s="952"/>
    </row>
    <row r="34" spans="1:32" ht="18.75" hidden="1" x14ac:dyDescent="0.3">
      <c r="A34" s="80" t="s">
        <v>31</v>
      </c>
      <c r="B34" s="57">
        <f>B35</f>
        <v>0</v>
      </c>
      <c r="C34" s="566">
        <f>C35</f>
        <v>0</v>
      </c>
      <c r="D34" s="566">
        <f>D35</f>
        <v>0</v>
      </c>
      <c r="E34" s="566">
        <f>E35</f>
        <v>0</v>
      </c>
      <c r="F34" s="565" t="e">
        <f>E34/B34*100</f>
        <v>#DIV/0!</v>
      </c>
      <c r="G34" s="565" t="e">
        <f>E34/C34*100</f>
        <v>#DIV/0!</v>
      </c>
      <c r="H34" s="1025"/>
      <c r="I34" s="1025"/>
      <c r="J34" s="1025"/>
      <c r="K34" s="1025"/>
      <c r="L34" s="1026"/>
      <c r="M34" s="1026"/>
      <c r="N34" s="1026"/>
      <c r="O34" s="1026"/>
      <c r="P34" s="1026"/>
      <c r="Q34" s="1026"/>
      <c r="R34" s="1026"/>
      <c r="S34" s="1026"/>
      <c r="T34" s="1026"/>
      <c r="U34" s="1026"/>
      <c r="V34" s="1026"/>
      <c r="W34" s="1026"/>
      <c r="X34" s="1026"/>
      <c r="Y34" s="1026"/>
      <c r="Z34" s="1026"/>
      <c r="AA34" s="1026"/>
      <c r="AB34" s="1026"/>
      <c r="AC34" s="1026"/>
      <c r="AD34" s="1026"/>
      <c r="AE34" s="1026"/>
      <c r="AF34" s="952"/>
    </row>
    <row r="35" spans="1:32" ht="18.75" hidden="1" x14ac:dyDescent="0.3">
      <c r="A35" s="75" t="s">
        <v>33</v>
      </c>
      <c r="B35" s="47">
        <f>H35+J35+L35+N35+P35+R35+T35+V35+X35+Z35+AB35+AD35</f>
        <v>0</v>
      </c>
      <c r="C35" s="565">
        <f>H35</f>
        <v>0</v>
      </c>
      <c r="D35" s="565"/>
      <c r="E35" s="565">
        <f>K35+M35+O35+Q35+S35+U35+W35+Y35+AA35+AC35+AE35+AG32</f>
        <v>0</v>
      </c>
      <c r="F35" s="565" t="e">
        <f>E35/B35*100</f>
        <v>#DIV/0!</v>
      </c>
      <c r="G35" s="565" t="e">
        <f>E35/C35*100</f>
        <v>#DIV/0!</v>
      </c>
      <c r="H35" s="1025"/>
      <c r="I35" s="1025"/>
      <c r="J35" s="1025"/>
      <c r="K35" s="1025"/>
      <c r="L35" s="1026"/>
      <c r="M35" s="1026"/>
      <c r="N35" s="1026"/>
      <c r="O35" s="1026"/>
      <c r="P35" s="1026"/>
      <c r="Q35" s="1026"/>
      <c r="R35" s="1026"/>
      <c r="S35" s="1026"/>
      <c r="T35" s="1026"/>
      <c r="U35" s="1026"/>
      <c r="V35" s="1026"/>
      <c r="W35" s="1026"/>
      <c r="X35" s="1026"/>
      <c r="Y35" s="1026"/>
      <c r="Z35" s="1026"/>
      <c r="AA35" s="1026"/>
      <c r="AB35" s="1026"/>
      <c r="AC35" s="1026"/>
      <c r="AD35" s="1026"/>
      <c r="AE35" s="1026"/>
      <c r="AF35" s="952"/>
    </row>
    <row r="36" spans="1:32" ht="187.5" hidden="1" x14ac:dyDescent="0.3">
      <c r="A36" s="75" t="s">
        <v>142</v>
      </c>
      <c r="B36" s="57"/>
      <c r="C36" s="566"/>
      <c r="D36" s="566"/>
      <c r="E36" s="566"/>
      <c r="F36" s="565"/>
      <c r="G36" s="565"/>
      <c r="H36" s="793"/>
      <c r="I36" s="793"/>
      <c r="J36" s="793"/>
      <c r="K36" s="793"/>
      <c r="L36" s="795"/>
      <c r="M36" s="795"/>
      <c r="N36" s="795"/>
      <c r="O36" s="795"/>
      <c r="P36" s="795"/>
      <c r="Q36" s="795"/>
      <c r="R36" s="795"/>
      <c r="S36" s="795"/>
      <c r="T36" s="795"/>
      <c r="U36" s="795"/>
      <c r="V36" s="795"/>
      <c r="W36" s="795"/>
      <c r="X36" s="795"/>
      <c r="Y36" s="795"/>
      <c r="Z36" s="795"/>
      <c r="AA36" s="795"/>
      <c r="AB36" s="795"/>
      <c r="AC36" s="795"/>
      <c r="AD36" s="795"/>
      <c r="AE36" s="795"/>
      <c r="AF36" s="952"/>
    </row>
    <row r="37" spans="1:32" ht="18.75" hidden="1" x14ac:dyDescent="0.3">
      <c r="A37" s="80" t="s">
        <v>31</v>
      </c>
      <c r="B37" s="57">
        <f>B38</f>
        <v>0</v>
      </c>
      <c r="C37" s="566">
        <f>C38</f>
        <v>0</v>
      </c>
      <c r="D37" s="566">
        <f>D38</f>
        <v>0</v>
      </c>
      <c r="E37" s="566">
        <f>E38</f>
        <v>0</v>
      </c>
      <c r="F37" s="565" t="e">
        <f>E37/B37*100</f>
        <v>#DIV/0!</v>
      </c>
      <c r="G37" s="565" t="e">
        <f>E37/C37*100</f>
        <v>#DIV/0!</v>
      </c>
      <c r="H37" s="793"/>
      <c r="I37" s="793"/>
      <c r="J37" s="793"/>
      <c r="K37" s="793"/>
      <c r="L37" s="795"/>
      <c r="M37" s="795"/>
      <c r="N37" s="795"/>
      <c r="O37" s="795"/>
      <c r="P37" s="795"/>
      <c r="Q37" s="795"/>
      <c r="R37" s="795"/>
      <c r="S37" s="795"/>
      <c r="T37" s="795"/>
      <c r="U37" s="795"/>
      <c r="V37" s="795"/>
      <c r="W37" s="795"/>
      <c r="X37" s="795"/>
      <c r="Y37" s="795"/>
      <c r="Z37" s="795"/>
      <c r="AA37" s="795"/>
      <c r="AB37" s="795"/>
      <c r="AC37" s="795"/>
      <c r="AD37" s="795"/>
      <c r="AE37" s="795"/>
      <c r="AF37" s="952"/>
    </row>
    <row r="38" spans="1:32" ht="18.75" hidden="1" x14ac:dyDescent="0.3">
      <c r="A38" s="75" t="s">
        <v>33</v>
      </c>
      <c r="B38" s="47">
        <f>H38+J38+L38+N38+P38+R38+T38+V38+X38+Z38+AB38+AD38</f>
        <v>0</v>
      </c>
      <c r="C38" s="565">
        <f>H38</f>
        <v>0</v>
      </c>
      <c r="D38" s="565"/>
      <c r="E38" s="565">
        <f>K38+M38+O38+Q38+S38+U38+W38+Y38+AA38+AC38+AE38+AG35</f>
        <v>0</v>
      </c>
      <c r="F38" s="565" t="e">
        <f>E38/B38*100</f>
        <v>#DIV/0!</v>
      </c>
      <c r="G38" s="565" t="e">
        <f>E38/C38*100</f>
        <v>#DIV/0!</v>
      </c>
      <c r="H38" s="793"/>
      <c r="I38" s="793"/>
      <c r="J38" s="793"/>
      <c r="K38" s="793"/>
      <c r="L38" s="795"/>
      <c r="M38" s="795"/>
      <c r="N38" s="795"/>
      <c r="O38" s="795"/>
      <c r="P38" s="795"/>
      <c r="Q38" s="795"/>
      <c r="R38" s="795"/>
      <c r="S38" s="795"/>
      <c r="T38" s="795"/>
      <c r="U38" s="795"/>
      <c r="V38" s="795"/>
      <c r="W38" s="795"/>
      <c r="X38" s="795"/>
      <c r="Y38" s="795"/>
      <c r="Z38" s="795"/>
      <c r="AA38" s="795"/>
      <c r="AB38" s="795"/>
      <c r="AC38" s="795"/>
      <c r="AD38" s="795"/>
      <c r="AE38" s="795"/>
      <c r="AF38" s="952"/>
    </row>
    <row r="39" spans="1:32" ht="254.25" customHeight="1" x14ac:dyDescent="0.3">
      <c r="A39" s="76" t="s">
        <v>161</v>
      </c>
      <c r="B39" s="57"/>
      <c r="C39" s="566"/>
      <c r="D39" s="566"/>
      <c r="E39" s="566"/>
      <c r="F39" s="565"/>
      <c r="G39" s="565"/>
      <c r="H39" s="793"/>
      <c r="I39" s="793"/>
      <c r="J39" s="793"/>
      <c r="K39" s="793"/>
      <c r="L39" s="795"/>
      <c r="M39" s="795"/>
      <c r="N39" s="795"/>
      <c r="O39" s="795"/>
      <c r="P39" s="795"/>
      <c r="Q39" s="795"/>
      <c r="R39" s="795"/>
      <c r="S39" s="795"/>
      <c r="T39" s="795"/>
      <c r="U39" s="795"/>
      <c r="V39" s="795"/>
      <c r="W39" s="795"/>
      <c r="X39" s="795"/>
      <c r="Y39" s="795"/>
      <c r="Z39" s="795"/>
      <c r="AA39" s="795"/>
      <c r="AB39" s="795"/>
      <c r="AC39" s="795"/>
      <c r="AD39" s="795"/>
      <c r="AE39" s="795"/>
      <c r="AF39" s="642" t="s">
        <v>661</v>
      </c>
    </row>
    <row r="40" spans="1:32" ht="18.75" x14ac:dyDescent="0.3">
      <c r="A40" s="794" t="s">
        <v>31</v>
      </c>
      <c r="B40" s="795">
        <f>B41+B42</f>
        <v>652</v>
      </c>
      <c r="C40" s="793">
        <f>C41+C42</f>
        <v>651.5</v>
      </c>
      <c r="D40" s="793">
        <f>D41+D42</f>
        <v>651.5</v>
      </c>
      <c r="E40" s="793">
        <f>E41+E42</f>
        <v>651.5</v>
      </c>
      <c r="F40" s="992">
        <f>E40/B40*100</f>
        <v>99.923312883435571</v>
      </c>
      <c r="G40" s="565">
        <f>E40/C40*100</f>
        <v>100</v>
      </c>
      <c r="H40" s="793">
        <f>H41+H42</f>
        <v>0</v>
      </c>
      <c r="I40" s="793">
        <f t="shared" ref="I40:AE40" si="3">I41+I42</f>
        <v>0</v>
      </c>
      <c r="J40" s="793">
        <f t="shared" si="3"/>
        <v>0</v>
      </c>
      <c r="K40" s="793">
        <f t="shared" si="3"/>
        <v>0</v>
      </c>
      <c r="L40" s="795">
        <v>350</v>
      </c>
      <c r="M40" s="795">
        <f t="shared" si="3"/>
        <v>122.8</v>
      </c>
      <c r="N40" s="795">
        <f t="shared" si="3"/>
        <v>0</v>
      </c>
      <c r="O40" s="795">
        <f t="shared" si="3"/>
        <v>27.2</v>
      </c>
      <c r="P40" s="795">
        <f t="shared" si="3"/>
        <v>0</v>
      </c>
      <c r="Q40" s="795">
        <f t="shared" si="3"/>
        <v>200</v>
      </c>
      <c r="R40" s="795">
        <f t="shared" si="3"/>
        <v>0</v>
      </c>
      <c r="S40" s="795">
        <f t="shared" si="3"/>
        <v>0</v>
      </c>
      <c r="T40" s="795">
        <f t="shared" si="3"/>
        <v>0</v>
      </c>
      <c r="U40" s="795">
        <f t="shared" si="3"/>
        <v>0</v>
      </c>
      <c r="V40" s="795">
        <f t="shared" si="3"/>
        <v>0</v>
      </c>
      <c r="W40" s="795">
        <f t="shared" si="3"/>
        <v>0</v>
      </c>
      <c r="X40" s="795">
        <f t="shared" si="3"/>
        <v>0</v>
      </c>
      <c r="Y40" s="795">
        <f t="shared" si="3"/>
        <v>0</v>
      </c>
      <c r="Z40" s="795">
        <f t="shared" si="3"/>
        <v>302</v>
      </c>
      <c r="AA40" s="795">
        <f t="shared" si="3"/>
        <v>161.5</v>
      </c>
      <c r="AB40" s="795">
        <f t="shared" si="3"/>
        <v>0</v>
      </c>
      <c r="AC40" s="795">
        <f t="shared" si="3"/>
        <v>140</v>
      </c>
      <c r="AD40" s="795">
        <f t="shared" si="3"/>
        <v>0</v>
      </c>
      <c r="AE40" s="795">
        <f t="shared" si="3"/>
        <v>0</v>
      </c>
      <c r="AF40" s="952"/>
    </row>
    <row r="41" spans="1:32" ht="18.75" x14ac:dyDescent="0.3">
      <c r="A41" s="794" t="s">
        <v>143</v>
      </c>
      <c r="B41" s="795">
        <f>H41+J41+L41+N41+P41+R41+T41+V41+X41+Z41+AB41+AD41</f>
        <v>195.6</v>
      </c>
      <c r="C41" s="793">
        <v>195.6</v>
      </c>
      <c r="D41" s="793">
        <v>195.6</v>
      </c>
      <c r="E41" s="793">
        <v>195.6</v>
      </c>
      <c r="F41" s="565">
        <f>E41/B41*100</f>
        <v>100</v>
      </c>
      <c r="G41" s="565">
        <f>E41/C41*100</f>
        <v>100</v>
      </c>
      <c r="H41" s="793">
        <v>0</v>
      </c>
      <c r="I41" s="793">
        <v>0</v>
      </c>
      <c r="J41" s="793">
        <v>0</v>
      </c>
      <c r="K41" s="793">
        <v>0</v>
      </c>
      <c r="L41" s="795">
        <v>97.8</v>
      </c>
      <c r="M41" s="795">
        <v>97.8</v>
      </c>
      <c r="N41" s="795">
        <v>0</v>
      </c>
      <c r="O41" s="795">
        <v>0</v>
      </c>
      <c r="P41" s="795">
        <v>0</v>
      </c>
      <c r="Q41" s="795">
        <v>0</v>
      </c>
      <c r="R41" s="795">
        <v>0</v>
      </c>
      <c r="S41" s="795">
        <v>0</v>
      </c>
      <c r="T41" s="795">
        <v>0</v>
      </c>
      <c r="U41" s="795">
        <v>0</v>
      </c>
      <c r="V41" s="795">
        <v>0</v>
      </c>
      <c r="W41" s="795">
        <v>0</v>
      </c>
      <c r="X41" s="795">
        <v>0</v>
      </c>
      <c r="Y41" s="795">
        <v>0</v>
      </c>
      <c r="Z41" s="795">
        <v>97.8</v>
      </c>
      <c r="AA41" s="795">
        <v>97.8</v>
      </c>
      <c r="AB41" s="795">
        <v>0</v>
      </c>
      <c r="AC41" s="795">
        <v>0</v>
      </c>
      <c r="AD41" s="795"/>
      <c r="AE41" s="795"/>
      <c r="AF41" s="952"/>
    </row>
    <row r="42" spans="1:32" ht="18.75" x14ac:dyDescent="0.3">
      <c r="A42" s="796" t="s">
        <v>33</v>
      </c>
      <c r="B42" s="795">
        <f>H42+J42+L42+N42+P42+R42+T42+V42+X42+Z42+AB42+AD42</f>
        <v>456.4</v>
      </c>
      <c r="C42" s="793">
        <f>M42+O42+Q42+S42+U42+W42+Y42+AA42+AC42+AE42</f>
        <v>455.9</v>
      </c>
      <c r="D42" s="793">
        <f>M42+O42+Q42+S42+U42+W42+Y42+AA42+AC42+AE42</f>
        <v>455.9</v>
      </c>
      <c r="E42" s="565">
        <f>K42+M42+O42+Q42+S42+U42+W42+Y42+AA42+AC42+AE42+AG38</f>
        <v>455.9</v>
      </c>
      <c r="F42" s="992">
        <f>E42/B42*100</f>
        <v>99.890446976336548</v>
      </c>
      <c r="G42" s="565">
        <f>E42/C42*100</f>
        <v>100</v>
      </c>
      <c r="H42" s="793">
        <v>0</v>
      </c>
      <c r="I42" s="793">
        <v>0</v>
      </c>
      <c r="J42" s="793">
        <v>0</v>
      </c>
      <c r="K42" s="793">
        <v>0</v>
      </c>
      <c r="L42" s="795">
        <v>252.2</v>
      </c>
      <c r="M42" s="795">
        <v>25</v>
      </c>
      <c r="N42" s="795">
        <v>0</v>
      </c>
      <c r="O42" s="795">
        <v>27.2</v>
      </c>
      <c r="P42" s="795">
        <v>0</v>
      </c>
      <c r="Q42" s="795">
        <v>200</v>
      </c>
      <c r="R42" s="795">
        <v>0</v>
      </c>
      <c r="S42" s="795">
        <v>0</v>
      </c>
      <c r="T42" s="795">
        <v>0</v>
      </c>
      <c r="U42" s="795">
        <v>0</v>
      </c>
      <c r="V42" s="795">
        <v>0</v>
      </c>
      <c r="W42" s="795">
        <v>0</v>
      </c>
      <c r="X42" s="795">
        <v>0</v>
      </c>
      <c r="Y42" s="795">
        <v>0</v>
      </c>
      <c r="Z42" s="795">
        <v>204.2</v>
      </c>
      <c r="AA42" s="795">
        <v>63.7</v>
      </c>
      <c r="AB42" s="795">
        <v>0</v>
      </c>
      <c r="AC42" s="795">
        <v>140</v>
      </c>
      <c r="AD42" s="795"/>
      <c r="AE42" s="795"/>
      <c r="AF42" s="952"/>
    </row>
    <row r="43" spans="1:32" ht="37.5" x14ac:dyDescent="0.3">
      <c r="A43" s="797" t="s">
        <v>130</v>
      </c>
      <c r="B43" s="795">
        <f>H43+J43+L43+N43+P43+R43+T43+V43+X43+Z43+AB43+AD43</f>
        <v>456.4</v>
      </c>
      <c r="C43" s="565">
        <f>M43+O43+Q43+S43+U43+W43+Y43+AA43+AC43+AE43</f>
        <v>455.9</v>
      </c>
      <c r="D43" s="565">
        <f>M43+O43+Q43+W43+S43+U43+Y43+AA43+AC43+AE43</f>
        <v>455.9</v>
      </c>
      <c r="E43" s="565">
        <f>K43+M43+O43+Q43+S43+U43+W43+Y43+AA43+AC43+AE43+AG39</f>
        <v>455.9</v>
      </c>
      <c r="F43" s="992">
        <f>E43/B43*100</f>
        <v>99.890446976336548</v>
      </c>
      <c r="G43" s="565">
        <f>E43/C43*100</f>
        <v>100</v>
      </c>
      <c r="H43" s="793">
        <v>0</v>
      </c>
      <c r="I43" s="793">
        <v>0</v>
      </c>
      <c r="J43" s="793">
        <v>0</v>
      </c>
      <c r="K43" s="793">
        <v>0</v>
      </c>
      <c r="L43" s="795">
        <v>228.2</v>
      </c>
      <c r="M43" s="795">
        <v>25</v>
      </c>
      <c r="N43" s="795">
        <v>0</v>
      </c>
      <c r="O43" s="795">
        <v>27.2</v>
      </c>
      <c r="P43" s="795">
        <v>0</v>
      </c>
      <c r="Q43" s="795">
        <v>200</v>
      </c>
      <c r="R43" s="795">
        <v>0</v>
      </c>
      <c r="S43" s="795">
        <v>0</v>
      </c>
      <c r="T43" s="795">
        <v>0</v>
      </c>
      <c r="U43" s="795">
        <v>0</v>
      </c>
      <c r="V43" s="795">
        <v>0</v>
      </c>
      <c r="W43" s="795">
        <v>0</v>
      </c>
      <c r="X43" s="795">
        <v>0</v>
      </c>
      <c r="Y43" s="795">
        <v>0</v>
      </c>
      <c r="Z43" s="795">
        <v>228.2</v>
      </c>
      <c r="AA43" s="795">
        <v>63.7</v>
      </c>
      <c r="AB43" s="795">
        <v>0</v>
      </c>
      <c r="AC43" s="795">
        <v>140</v>
      </c>
      <c r="AD43" s="795"/>
      <c r="AE43" s="795"/>
      <c r="AF43" s="952"/>
    </row>
    <row r="44" spans="1:32" ht="112.5" hidden="1" x14ac:dyDescent="0.3">
      <c r="A44" s="76" t="s">
        <v>144</v>
      </c>
      <c r="B44" s="57"/>
      <c r="C44" s="566"/>
      <c r="D44" s="566"/>
      <c r="E44" s="566"/>
      <c r="F44" s="565"/>
      <c r="G44" s="565"/>
      <c r="H44" s="793"/>
      <c r="I44" s="793"/>
      <c r="J44" s="793"/>
      <c r="K44" s="793"/>
      <c r="L44" s="795"/>
      <c r="M44" s="795"/>
      <c r="N44" s="795"/>
      <c r="O44" s="795"/>
      <c r="P44" s="795"/>
      <c r="Q44" s="795"/>
      <c r="R44" s="795"/>
      <c r="S44" s="795"/>
      <c r="T44" s="795"/>
      <c r="U44" s="795"/>
      <c r="V44" s="795"/>
      <c r="W44" s="795"/>
      <c r="X44" s="795"/>
      <c r="Y44" s="795"/>
      <c r="Z44" s="795"/>
      <c r="AA44" s="795"/>
      <c r="AB44" s="795"/>
      <c r="AC44" s="795"/>
      <c r="AD44" s="795"/>
      <c r="AE44" s="795"/>
      <c r="AF44" s="952"/>
    </row>
    <row r="45" spans="1:32" ht="18.75" hidden="1" x14ac:dyDescent="0.3">
      <c r="A45" s="80" t="s">
        <v>31</v>
      </c>
      <c r="B45" s="57">
        <f>B46</f>
        <v>0</v>
      </c>
      <c r="C45" s="566">
        <f>C46</f>
        <v>0</v>
      </c>
      <c r="D45" s="566"/>
      <c r="E45" s="566">
        <f>E46</f>
        <v>0</v>
      </c>
      <c r="F45" s="565" t="e">
        <f>E45/B45*100</f>
        <v>#DIV/0!</v>
      </c>
      <c r="G45" s="565" t="e">
        <f>E45/C45*100</f>
        <v>#DIV/0!</v>
      </c>
      <c r="H45" s="793"/>
      <c r="I45" s="793"/>
      <c r="J45" s="793"/>
      <c r="K45" s="793"/>
      <c r="L45" s="795"/>
      <c r="M45" s="795"/>
      <c r="N45" s="795"/>
      <c r="O45" s="795"/>
      <c r="P45" s="795"/>
      <c r="Q45" s="795"/>
      <c r="R45" s="795"/>
      <c r="S45" s="795"/>
      <c r="T45" s="795"/>
      <c r="U45" s="795"/>
      <c r="V45" s="795"/>
      <c r="W45" s="795"/>
      <c r="X45" s="795"/>
      <c r="Y45" s="795"/>
      <c r="Z45" s="795"/>
      <c r="AA45" s="795"/>
      <c r="AB45" s="795"/>
      <c r="AC45" s="795"/>
      <c r="AD45" s="795"/>
      <c r="AE45" s="795">
        <f>AE46</f>
        <v>0</v>
      </c>
      <c r="AF45" s="952"/>
    </row>
    <row r="46" spans="1:32" ht="18.75" hidden="1" x14ac:dyDescent="0.3">
      <c r="A46" s="75" t="s">
        <v>33</v>
      </c>
      <c r="B46" s="47">
        <f>H46+J46+L46+N46+P46+R46+T46+V46+X46+Z46+AB46+AD46</f>
        <v>0</v>
      </c>
      <c r="C46" s="565">
        <f>H46</f>
        <v>0</v>
      </c>
      <c r="D46" s="565"/>
      <c r="E46" s="565">
        <f>K46+M46+O46+Q46+S46+U46+W46+Y46+AA46+AC46+AE46+AG42</f>
        <v>0</v>
      </c>
      <c r="F46" s="565" t="e">
        <f>E46/B46*100</f>
        <v>#DIV/0!</v>
      </c>
      <c r="G46" s="565" t="e">
        <f>E46/C46*100</f>
        <v>#DIV/0!</v>
      </c>
      <c r="H46" s="793"/>
      <c r="I46" s="793"/>
      <c r="J46" s="793"/>
      <c r="K46" s="793"/>
      <c r="L46" s="795"/>
      <c r="M46" s="795"/>
      <c r="N46" s="795"/>
      <c r="O46" s="795"/>
      <c r="P46" s="795"/>
      <c r="Q46" s="795"/>
      <c r="R46" s="795"/>
      <c r="S46" s="795"/>
      <c r="T46" s="795"/>
      <c r="U46" s="795"/>
      <c r="V46" s="795"/>
      <c r="W46" s="795"/>
      <c r="X46" s="795"/>
      <c r="Y46" s="795"/>
      <c r="Z46" s="795"/>
      <c r="AA46" s="795"/>
      <c r="AB46" s="795"/>
      <c r="AC46" s="795"/>
      <c r="AD46" s="795"/>
      <c r="AE46" s="795"/>
      <c r="AF46" s="952"/>
    </row>
    <row r="47" spans="1:32" ht="281.25" hidden="1" x14ac:dyDescent="0.3">
      <c r="A47" s="76" t="s">
        <v>145</v>
      </c>
      <c r="B47" s="57"/>
      <c r="C47" s="566"/>
      <c r="D47" s="566"/>
      <c r="E47" s="566"/>
      <c r="F47" s="565"/>
      <c r="G47" s="565"/>
      <c r="H47" s="793"/>
      <c r="I47" s="793"/>
      <c r="J47" s="793"/>
      <c r="K47" s="793"/>
      <c r="L47" s="795"/>
      <c r="M47" s="795"/>
      <c r="N47" s="795"/>
      <c r="O47" s="795"/>
      <c r="P47" s="795"/>
      <c r="Q47" s="795"/>
      <c r="R47" s="795"/>
      <c r="S47" s="795"/>
      <c r="T47" s="795"/>
      <c r="U47" s="795"/>
      <c r="V47" s="795"/>
      <c r="W47" s="795"/>
      <c r="X47" s="795"/>
      <c r="Y47" s="795"/>
      <c r="Z47" s="795"/>
      <c r="AA47" s="795"/>
      <c r="AB47" s="795"/>
      <c r="AC47" s="795"/>
      <c r="AD47" s="795"/>
      <c r="AE47" s="795"/>
      <c r="AF47" s="952"/>
    </row>
    <row r="48" spans="1:32" ht="18.75" hidden="1" x14ac:dyDescent="0.3">
      <c r="A48" s="80" t="s">
        <v>31</v>
      </c>
      <c r="B48" s="57">
        <f>B49</f>
        <v>0</v>
      </c>
      <c r="C48" s="566">
        <f>C49</f>
        <v>0</v>
      </c>
      <c r="D48" s="566"/>
      <c r="E48" s="566">
        <f>E49</f>
        <v>0</v>
      </c>
      <c r="F48" s="565"/>
      <c r="G48" s="565"/>
      <c r="H48" s="793"/>
      <c r="I48" s="793"/>
      <c r="J48" s="793"/>
      <c r="K48" s="793"/>
      <c r="L48" s="795"/>
      <c r="M48" s="795"/>
      <c r="N48" s="795"/>
      <c r="O48" s="795"/>
      <c r="P48" s="795"/>
      <c r="Q48" s="795"/>
      <c r="R48" s="795"/>
      <c r="S48" s="795"/>
      <c r="T48" s="795"/>
      <c r="U48" s="795"/>
      <c r="V48" s="795"/>
      <c r="W48" s="795"/>
      <c r="X48" s="795"/>
      <c r="Y48" s="795"/>
      <c r="Z48" s="795"/>
      <c r="AA48" s="795"/>
      <c r="AB48" s="795"/>
      <c r="AC48" s="795"/>
      <c r="AD48" s="795"/>
      <c r="AE48" s="795">
        <f>AE49</f>
        <v>0</v>
      </c>
      <c r="AF48" s="952"/>
    </row>
    <row r="49" spans="1:32" ht="18.75" hidden="1" x14ac:dyDescent="0.3">
      <c r="A49" s="75" t="s">
        <v>33</v>
      </c>
      <c r="B49" s="47">
        <f>H49+J49+L49+N49+P49+R49+T49+V49+X49+Z49+AB49+AD49</f>
        <v>0</v>
      </c>
      <c r="C49" s="565">
        <f>H49</f>
        <v>0</v>
      </c>
      <c r="D49" s="565"/>
      <c r="E49" s="565">
        <f>K49+M49+O49+Q49+S49+U49+W49+Y49+AA49+AC49+AE49+AG46</f>
        <v>0</v>
      </c>
      <c r="F49" s="565" t="e">
        <f>E49/B49*100</f>
        <v>#DIV/0!</v>
      </c>
      <c r="G49" s="565" t="e">
        <f>E49/C49*100</f>
        <v>#DIV/0!</v>
      </c>
      <c r="H49" s="793"/>
      <c r="I49" s="793"/>
      <c r="J49" s="793"/>
      <c r="K49" s="793"/>
      <c r="L49" s="795"/>
      <c r="M49" s="795"/>
      <c r="N49" s="795"/>
      <c r="O49" s="795"/>
      <c r="P49" s="795"/>
      <c r="Q49" s="795"/>
      <c r="R49" s="795"/>
      <c r="S49" s="795"/>
      <c r="T49" s="795"/>
      <c r="U49" s="795"/>
      <c r="V49" s="795"/>
      <c r="W49" s="795"/>
      <c r="X49" s="795"/>
      <c r="Y49" s="795"/>
      <c r="Z49" s="795"/>
      <c r="AA49" s="795"/>
      <c r="AB49" s="795"/>
      <c r="AC49" s="795"/>
      <c r="AD49" s="795"/>
      <c r="AE49" s="795"/>
      <c r="AF49" s="952"/>
    </row>
    <row r="50" spans="1:32" ht="18.75" x14ac:dyDescent="0.3">
      <c r="A50" s="89" t="s">
        <v>53</v>
      </c>
      <c r="B50" s="57"/>
      <c r="C50" s="566"/>
      <c r="D50" s="566"/>
      <c r="E50" s="566"/>
      <c r="F50" s="565"/>
      <c r="G50" s="565"/>
      <c r="H50" s="793"/>
      <c r="I50" s="793"/>
      <c r="J50" s="793"/>
      <c r="K50" s="793"/>
      <c r="L50" s="795"/>
      <c r="M50" s="795"/>
      <c r="N50" s="795"/>
      <c r="O50" s="795"/>
      <c r="P50" s="795"/>
      <c r="Q50" s="795"/>
      <c r="R50" s="795"/>
      <c r="S50" s="795"/>
      <c r="T50" s="795"/>
      <c r="U50" s="795"/>
      <c r="V50" s="795"/>
      <c r="W50" s="795"/>
      <c r="X50" s="795"/>
      <c r="Y50" s="795"/>
      <c r="Z50" s="795"/>
      <c r="AA50" s="795"/>
      <c r="AB50" s="795"/>
      <c r="AC50" s="795"/>
      <c r="AD50" s="795"/>
      <c r="AE50" s="795"/>
      <c r="AF50" s="952"/>
    </row>
    <row r="51" spans="1:32" ht="18.75" x14ac:dyDescent="0.3">
      <c r="A51" s="80" t="s">
        <v>31</v>
      </c>
      <c r="B51" s="57">
        <f>B52+B53</f>
        <v>961.80000000000007</v>
      </c>
      <c r="C51" s="566">
        <f>C52+C53</f>
        <v>961.30000000000007</v>
      </c>
      <c r="D51" s="566">
        <f>D52+D53</f>
        <v>961.30000000000007</v>
      </c>
      <c r="E51" s="566">
        <f>E52+E53</f>
        <v>961.30000000000007</v>
      </c>
      <c r="F51" s="992">
        <f t="shared" ref="F51:G54" si="4">D51/B51*100</f>
        <v>99.948014140153873</v>
      </c>
      <c r="G51" s="565">
        <f t="shared" si="4"/>
        <v>100</v>
      </c>
      <c r="H51" s="793">
        <f>H52+H53</f>
        <v>0</v>
      </c>
      <c r="I51" s="793">
        <f t="shared" ref="I51:AE51" si="5">I52+I53</f>
        <v>0</v>
      </c>
      <c r="J51" s="793">
        <f t="shared" si="5"/>
        <v>0</v>
      </c>
      <c r="K51" s="793">
        <f t="shared" si="5"/>
        <v>0</v>
      </c>
      <c r="L51" s="795">
        <f t="shared" si="5"/>
        <v>350</v>
      </c>
      <c r="M51" s="795">
        <f t="shared" si="5"/>
        <v>122.8</v>
      </c>
      <c r="N51" s="795">
        <f t="shared" si="5"/>
        <v>0</v>
      </c>
      <c r="O51" s="795">
        <f t="shared" si="5"/>
        <v>27.2</v>
      </c>
      <c r="P51" s="795">
        <f t="shared" si="5"/>
        <v>0</v>
      </c>
      <c r="Q51" s="795">
        <f t="shared" si="5"/>
        <v>200</v>
      </c>
      <c r="R51" s="795">
        <f t="shared" si="5"/>
        <v>0</v>
      </c>
      <c r="S51" s="795">
        <f t="shared" si="5"/>
        <v>0</v>
      </c>
      <c r="T51" s="795">
        <f t="shared" si="5"/>
        <v>0</v>
      </c>
      <c r="U51" s="795">
        <f t="shared" si="5"/>
        <v>0</v>
      </c>
      <c r="V51" s="795">
        <f t="shared" si="5"/>
        <v>0</v>
      </c>
      <c r="W51" s="795">
        <f t="shared" si="5"/>
        <v>0</v>
      </c>
      <c r="X51" s="795">
        <f t="shared" si="5"/>
        <v>0</v>
      </c>
      <c r="Y51" s="795">
        <f t="shared" si="5"/>
        <v>0</v>
      </c>
      <c r="Z51" s="795">
        <f t="shared" si="5"/>
        <v>302</v>
      </c>
      <c r="AA51" s="795">
        <f t="shared" si="5"/>
        <v>161.5</v>
      </c>
      <c r="AB51" s="795">
        <f t="shared" si="5"/>
        <v>309.8</v>
      </c>
      <c r="AC51" s="795">
        <f t="shared" si="5"/>
        <v>353.8</v>
      </c>
      <c r="AD51" s="795">
        <f t="shared" si="5"/>
        <v>0</v>
      </c>
      <c r="AE51" s="795">
        <f t="shared" si="5"/>
        <v>96</v>
      </c>
      <c r="AF51" s="952"/>
    </row>
    <row r="52" spans="1:32" ht="18.75" x14ac:dyDescent="0.3">
      <c r="A52" s="80" t="s">
        <v>97</v>
      </c>
      <c r="B52" s="57">
        <f>B41</f>
        <v>195.6</v>
      </c>
      <c r="C52" s="566">
        <f>C41</f>
        <v>195.6</v>
      </c>
      <c r="D52" s="566">
        <f>D41</f>
        <v>195.6</v>
      </c>
      <c r="E52" s="566">
        <f>E41</f>
        <v>195.6</v>
      </c>
      <c r="F52" s="565">
        <f t="shared" si="4"/>
        <v>100</v>
      </c>
      <c r="G52" s="565">
        <f t="shared" si="4"/>
        <v>100</v>
      </c>
      <c r="H52" s="793">
        <f>H41</f>
        <v>0</v>
      </c>
      <c r="I52" s="793">
        <f t="shared" ref="I52:AE52" si="6">I41</f>
        <v>0</v>
      </c>
      <c r="J52" s="793">
        <f t="shared" si="6"/>
        <v>0</v>
      </c>
      <c r="K52" s="793">
        <f t="shared" si="6"/>
        <v>0</v>
      </c>
      <c r="L52" s="795">
        <f t="shared" si="6"/>
        <v>97.8</v>
      </c>
      <c r="M52" s="795">
        <f t="shared" si="6"/>
        <v>97.8</v>
      </c>
      <c r="N52" s="795">
        <f t="shared" si="6"/>
        <v>0</v>
      </c>
      <c r="O52" s="795">
        <f t="shared" si="6"/>
        <v>0</v>
      </c>
      <c r="P52" s="795">
        <f t="shared" si="6"/>
        <v>0</v>
      </c>
      <c r="Q52" s="795">
        <f t="shared" si="6"/>
        <v>0</v>
      </c>
      <c r="R52" s="795">
        <f t="shared" si="6"/>
        <v>0</v>
      </c>
      <c r="S52" s="795">
        <f t="shared" si="6"/>
        <v>0</v>
      </c>
      <c r="T52" s="795">
        <f t="shared" si="6"/>
        <v>0</v>
      </c>
      <c r="U52" s="795">
        <f t="shared" si="6"/>
        <v>0</v>
      </c>
      <c r="V52" s="795">
        <f t="shared" si="6"/>
        <v>0</v>
      </c>
      <c r="W52" s="795">
        <f t="shared" si="6"/>
        <v>0</v>
      </c>
      <c r="X52" s="795">
        <f t="shared" si="6"/>
        <v>0</v>
      </c>
      <c r="Y52" s="795">
        <f t="shared" si="6"/>
        <v>0</v>
      </c>
      <c r="Z52" s="795">
        <f t="shared" si="6"/>
        <v>97.8</v>
      </c>
      <c r="AA52" s="795">
        <f t="shared" si="6"/>
        <v>97.8</v>
      </c>
      <c r="AB52" s="795">
        <f t="shared" si="6"/>
        <v>0</v>
      </c>
      <c r="AC52" s="795">
        <f t="shared" si="6"/>
        <v>0</v>
      </c>
      <c r="AD52" s="795">
        <f t="shared" si="6"/>
        <v>0</v>
      </c>
      <c r="AE52" s="795">
        <f t="shared" si="6"/>
        <v>0</v>
      </c>
      <c r="AF52" s="952"/>
    </row>
    <row r="53" spans="1:32" ht="18.75" x14ac:dyDescent="0.3">
      <c r="A53" s="75" t="s">
        <v>33</v>
      </c>
      <c r="B53" s="57">
        <f>B11+B14+B17+B20+B26+B42+B46+B49</f>
        <v>766.2</v>
      </c>
      <c r="C53" s="566">
        <f>C11+C14+C17+C20+C26+C42+C46+C49</f>
        <v>765.7</v>
      </c>
      <c r="D53" s="566">
        <f>D11+D14+D17+D20+D26+D42+D46+D49</f>
        <v>765.7</v>
      </c>
      <c r="E53" s="566">
        <f>E11+E14+E17+E20+E26+E42+E46+E49</f>
        <v>765.7</v>
      </c>
      <c r="F53" s="992">
        <f t="shared" si="4"/>
        <v>99.934742886974675</v>
      </c>
      <c r="G53" s="565">
        <f t="shared" si="4"/>
        <v>100</v>
      </c>
      <c r="H53" s="793">
        <f>H11+H14+H17+H20+H26+H42+H46+H49</f>
        <v>0</v>
      </c>
      <c r="I53" s="793">
        <f t="shared" ref="I53:AE53" si="7">I11+I14+I17+I20+I26+I42+I46+I49</f>
        <v>0</v>
      </c>
      <c r="J53" s="793">
        <f t="shared" si="7"/>
        <v>0</v>
      </c>
      <c r="K53" s="793">
        <f t="shared" si="7"/>
        <v>0</v>
      </c>
      <c r="L53" s="795">
        <f t="shared" si="7"/>
        <v>252.2</v>
      </c>
      <c r="M53" s="795">
        <f t="shared" si="7"/>
        <v>25</v>
      </c>
      <c r="N53" s="795">
        <f t="shared" si="7"/>
        <v>0</v>
      </c>
      <c r="O53" s="795">
        <f t="shared" si="7"/>
        <v>27.2</v>
      </c>
      <c r="P53" s="795">
        <f t="shared" si="7"/>
        <v>0</v>
      </c>
      <c r="Q53" s="795">
        <f t="shared" si="7"/>
        <v>200</v>
      </c>
      <c r="R53" s="795">
        <f t="shared" si="7"/>
        <v>0</v>
      </c>
      <c r="S53" s="795">
        <f t="shared" si="7"/>
        <v>0</v>
      </c>
      <c r="T53" s="795">
        <f t="shared" si="7"/>
        <v>0</v>
      </c>
      <c r="U53" s="795">
        <f t="shared" si="7"/>
        <v>0</v>
      </c>
      <c r="V53" s="795">
        <f t="shared" si="7"/>
        <v>0</v>
      </c>
      <c r="W53" s="795">
        <f t="shared" si="7"/>
        <v>0</v>
      </c>
      <c r="X53" s="795">
        <f t="shared" si="7"/>
        <v>0</v>
      </c>
      <c r="Y53" s="795">
        <f t="shared" si="7"/>
        <v>0</v>
      </c>
      <c r="Z53" s="795">
        <f t="shared" si="7"/>
        <v>204.2</v>
      </c>
      <c r="AA53" s="795">
        <f t="shared" si="7"/>
        <v>63.7</v>
      </c>
      <c r="AB53" s="795">
        <f t="shared" si="7"/>
        <v>309.8</v>
      </c>
      <c r="AC53" s="795">
        <f t="shared" si="7"/>
        <v>353.8</v>
      </c>
      <c r="AD53" s="795">
        <f t="shared" si="7"/>
        <v>0</v>
      </c>
      <c r="AE53" s="795">
        <f t="shared" si="7"/>
        <v>96</v>
      </c>
      <c r="AF53" s="952"/>
    </row>
    <row r="54" spans="1:32" ht="37.5" x14ac:dyDescent="0.3">
      <c r="A54" s="82" t="s">
        <v>130</v>
      </c>
      <c r="B54" s="57">
        <f>B43</f>
        <v>456.4</v>
      </c>
      <c r="C54" s="566">
        <f>C43</f>
        <v>455.9</v>
      </c>
      <c r="D54" s="566">
        <f>D43</f>
        <v>455.9</v>
      </c>
      <c r="E54" s="566">
        <f>E43</f>
        <v>455.9</v>
      </c>
      <c r="F54" s="992">
        <f t="shared" si="4"/>
        <v>99.890446976336548</v>
      </c>
      <c r="G54" s="565">
        <f t="shared" si="4"/>
        <v>100</v>
      </c>
      <c r="H54" s="793">
        <f>H43</f>
        <v>0</v>
      </c>
      <c r="I54" s="793">
        <f t="shared" ref="I54:AE54" si="8">I43</f>
        <v>0</v>
      </c>
      <c r="J54" s="793">
        <f t="shared" si="8"/>
        <v>0</v>
      </c>
      <c r="K54" s="793">
        <f t="shared" si="8"/>
        <v>0</v>
      </c>
      <c r="L54" s="795">
        <f t="shared" si="8"/>
        <v>228.2</v>
      </c>
      <c r="M54" s="795">
        <f t="shared" si="8"/>
        <v>25</v>
      </c>
      <c r="N54" s="795">
        <f t="shared" si="8"/>
        <v>0</v>
      </c>
      <c r="O54" s="795">
        <f t="shared" si="8"/>
        <v>27.2</v>
      </c>
      <c r="P54" s="795">
        <f t="shared" si="8"/>
        <v>0</v>
      </c>
      <c r="Q54" s="795">
        <f t="shared" si="8"/>
        <v>200</v>
      </c>
      <c r="R54" s="795">
        <f t="shared" si="8"/>
        <v>0</v>
      </c>
      <c r="S54" s="795">
        <f t="shared" si="8"/>
        <v>0</v>
      </c>
      <c r="T54" s="795">
        <f t="shared" si="8"/>
        <v>0</v>
      </c>
      <c r="U54" s="795">
        <f t="shared" si="8"/>
        <v>0</v>
      </c>
      <c r="V54" s="795">
        <f t="shared" si="8"/>
        <v>0</v>
      </c>
      <c r="W54" s="795">
        <f t="shared" si="8"/>
        <v>0</v>
      </c>
      <c r="X54" s="795">
        <f t="shared" si="8"/>
        <v>0</v>
      </c>
      <c r="Y54" s="795">
        <f t="shared" si="8"/>
        <v>0</v>
      </c>
      <c r="Z54" s="795">
        <f t="shared" si="8"/>
        <v>228.2</v>
      </c>
      <c r="AA54" s="795">
        <f t="shared" si="8"/>
        <v>63.7</v>
      </c>
      <c r="AB54" s="795">
        <f t="shared" si="8"/>
        <v>0</v>
      </c>
      <c r="AC54" s="795">
        <f t="shared" si="8"/>
        <v>140</v>
      </c>
      <c r="AD54" s="795">
        <f t="shared" si="8"/>
        <v>0</v>
      </c>
      <c r="AE54" s="795">
        <f t="shared" si="8"/>
        <v>0</v>
      </c>
      <c r="AF54" s="952"/>
    </row>
    <row r="55" spans="1:32" ht="37.5" x14ac:dyDescent="0.3">
      <c r="A55" s="85" t="s">
        <v>72</v>
      </c>
      <c r="B55" s="88"/>
      <c r="C55" s="566"/>
      <c r="D55" s="566"/>
      <c r="E55" s="566"/>
      <c r="F55" s="566"/>
      <c r="G55" s="566"/>
      <c r="H55" s="793"/>
      <c r="I55" s="793"/>
      <c r="J55" s="793"/>
      <c r="K55" s="793"/>
      <c r="L55" s="952"/>
      <c r="M55" s="952"/>
      <c r="N55" s="952"/>
      <c r="O55" s="952"/>
      <c r="P55" s="952"/>
      <c r="Q55" s="952"/>
      <c r="R55" s="952"/>
      <c r="S55" s="952"/>
      <c r="T55" s="952"/>
      <c r="U55" s="952"/>
      <c r="V55" s="952"/>
      <c r="W55" s="952"/>
      <c r="X55" s="952"/>
      <c r="Y55" s="952"/>
      <c r="Z55" s="952"/>
      <c r="AA55" s="952"/>
      <c r="AB55" s="952"/>
      <c r="AC55" s="952"/>
      <c r="AD55" s="952"/>
      <c r="AE55" s="952"/>
      <c r="AF55" s="952"/>
    </row>
    <row r="56" spans="1:32" ht="18.75" x14ac:dyDescent="0.3">
      <c r="A56" s="86" t="s">
        <v>31</v>
      </c>
      <c r="B56" s="57">
        <f>B57+B58</f>
        <v>961.80000000000007</v>
      </c>
      <c r="C56" s="566">
        <f>C57+C58</f>
        <v>961.30000000000007</v>
      </c>
      <c r="D56" s="566">
        <f>D57+D58</f>
        <v>961.30000000000007</v>
      </c>
      <c r="E56" s="566">
        <f>E57+E58</f>
        <v>961.30000000000007</v>
      </c>
      <c r="F56" s="992">
        <f>E56/B56*100</f>
        <v>99.948014140153873</v>
      </c>
      <c r="G56" s="565">
        <f>E56/C56*100</f>
        <v>100</v>
      </c>
      <c r="H56" s="793">
        <f>H57+H58</f>
        <v>0</v>
      </c>
      <c r="I56" s="793">
        <f t="shared" ref="I56:AE56" si="9">I57+I58</f>
        <v>0</v>
      </c>
      <c r="J56" s="793">
        <f t="shared" si="9"/>
        <v>0</v>
      </c>
      <c r="K56" s="793">
        <f t="shared" si="9"/>
        <v>0</v>
      </c>
      <c r="L56" s="795">
        <f t="shared" si="9"/>
        <v>350</v>
      </c>
      <c r="M56" s="795">
        <f t="shared" si="9"/>
        <v>122.8</v>
      </c>
      <c r="N56" s="795">
        <f t="shared" si="9"/>
        <v>0</v>
      </c>
      <c r="O56" s="795">
        <f t="shared" si="9"/>
        <v>27.2</v>
      </c>
      <c r="P56" s="795">
        <f t="shared" si="9"/>
        <v>0</v>
      </c>
      <c r="Q56" s="795">
        <f t="shared" si="9"/>
        <v>200</v>
      </c>
      <c r="R56" s="795">
        <f t="shared" si="9"/>
        <v>0</v>
      </c>
      <c r="S56" s="795">
        <f t="shared" si="9"/>
        <v>0</v>
      </c>
      <c r="T56" s="795">
        <f t="shared" si="9"/>
        <v>0</v>
      </c>
      <c r="U56" s="795">
        <f t="shared" si="9"/>
        <v>0</v>
      </c>
      <c r="V56" s="795">
        <f t="shared" si="9"/>
        <v>0</v>
      </c>
      <c r="W56" s="795">
        <f t="shared" si="9"/>
        <v>0</v>
      </c>
      <c r="X56" s="795">
        <f t="shared" si="9"/>
        <v>0</v>
      </c>
      <c r="Y56" s="795">
        <f t="shared" si="9"/>
        <v>0</v>
      </c>
      <c r="Z56" s="795">
        <f t="shared" si="9"/>
        <v>302</v>
      </c>
      <c r="AA56" s="795">
        <f t="shared" si="9"/>
        <v>161.5</v>
      </c>
      <c r="AB56" s="795">
        <f t="shared" si="9"/>
        <v>309.8</v>
      </c>
      <c r="AC56" s="795">
        <f t="shared" si="9"/>
        <v>353.8</v>
      </c>
      <c r="AD56" s="795">
        <f t="shared" si="9"/>
        <v>0</v>
      </c>
      <c r="AE56" s="795">
        <f t="shared" si="9"/>
        <v>96</v>
      </c>
      <c r="AF56" s="952"/>
    </row>
    <row r="57" spans="1:32" ht="18.75" x14ac:dyDescent="0.3">
      <c r="A57" s="80" t="s">
        <v>97</v>
      </c>
      <c r="B57" s="57">
        <f t="shared" ref="B57:E59" si="10">B52</f>
        <v>195.6</v>
      </c>
      <c r="C57" s="566">
        <f t="shared" si="10"/>
        <v>195.6</v>
      </c>
      <c r="D57" s="566">
        <f t="shared" si="10"/>
        <v>195.6</v>
      </c>
      <c r="E57" s="566">
        <f t="shared" si="10"/>
        <v>195.6</v>
      </c>
      <c r="F57" s="565">
        <f>E57/B57*100</f>
        <v>100</v>
      </c>
      <c r="G57" s="565">
        <f>E57/C57*100</f>
        <v>100</v>
      </c>
      <c r="H57" s="793">
        <f>H52</f>
        <v>0</v>
      </c>
      <c r="I57" s="793">
        <f t="shared" ref="I57:AE57" si="11">I52</f>
        <v>0</v>
      </c>
      <c r="J57" s="793">
        <f t="shared" si="11"/>
        <v>0</v>
      </c>
      <c r="K57" s="793">
        <f t="shared" si="11"/>
        <v>0</v>
      </c>
      <c r="L57" s="795">
        <f t="shared" si="11"/>
        <v>97.8</v>
      </c>
      <c r="M57" s="795">
        <f t="shared" si="11"/>
        <v>97.8</v>
      </c>
      <c r="N57" s="795">
        <f t="shared" si="11"/>
        <v>0</v>
      </c>
      <c r="O57" s="795">
        <f t="shared" si="11"/>
        <v>0</v>
      </c>
      <c r="P57" s="795">
        <f t="shared" si="11"/>
        <v>0</v>
      </c>
      <c r="Q57" s="795">
        <f t="shared" si="11"/>
        <v>0</v>
      </c>
      <c r="R57" s="795">
        <f t="shared" si="11"/>
        <v>0</v>
      </c>
      <c r="S57" s="795">
        <f t="shared" si="11"/>
        <v>0</v>
      </c>
      <c r="T57" s="795">
        <f t="shared" si="11"/>
        <v>0</v>
      </c>
      <c r="U57" s="795">
        <f t="shared" si="11"/>
        <v>0</v>
      </c>
      <c r="V57" s="795">
        <f t="shared" si="11"/>
        <v>0</v>
      </c>
      <c r="W57" s="795">
        <f t="shared" si="11"/>
        <v>0</v>
      </c>
      <c r="X57" s="795">
        <f t="shared" si="11"/>
        <v>0</v>
      </c>
      <c r="Y57" s="795">
        <f t="shared" si="11"/>
        <v>0</v>
      </c>
      <c r="Z57" s="795">
        <f t="shared" si="11"/>
        <v>97.8</v>
      </c>
      <c r="AA57" s="795">
        <f t="shared" si="11"/>
        <v>97.8</v>
      </c>
      <c r="AB57" s="795">
        <f t="shared" si="11"/>
        <v>0</v>
      </c>
      <c r="AC57" s="795">
        <f t="shared" si="11"/>
        <v>0</v>
      </c>
      <c r="AD57" s="795">
        <f t="shared" si="11"/>
        <v>0</v>
      </c>
      <c r="AE57" s="795">
        <f t="shared" si="11"/>
        <v>0</v>
      </c>
      <c r="AF57" s="952"/>
    </row>
    <row r="58" spans="1:32" ht="18.75" x14ac:dyDescent="0.3">
      <c r="A58" s="75" t="s">
        <v>33</v>
      </c>
      <c r="B58" s="57">
        <f t="shared" si="10"/>
        <v>766.2</v>
      </c>
      <c r="C58" s="566">
        <f t="shared" si="10"/>
        <v>765.7</v>
      </c>
      <c r="D58" s="566">
        <f t="shared" si="10"/>
        <v>765.7</v>
      </c>
      <c r="E58" s="566">
        <f t="shared" si="10"/>
        <v>765.7</v>
      </c>
      <c r="F58" s="992">
        <f>E58/B58*100</f>
        <v>99.934742886974675</v>
      </c>
      <c r="G58" s="565">
        <f>E58/C58*100</f>
        <v>100</v>
      </c>
      <c r="H58" s="793">
        <f>H53</f>
        <v>0</v>
      </c>
      <c r="I58" s="793">
        <f t="shared" ref="I58:AE58" si="12">I53</f>
        <v>0</v>
      </c>
      <c r="J58" s="793">
        <f t="shared" si="12"/>
        <v>0</v>
      </c>
      <c r="K58" s="793">
        <f t="shared" si="12"/>
        <v>0</v>
      </c>
      <c r="L58" s="795">
        <f t="shared" si="12"/>
        <v>252.2</v>
      </c>
      <c r="M58" s="795">
        <f t="shared" si="12"/>
        <v>25</v>
      </c>
      <c r="N58" s="795">
        <f t="shared" si="12"/>
        <v>0</v>
      </c>
      <c r="O58" s="795">
        <f t="shared" si="12"/>
        <v>27.2</v>
      </c>
      <c r="P58" s="795">
        <f t="shared" si="12"/>
        <v>0</v>
      </c>
      <c r="Q58" s="795">
        <f t="shared" si="12"/>
        <v>200</v>
      </c>
      <c r="R58" s="795">
        <f t="shared" si="12"/>
        <v>0</v>
      </c>
      <c r="S58" s="795">
        <f t="shared" si="12"/>
        <v>0</v>
      </c>
      <c r="T58" s="795">
        <f t="shared" si="12"/>
        <v>0</v>
      </c>
      <c r="U58" s="795">
        <f t="shared" si="12"/>
        <v>0</v>
      </c>
      <c r="V58" s="795">
        <f t="shared" si="12"/>
        <v>0</v>
      </c>
      <c r="W58" s="795">
        <f t="shared" si="12"/>
        <v>0</v>
      </c>
      <c r="X58" s="795">
        <f t="shared" si="12"/>
        <v>0</v>
      </c>
      <c r="Y58" s="795">
        <f t="shared" si="12"/>
        <v>0</v>
      </c>
      <c r="Z58" s="795">
        <f t="shared" si="12"/>
        <v>204.2</v>
      </c>
      <c r="AA58" s="795">
        <f t="shared" si="12"/>
        <v>63.7</v>
      </c>
      <c r="AB58" s="795">
        <f t="shared" si="12"/>
        <v>309.8</v>
      </c>
      <c r="AC58" s="795">
        <f t="shared" si="12"/>
        <v>353.8</v>
      </c>
      <c r="AD58" s="795">
        <f t="shared" si="12"/>
        <v>0</v>
      </c>
      <c r="AE58" s="795">
        <f t="shared" si="12"/>
        <v>96</v>
      </c>
      <c r="AF58" s="952"/>
    </row>
    <row r="59" spans="1:32" ht="37.5" x14ac:dyDescent="0.3">
      <c r="A59" s="82" t="s">
        <v>130</v>
      </c>
      <c r="B59" s="57">
        <f t="shared" si="10"/>
        <v>456.4</v>
      </c>
      <c r="C59" s="566">
        <f t="shared" si="10"/>
        <v>455.9</v>
      </c>
      <c r="D59" s="566">
        <f t="shared" si="10"/>
        <v>455.9</v>
      </c>
      <c r="E59" s="566">
        <f t="shared" si="10"/>
        <v>455.9</v>
      </c>
      <c r="F59" s="992">
        <f>E59/B59*100</f>
        <v>99.890446976336548</v>
      </c>
      <c r="G59" s="565">
        <f>E59/C59*100</f>
        <v>100</v>
      </c>
      <c r="H59" s="793">
        <f>H54</f>
        <v>0</v>
      </c>
      <c r="I59" s="793">
        <f t="shared" ref="I59:AE59" si="13">I54</f>
        <v>0</v>
      </c>
      <c r="J59" s="793">
        <f t="shared" si="13"/>
        <v>0</v>
      </c>
      <c r="K59" s="793">
        <f t="shared" si="13"/>
        <v>0</v>
      </c>
      <c r="L59" s="795">
        <f t="shared" si="13"/>
        <v>228.2</v>
      </c>
      <c r="M59" s="795">
        <f t="shared" si="13"/>
        <v>25</v>
      </c>
      <c r="N59" s="795">
        <f t="shared" si="13"/>
        <v>0</v>
      </c>
      <c r="O59" s="795">
        <f t="shared" si="13"/>
        <v>27.2</v>
      </c>
      <c r="P59" s="795">
        <f t="shared" si="13"/>
        <v>0</v>
      </c>
      <c r="Q59" s="795">
        <f t="shared" si="13"/>
        <v>200</v>
      </c>
      <c r="R59" s="795">
        <f t="shared" si="13"/>
        <v>0</v>
      </c>
      <c r="S59" s="795">
        <f t="shared" si="13"/>
        <v>0</v>
      </c>
      <c r="T59" s="795">
        <f t="shared" si="13"/>
        <v>0</v>
      </c>
      <c r="U59" s="795">
        <f t="shared" si="13"/>
        <v>0</v>
      </c>
      <c r="V59" s="795">
        <f t="shared" si="13"/>
        <v>0</v>
      </c>
      <c r="W59" s="795">
        <f t="shared" si="13"/>
        <v>0</v>
      </c>
      <c r="X59" s="795">
        <f t="shared" si="13"/>
        <v>0</v>
      </c>
      <c r="Y59" s="795">
        <f t="shared" si="13"/>
        <v>0</v>
      </c>
      <c r="Z59" s="795">
        <f t="shared" si="13"/>
        <v>228.2</v>
      </c>
      <c r="AA59" s="795">
        <f t="shared" si="13"/>
        <v>63.7</v>
      </c>
      <c r="AB59" s="795">
        <f t="shared" si="13"/>
        <v>0</v>
      </c>
      <c r="AC59" s="795">
        <f t="shared" si="13"/>
        <v>140</v>
      </c>
      <c r="AD59" s="795">
        <f t="shared" si="13"/>
        <v>0</v>
      </c>
      <c r="AE59" s="795">
        <f t="shared" si="13"/>
        <v>0</v>
      </c>
      <c r="AF59" s="952"/>
    </row>
    <row r="60" spans="1:32" s="616" customFormat="1" ht="131.25" x14ac:dyDescent="0.3">
      <c r="A60" s="50" t="s">
        <v>146</v>
      </c>
      <c r="B60" s="952"/>
      <c r="C60" s="793"/>
      <c r="D60" s="793"/>
      <c r="E60" s="793"/>
      <c r="F60" s="793"/>
      <c r="G60" s="793"/>
      <c r="H60" s="793"/>
      <c r="I60" s="793"/>
      <c r="J60" s="793"/>
      <c r="K60" s="793"/>
      <c r="L60" s="952"/>
      <c r="M60" s="952"/>
      <c r="N60" s="952"/>
      <c r="O60" s="952"/>
      <c r="P60" s="952"/>
      <c r="Q60" s="952"/>
      <c r="R60" s="952"/>
      <c r="S60" s="952"/>
      <c r="T60" s="952"/>
      <c r="U60" s="952"/>
      <c r="V60" s="952"/>
      <c r="W60" s="952"/>
      <c r="X60" s="952"/>
      <c r="Y60" s="952"/>
      <c r="Z60" s="952"/>
      <c r="AA60" s="952"/>
      <c r="AB60" s="952"/>
      <c r="AC60" s="952"/>
      <c r="AD60" s="952"/>
      <c r="AE60" s="952"/>
      <c r="AF60" s="952"/>
    </row>
    <row r="61" spans="1:32" ht="18.75" x14ac:dyDescent="0.3">
      <c r="A61" s="15" t="s">
        <v>54</v>
      </c>
      <c r="B61" s="88"/>
      <c r="C61" s="566"/>
      <c r="D61" s="566"/>
      <c r="E61" s="566"/>
      <c r="F61" s="566"/>
      <c r="G61" s="566"/>
      <c r="H61" s="793"/>
      <c r="I61" s="793"/>
      <c r="J61" s="793"/>
      <c r="K61" s="793"/>
      <c r="L61" s="952"/>
      <c r="M61" s="952"/>
      <c r="N61" s="952"/>
      <c r="O61" s="952"/>
      <c r="P61" s="952"/>
      <c r="Q61" s="952"/>
      <c r="R61" s="952"/>
      <c r="S61" s="952"/>
      <c r="T61" s="952"/>
      <c r="U61" s="952"/>
      <c r="V61" s="952"/>
      <c r="W61" s="952"/>
      <c r="X61" s="952"/>
      <c r="Y61" s="952"/>
      <c r="Z61" s="952"/>
      <c r="AA61" s="952"/>
      <c r="AB61" s="952"/>
      <c r="AC61" s="952"/>
      <c r="AD61" s="952"/>
      <c r="AE61" s="952"/>
      <c r="AF61" s="952"/>
    </row>
    <row r="62" spans="1:32" ht="37.5" x14ac:dyDescent="0.3">
      <c r="A62" s="83" t="s">
        <v>147</v>
      </c>
      <c r="B62" s="57"/>
      <c r="C62" s="566"/>
      <c r="D62" s="566"/>
      <c r="E62" s="566"/>
      <c r="F62" s="566"/>
      <c r="G62" s="566"/>
      <c r="H62" s="793"/>
      <c r="I62" s="793"/>
      <c r="J62" s="793"/>
      <c r="K62" s="793"/>
      <c r="L62" s="952"/>
      <c r="M62" s="952"/>
      <c r="N62" s="952"/>
      <c r="O62" s="952"/>
      <c r="P62" s="952"/>
      <c r="Q62" s="952"/>
      <c r="R62" s="952"/>
      <c r="S62" s="952"/>
      <c r="T62" s="952"/>
      <c r="U62" s="952"/>
      <c r="V62" s="952"/>
      <c r="W62" s="952"/>
      <c r="X62" s="952"/>
      <c r="Y62" s="952"/>
      <c r="Z62" s="952"/>
      <c r="AA62" s="952"/>
      <c r="AB62" s="952"/>
      <c r="AC62" s="952"/>
      <c r="AD62" s="952"/>
      <c r="AE62" s="952"/>
      <c r="AF62" s="952"/>
    </row>
    <row r="63" spans="1:32" ht="18.75" x14ac:dyDescent="0.3">
      <c r="A63" s="80" t="s">
        <v>31</v>
      </c>
      <c r="B63" s="47">
        <f>B64</f>
        <v>89</v>
      </c>
      <c r="C63" s="565">
        <f>C64</f>
        <v>89</v>
      </c>
      <c r="D63" s="565">
        <f>D64</f>
        <v>89</v>
      </c>
      <c r="E63" s="565">
        <f>E64</f>
        <v>89</v>
      </c>
      <c r="F63" s="565">
        <f>E63/B63*100</f>
        <v>100</v>
      </c>
      <c r="G63" s="565">
        <f>E63/C63*100</f>
        <v>100</v>
      </c>
      <c r="H63" s="565">
        <f>H64</f>
        <v>0</v>
      </c>
      <c r="I63" s="565">
        <f t="shared" ref="I63:AE63" si="14">I64</f>
        <v>0</v>
      </c>
      <c r="J63" s="565">
        <f t="shared" si="14"/>
        <v>0</v>
      </c>
      <c r="K63" s="565">
        <f t="shared" si="14"/>
        <v>0</v>
      </c>
      <c r="L63" s="47">
        <f t="shared" si="14"/>
        <v>80</v>
      </c>
      <c r="M63" s="47">
        <f t="shared" si="14"/>
        <v>0</v>
      </c>
      <c r="N63" s="47">
        <v>0</v>
      </c>
      <c r="O63" s="47">
        <v>80</v>
      </c>
      <c r="P63" s="47">
        <v>0</v>
      </c>
      <c r="Q63" s="47">
        <v>0</v>
      </c>
      <c r="R63" s="47">
        <f t="shared" si="14"/>
        <v>0</v>
      </c>
      <c r="S63" s="47">
        <f t="shared" si="14"/>
        <v>0</v>
      </c>
      <c r="T63" s="47">
        <f t="shared" si="14"/>
        <v>0</v>
      </c>
      <c r="U63" s="47">
        <f t="shared" si="14"/>
        <v>0</v>
      </c>
      <c r="V63" s="47">
        <f t="shared" si="14"/>
        <v>0</v>
      </c>
      <c r="W63" s="47">
        <f t="shared" si="14"/>
        <v>0</v>
      </c>
      <c r="X63" s="47">
        <f t="shared" si="14"/>
        <v>9</v>
      </c>
      <c r="Y63" s="47">
        <f t="shared" si="14"/>
        <v>9</v>
      </c>
      <c r="Z63" s="47">
        <f t="shared" si="14"/>
        <v>0</v>
      </c>
      <c r="AA63" s="47">
        <f t="shared" si="14"/>
        <v>0</v>
      </c>
      <c r="AB63" s="47">
        <f t="shared" si="14"/>
        <v>0</v>
      </c>
      <c r="AC63" s="47">
        <f t="shared" si="14"/>
        <v>0</v>
      </c>
      <c r="AD63" s="47">
        <f t="shared" si="14"/>
        <v>0</v>
      </c>
      <c r="AE63" s="47">
        <f t="shared" si="14"/>
        <v>0</v>
      </c>
      <c r="AF63" s="952"/>
    </row>
    <row r="64" spans="1:32" ht="18.75" x14ac:dyDescent="0.3">
      <c r="A64" s="80" t="s">
        <v>33</v>
      </c>
      <c r="B64" s="47">
        <f>B67+B70+B73+B76+B79</f>
        <v>89</v>
      </c>
      <c r="C64" s="565">
        <f>C67+C70+C73+C76+C79</f>
        <v>89</v>
      </c>
      <c r="D64" s="565">
        <f>D67+D70+D73+D76+D79</f>
        <v>89</v>
      </c>
      <c r="E64" s="565">
        <f>E67+E70+E73+E76+E79</f>
        <v>89</v>
      </c>
      <c r="F64" s="565">
        <f>E64/B64*100</f>
        <v>100</v>
      </c>
      <c r="G64" s="565">
        <f>E64/C64*100</f>
        <v>100</v>
      </c>
      <c r="H64" s="565">
        <f t="shared" ref="H64:O64" si="15">H67+H70+H73+H76+H79</f>
        <v>0</v>
      </c>
      <c r="I64" s="565">
        <f t="shared" si="15"/>
        <v>0</v>
      </c>
      <c r="J64" s="565">
        <f t="shared" si="15"/>
        <v>0</v>
      </c>
      <c r="K64" s="565">
        <f t="shared" si="15"/>
        <v>0</v>
      </c>
      <c r="L64" s="47">
        <f t="shared" si="15"/>
        <v>80</v>
      </c>
      <c r="M64" s="47">
        <f t="shared" si="15"/>
        <v>0</v>
      </c>
      <c r="N64" s="47">
        <f t="shared" si="15"/>
        <v>0</v>
      </c>
      <c r="O64" s="47">
        <f t="shared" si="15"/>
        <v>80</v>
      </c>
      <c r="P64" s="47">
        <f t="shared" ref="P64:AE64" si="16">P67+P70+P73+P76+P79</f>
        <v>0</v>
      </c>
      <c r="Q64" s="47">
        <f t="shared" si="16"/>
        <v>0</v>
      </c>
      <c r="R64" s="47">
        <f t="shared" si="16"/>
        <v>0</v>
      </c>
      <c r="S64" s="47">
        <f t="shared" si="16"/>
        <v>0</v>
      </c>
      <c r="T64" s="47">
        <f t="shared" si="16"/>
        <v>0</v>
      </c>
      <c r="U64" s="47">
        <f t="shared" si="16"/>
        <v>0</v>
      </c>
      <c r="V64" s="47">
        <f t="shared" si="16"/>
        <v>0</v>
      </c>
      <c r="W64" s="47">
        <f t="shared" si="16"/>
        <v>0</v>
      </c>
      <c r="X64" s="47">
        <f>X67+X70+X73+X76+X79</f>
        <v>9</v>
      </c>
      <c r="Y64" s="47">
        <f t="shared" si="16"/>
        <v>9</v>
      </c>
      <c r="Z64" s="47">
        <f t="shared" si="16"/>
        <v>0</v>
      </c>
      <c r="AA64" s="47">
        <f t="shared" si="16"/>
        <v>0</v>
      </c>
      <c r="AB64" s="47">
        <f t="shared" si="16"/>
        <v>0</v>
      </c>
      <c r="AC64" s="47">
        <f t="shared" si="16"/>
        <v>0</v>
      </c>
      <c r="AD64" s="47">
        <f t="shared" si="16"/>
        <v>0</v>
      </c>
      <c r="AE64" s="47">
        <f t="shared" si="16"/>
        <v>0</v>
      </c>
      <c r="AF64" s="952"/>
    </row>
    <row r="65" spans="1:32" ht="243.75" hidden="1" x14ac:dyDescent="0.3">
      <c r="A65" s="84" t="s">
        <v>148</v>
      </c>
      <c r="B65" s="88"/>
      <c r="C65" s="566"/>
      <c r="D65" s="566"/>
      <c r="E65" s="566"/>
      <c r="F65" s="566"/>
      <c r="G65" s="566"/>
      <c r="H65" s="793"/>
      <c r="I65" s="793"/>
      <c r="J65" s="793"/>
      <c r="K65" s="793"/>
      <c r="L65" s="952"/>
      <c r="M65" s="952"/>
      <c r="N65" s="952"/>
      <c r="O65" s="952"/>
      <c r="P65" s="952"/>
      <c r="Q65" s="952"/>
      <c r="R65" s="952"/>
      <c r="S65" s="952"/>
      <c r="T65" s="952"/>
      <c r="U65" s="952"/>
      <c r="V65" s="952"/>
      <c r="W65" s="952"/>
      <c r="X65" s="952"/>
      <c r="Y65" s="952"/>
      <c r="Z65" s="952"/>
      <c r="AA65" s="952"/>
      <c r="AB65" s="952"/>
      <c r="AC65" s="952"/>
      <c r="AD65" s="952"/>
      <c r="AE65" s="952"/>
      <c r="AF65" s="952"/>
    </row>
    <row r="66" spans="1:32" ht="18.75" hidden="1" x14ac:dyDescent="0.3">
      <c r="A66" s="80" t="s">
        <v>31</v>
      </c>
      <c r="B66" s="47">
        <f>B67</f>
        <v>0</v>
      </c>
      <c r="C66" s="565">
        <f>C67</f>
        <v>0</v>
      </c>
      <c r="D66" s="565">
        <f>D67</f>
        <v>0</v>
      </c>
      <c r="E66" s="565">
        <f>E67</f>
        <v>0</v>
      </c>
      <c r="F66" s="565" t="e">
        <f>E66/B66*100</f>
        <v>#DIV/0!</v>
      </c>
      <c r="G66" s="565" t="e">
        <f>E66/C66*100</f>
        <v>#DIV/0!</v>
      </c>
      <c r="H66" s="793"/>
      <c r="I66" s="793"/>
      <c r="J66" s="793"/>
      <c r="K66" s="793"/>
      <c r="L66" s="952"/>
      <c r="M66" s="952"/>
      <c r="N66" s="952"/>
      <c r="O66" s="952"/>
      <c r="P66" s="952"/>
      <c r="Q66" s="952"/>
      <c r="R66" s="952"/>
      <c r="S66" s="952"/>
      <c r="T66" s="952"/>
      <c r="U66" s="952"/>
      <c r="V66" s="952"/>
      <c r="W66" s="952"/>
      <c r="X66" s="952"/>
      <c r="Y66" s="952"/>
      <c r="Z66" s="952"/>
      <c r="AA66" s="952"/>
      <c r="AB66" s="952"/>
      <c r="AC66" s="952"/>
      <c r="AD66" s="952"/>
      <c r="AE66" s="952"/>
      <c r="AF66" s="952"/>
    </row>
    <row r="67" spans="1:32" ht="18.75" hidden="1" x14ac:dyDescent="0.3">
      <c r="A67" s="80" t="s">
        <v>33</v>
      </c>
      <c r="B67" s="47">
        <f>H67+J67+L67+N67+P67+R67+T67+V67+X67+Z67+AB67+AD67</f>
        <v>0</v>
      </c>
      <c r="C67" s="565">
        <f>H67</f>
        <v>0</v>
      </c>
      <c r="D67" s="565"/>
      <c r="E67" s="565">
        <f>I67</f>
        <v>0</v>
      </c>
      <c r="F67" s="565" t="e">
        <f>E67/B67*100</f>
        <v>#DIV/0!</v>
      </c>
      <c r="G67" s="565" t="e">
        <f>E67/C67*100</f>
        <v>#DIV/0!</v>
      </c>
      <c r="H67" s="793"/>
      <c r="I67" s="793"/>
      <c r="J67" s="793"/>
      <c r="K67" s="793"/>
      <c r="L67" s="952"/>
      <c r="M67" s="952"/>
      <c r="N67" s="952"/>
      <c r="O67" s="952"/>
      <c r="P67" s="952"/>
      <c r="Q67" s="952"/>
      <c r="R67" s="952"/>
      <c r="S67" s="952"/>
      <c r="T67" s="952"/>
      <c r="U67" s="952"/>
      <c r="V67" s="952"/>
      <c r="W67" s="952"/>
      <c r="X67" s="952"/>
      <c r="Y67" s="952"/>
      <c r="Z67" s="952"/>
      <c r="AA67" s="952"/>
      <c r="AB67" s="952"/>
      <c r="AC67" s="952"/>
      <c r="AD67" s="952"/>
      <c r="AE67" s="952"/>
      <c r="AF67" s="952"/>
    </row>
    <row r="68" spans="1:32" ht="112.5" x14ac:dyDescent="0.3">
      <c r="A68" s="80" t="s">
        <v>149</v>
      </c>
      <c r="B68" s="88"/>
      <c r="C68" s="566"/>
      <c r="D68" s="566"/>
      <c r="E68" s="566"/>
      <c r="F68" s="566"/>
      <c r="G68" s="566"/>
      <c r="H68" s="793"/>
      <c r="I68" s="793"/>
      <c r="J68" s="793"/>
      <c r="K68" s="793"/>
      <c r="L68" s="952"/>
      <c r="M68" s="952"/>
      <c r="N68" s="952"/>
      <c r="O68" s="952"/>
      <c r="P68" s="952"/>
      <c r="Q68" s="952"/>
      <c r="R68" s="952"/>
      <c r="S68" s="952"/>
      <c r="T68" s="952"/>
      <c r="U68" s="952"/>
      <c r="V68" s="952"/>
      <c r="W68" s="952"/>
      <c r="X68" s="952"/>
      <c r="Y68" s="952"/>
      <c r="Z68" s="952"/>
      <c r="AA68" s="952"/>
      <c r="AB68" s="952"/>
      <c r="AC68" s="952"/>
      <c r="AD68" s="952"/>
      <c r="AE68" s="952"/>
      <c r="AF68" s="952"/>
    </row>
    <row r="69" spans="1:32" ht="18.75" x14ac:dyDescent="0.3">
      <c r="A69" s="794" t="s">
        <v>31</v>
      </c>
      <c r="B69" s="795">
        <f>B70</f>
        <v>9</v>
      </c>
      <c r="C69" s="793">
        <f>C70</f>
        <v>9</v>
      </c>
      <c r="D69" s="793">
        <f>D70</f>
        <v>9</v>
      </c>
      <c r="E69" s="793">
        <f>E70</f>
        <v>9</v>
      </c>
      <c r="F69" s="565">
        <f>E69/B69*100</f>
        <v>100</v>
      </c>
      <c r="G69" s="565">
        <f>E69/C69*100</f>
        <v>100</v>
      </c>
      <c r="H69" s="793">
        <v>0</v>
      </c>
      <c r="I69" s="793">
        <v>0</v>
      </c>
      <c r="J69" s="793">
        <v>0</v>
      </c>
      <c r="K69" s="793">
        <v>0</v>
      </c>
      <c r="L69" s="795">
        <v>0</v>
      </c>
      <c r="M69" s="795">
        <v>0</v>
      </c>
      <c r="N69" s="795">
        <v>0</v>
      </c>
      <c r="O69" s="795">
        <v>0</v>
      </c>
      <c r="P69" s="795">
        <v>0</v>
      </c>
      <c r="Q69" s="795">
        <v>0</v>
      </c>
      <c r="R69" s="795">
        <v>0</v>
      </c>
      <c r="S69" s="795">
        <v>0</v>
      </c>
      <c r="T69" s="795">
        <v>0</v>
      </c>
      <c r="U69" s="795">
        <v>0</v>
      </c>
      <c r="V69" s="795">
        <v>0</v>
      </c>
      <c r="W69" s="795">
        <v>0</v>
      </c>
      <c r="X69" s="795">
        <v>9</v>
      </c>
      <c r="Y69" s="795">
        <v>9</v>
      </c>
      <c r="Z69" s="795">
        <v>0</v>
      </c>
      <c r="AA69" s="795">
        <v>0</v>
      </c>
      <c r="AB69" s="795">
        <v>0</v>
      </c>
      <c r="AC69" s="795">
        <v>0</v>
      </c>
      <c r="AD69" s="795">
        <v>0</v>
      </c>
      <c r="AE69" s="795">
        <v>0</v>
      </c>
      <c r="AF69" s="952"/>
    </row>
    <row r="70" spans="1:32" ht="18.75" x14ac:dyDescent="0.3">
      <c r="A70" s="691" t="s">
        <v>93</v>
      </c>
      <c r="B70" s="47">
        <f>H70+J70+L70+N70+P70+R70+T70+V70+X70+Z70+AB70+AD70</f>
        <v>9</v>
      </c>
      <c r="C70" s="565">
        <v>9</v>
      </c>
      <c r="D70" s="565">
        <v>9</v>
      </c>
      <c r="E70" s="565">
        <v>9</v>
      </c>
      <c r="F70" s="565">
        <f>E70/B70*100</f>
        <v>100</v>
      </c>
      <c r="G70" s="565">
        <f>E70/C70*100</f>
        <v>100</v>
      </c>
      <c r="H70" s="565">
        <v>0</v>
      </c>
      <c r="I70" s="565">
        <v>0</v>
      </c>
      <c r="J70" s="565">
        <v>0</v>
      </c>
      <c r="K70" s="565">
        <v>0</v>
      </c>
      <c r="L70" s="47">
        <v>0</v>
      </c>
      <c r="M70" s="47">
        <v>0</v>
      </c>
      <c r="N70" s="47">
        <v>0</v>
      </c>
      <c r="O70" s="47">
        <v>0</v>
      </c>
      <c r="P70" s="47">
        <v>0</v>
      </c>
      <c r="Q70" s="47">
        <v>0</v>
      </c>
      <c r="R70" s="47">
        <v>0</v>
      </c>
      <c r="S70" s="47">
        <v>0</v>
      </c>
      <c r="T70" s="47">
        <v>0</v>
      </c>
      <c r="U70" s="47">
        <v>0</v>
      </c>
      <c r="V70" s="47">
        <v>0</v>
      </c>
      <c r="W70" s="47">
        <v>0</v>
      </c>
      <c r="X70" s="47">
        <v>9</v>
      </c>
      <c r="Y70" s="47">
        <v>9</v>
      </c>
      <c r="Z70" s="47">
        <v>0</v>
      </c>
      <c r="AA70" s="47">
        <v>0</v>
      </c>
      <c r="AB70" s="47">
        <v>0</v>
      </c>
      <c r="AC70" s="47">
        <v>0</v>
      </c>
      <c r="AD70" s="47">
        <v>0</v>
      </c>
      <c r="AE70" s="47">
        <v>0</v>
      </c>
      <c r="AF70" s="47"/>
    </row>
    <row r="71" spans="1:32" ht="409.5" hidden="1" x14ac:dyDescent="0.3">
      <c r="A71" s="15" t="s">
        <v>150</v>
      </c>
      <c r="B71" s="47"/>
      <c r="C71" s="565"/>
      <c r="D71" s="565"/>
      <c r="E71" s="565"/>
      <c r="F71" s="565"/>
      <c r="G71" s="565"/>
      <c r="H71" s="565"/>
      <c r="I71" s="565"/>
      <c r="J71" s="565"/>
      <c r="K71" s="565"/>
      <c r="L71" s="47"/>
      <c r="M71" s="47"/>
      <c r="N71" s="47"/>
      <c r="O71" s="47"/>
      <c r="P71" s="47"/>
      <c r="Q71" s="47"/>
      <c r="R71" s="47"/>
      <c r="S71" s="47"/>
      <c r="T71" s="47"/>
      <c r="U71" s="47"/>
      <c r="V71" s="47"/>
      <c r="W71" s="47"/>
      <c r="X71" s="47"/>
      <c r="Y71" s="47"/>
      <c r="Z71" s="47"/>
      <c r="AA71" s="47"/>
      <c r="AB71" s="47"/>
      <c r="AC71" s="47"/>
      <c r="AD71" s="47"/>
      <c r="AE71" s="47"/>
      <c r="AF71" s="47"/>
    </row>
    <row r="72" spans="1:32" ht="18.75" hidden="1" x14ac:dyDescent="0.3">
      <c r="A72" s="80" t="s">
        <v>31</v>
      </c>
      <c r="B72" s="47">
        <f>B73</f>
        <v>0</v>
      </c>
      <c r="C72" s="565">
        <f>C73</f>
        <v>0</v>
      </c>
      <c r="D72" s="565">
        <f>D73</f>
        <v>0</v>
      </c>
      <c r="E72" s="565">
        <f>E73</f>
        <v>0</v>
      </c>
      <c r="F72" s="565" t="e">
        <f>E72/B72*100</f>
        <v>#DIV/0!</v>
      </c>
      <c r="G72" s="565" t="e">
        <f>E72/C72*100</f>
        <v>#DIV/0!</v>
      </c>
      <c r="H72" s="565"/>
      <c r="I72" s="565"/>
      <c r="J72" s="565"/>
      <c r="K72" s="565"/>
      <c r="L72" s="47"/>
      <c r="M72" s="47"/>
      <c r="N72" s="47"/>
      <c r="O72" s="47"/>
      <c r="P72" s="47"/>
      <c r="Q72" s="47"/>
      <c r="R72" s="47"/>
      <c r="S72" s="47"/>
      <c r="T72" s="47"/>
      <c r="U72" s="47"/>
      <c r="V72" s="47"/>
      <c r="W72" s="47"/>
      <c r="X72" s="47"/>
      <c r="Y72" s="47"/>
      <c r="Z72" s="47"/>
      <c r="AA72" s="47"/>
      <c r="AB72" s="47"/>
      <c r="AC72" s="47"/>
      <c r="AD72" s="47"/>
      <c r="AE72" s="47"/>
      <c r="AF72" s="47"/>
    </row>
    <row r="73" spans="1:32" ht="18.75" hidden="1" x14ac:dyDescent="0.3">
      <c r="A73" s="80" t="s">
        <v>33</v>
      </c>
      <c r="B73" s="47">
        <f>H73+J73+L73+N73+P73+R73+T73+V73+X73+Z73+AB73+AD73</f>
        <v>0</v>
      </c>
      <c r="C73" s="565">
        <f>H73</f>
        <v>0</v>
      </c>
      <c r="D73" s="565"/>
      <c r="E73" s="565">
        <f>I73</f>
        <v>0</v>
      </c>
      <c r="F73" s="565" t="e">
        <f>D73/B73*100</f>
        <v>#DIV/0!</v>
      </c>
      <c r="G73" s="565" t="e">
        <f>E73/C73*100</f>
        <v>#DIV/0!</v>
      </c>
      <c r="H73" s="565"/>
      <c r="I73" s="565"/>
      <c r="J73" s="565"/>
      <c r="K73" s="565"/>
      <c r="L73" s="47"/>
      <c r="M73" s="47"/>
      <c r="N73" s="47"/>
      <c r="O73" s="47"/>
      <c r="P73" s="47"/>
      <c r="Q73" s="47"/>
      <c r="R73" s="47"/>
      <c r="S73" s="47"/>
      <c r="T73" s="47"/>
      <c r="U73" s="47"/>
      <c r="V73" s="47"/>
      <c r="W73" s="47"/>
      <c r="X73" s="47"/>
      <c r="Y73" s="47"/>
      <c r="Z73" s="47"/>
      <c r="AA73" s="47"/>
      <c r="AB73" s="47"/>
      <c r="AC73" s="47"/>
      <c r="AD73" s="47"/>
      <c r="AE73" s="47"/>
      <c r="AF73" s="47"/>
    </row>
    <row r="74" spans="1:32" ht="168.75" hidden="1" x14ac:dyDescent="0.3">
      <c r="A74" s="15" t="s">
        <v>151</v>
      </c>
      <c r="B74" s="47"/>
      <c r="C74" s="565"/>
      <c r="D74" s="565"/>
      <c r="E74" s="565"/>
      <c r="F74" s="565"/>
      <c r="G74" s="565"/>
      <c r="H74" s="565"/>
      <c r="I74" s="565"/>
      <c r="J74" s="565"/>
      <c r="K74" s="565"/>
      <c r="L74" s="47"/>
      <c r="M74" s="47"/>
      <c r="N74" s="47"/>
      <c r="O74" s="47"/>
      <c r="P74" s="47"/>
      <c r="Q74" s="47"/>
      <c r="R74" s="47"/>
      <c r="S74" s="47"/>
      <c r="T74" s="47"/>
      <c r="U74" s="47"/>
      <c r="V74" s="47"/>
      <c r="W74" s="47"/>
      <c r="X74" s="47"/>
      <c r="Y74" s="47"/>
      <c r="Z74" s="47"/>
      <c r="AA74" s="47"/>
      <c r="AB74" s="47"/>
      <c r="AC74" s="47"/>
      <c r="AD74" s="47"/>
      <c r="AE74" s="47"/>
      <c r="AF74" s="47"/>
    </row>
    <row r="75" spans="1:32" ht="18.75" hidden="1" x14ac:dyDescent="0.3">
      <c r="A75" s="80" t="s">
        <v>31</v>
      </c>
      <c r="B75" s="47">
        <f>B76</f>
        <v>0</v>
      </c>
      <c r="C75" s="565">
        <f>C76</f>
        <v>0</v>
      </c>
      <c r="D75" s="565">
        <f>D76</f>
        <v>0</v>
      </c>
      <c r="E75" s="565">
        <f>E76</f>
        <v>0</v>
      </c>
      <c r="F75" s="565" t="e">
        <f>E75/B75*100</f>
        <v>#DIV/0!</v>
      </c>
      <c r="G75" s="565" t="e">
        <f>E75/C75*100</f>
        <v>#DIV/0!</v>
      </c>
      <c r="H75" s="565"/>
      <c r="I75" s="565"/>
      <c r="J75" s="565"/>
      <c r="K75" s="565"/>
      <c r="L75" s="47"/>
      <c r="M75" s="47"/>
      <c r="N75" s="47"/>
      <c r="O75" s="47"/>
      <c r="P75" s="47"/>
      <c r="Q75" s="47"/>
      <c r="R75" s="47"/>
      <c r="S75" s="47"/>
      <c r="T75" s="47"/>
      <c r="U75" s="47"/>
      <c r="V75" s="47"/>
      <c r="W75" s="47"/>
      <c r="X75" s="47"/>
      <c r="Y75" s="47"/>
      <c r="Z75" s="47"/>
      <c r="AA75" s="47"/>
      <c r="AB75" s="47"/>
      <c r="AC75" s="47"/>
      <c r="AD75" s="47"/>
      <c r="AE75" s="47"/>
      <c r="AF75" s="47"/>
    </row>
    <row r="76" spans="1:32" ht="18.75" hidden="1" x14ac:dyDescent="0.3">
      <c r="A76" s="80" t="s">
        <v>33</v>
      </c>
      <c r="B76" s="47">
        <f>H76+J76+L76+N76+P76+R76+T76+V76+X76+Z76+AB76+AD76</f>
        <v>0</v>
      </c>
      <c r="C76" s="565">
        <f>H76</f>
        <v>0</v>
      </c>
      <c r="D76" s="565"/>
      <c r="E76" s="565">
        <f>I76</f>
        <v>0</v>
      </c>
      <c r="F76" s="565" t="e">
        <f>D76/B76*100</f>
        <v>#DIV/0!</v>
      </c>
      <c r="G76" s="565" t="e">
        <f>E76/C76*100</f>
        <v>#DIV/0!</v>
      </c>
      <c r="H76" s="565"/>
      <c r="I76" s="565"/>
      <c r="J76" s="565"/>
      <c r="K76" s="565"/>
      <c r="L76" s="47"/>
      <c r="M76" s="47"/>
      <c r="N76" s="47"/>
      <c r="O76" s="47"/>
      <c r="P76" s="47"/>
      <c r="Q76" s="47"/>
      <c r="R76" s="47"/>
      <c r="S76" s="47"/>
      <c r="T76" s="47"/>
      <c r="U76" s="47"/>
      <c r="V76" s="47"/>
      <c r="W76" s="47"/>
      <c r="X76" s="47"/>
      <c r="Y76" s="47"/>
      <c r="Z76" s="47"/>
      <c r="AA76" s="47"/>
      <c r="AB76" s="47"/>
      <c r="AC76" s="47"/>
      <c r="AD76" s="47"/>
      <c r="AE76" s="47"/>
      <c r="AF76" s="47"/>
    </row>
    <row r="77" spans="1:32" ht="150" x14ac:dyDescent="0.3">
      <c r="A77" s="15" t="s">
        <v>152</v>
      </c>
      <c r="B77" s="47"/>
      <c r="C77" s="565"/>
      <c r="D77" s="565"/>
      <c r="E77" s="565"/>
      <c r="F77" s="565"/>
      <c r="G77" s="565"/>
      <c r="H77" s="565"/>
      <c r="I77" s="565"/>
      <c r="J77" s="565"/>
      <c r="K77" s="565"/>
      <c r="L77" s="47"/>
      <c r="M77" s="47"/>
      <c r="N77" s="47"/>
      <c r="O77" s="47"/>
      <c r="P77" s="47"/>
      <c r="Q77" s="47"/>
      <c r="R77" s="47"/>
      <c r="S77" s="47"/>
      <c r="T77" s="47"/>
      <c r="U77" s="47"/>
      <c r="V77" s="47"/>
      <c r="W77" s="47"/>
      <c r="X77" s="47"/>
      <c r="Y77" s="47"/>
      <c r="Z77" s="47"/>
      <c r="AA77" s="47"/>
      <c r="AB77" s="47"/>
      <c r="AC77" s="47"/>
      <c r="AD77" s="47"/>
      <c r="AE77" s="47"/>
      <c r="AF77" s="1027"/>
    </row>
    <row r="78" spans="1:32" ht="18.75" x14ac:dyDescent="0.3">
      <c r="A78" s="794" t="s">
        <v>31</v>
      </c>
      <c r="B78" s="47">
        <f>B79</f>
        <v>80</v>
      </c>
      <c r="C78" s="565">
        <f>C79</f>
        <v>80</v>
      </c>
      <c r="D78" s="565">
        <f>D79</f>
        <v>80</v>
      </c>
      <c r="E78" s="565">
        <f>E79</f>
        <v>80</v>
      </c>
      <c r="F78" s="565">
        <f>E78/B78*100</f>
        <v>100</v>
      </c>
      <c r="G78" s="565">
        <f>E78/C78*100</f>
        <v>100</v>
      </c>
      <c r="H78" s="565">
        <v>0</v>
      </c>
      <c r="I78" s="565">
        <v>0</v>
      </c>
      <c r="J78" s="565">
        <v>0</v>
      </c>
      <c r="K78" s="565">
        <v>0</v>
      </c>
      <c r="L78" s="47">
        <v>80</v>
      </c>
      <c r="M78" s="47">
        <v>0</v>
      </c>
      <c r="N78" s="47">
        <v>0</v>
      </c>
      <c r="O78" s="47">
        <v>80</v>
      </c>
      <c r="P78" s="47">
        <v>0</v>
      </c>
      <c r="Q78" s="47">
        <v>0</v>
      </c>
      <c r="R78" s="47">
        <v>0</v>
      </c>
      <c r="S78" s="47">
        <v>0</v>
      </c>
      <c r="T78" s="47">
        <v>0</v>
      </c>
      <c r="U78" s="47">
        <v>0</v>
      </c>
      <c r="V78" s="47">
        <v>0</v>
      </c>
      <c r="W78" s="47">
        <v>0</v>
      </c>
      <c r="X78" s="47">
        <v>0</v>
      </c>
      <c r="Y78" s="47">
        <v>0</v>
      </c>
      <c r="Z78" s="47">
        <v>0</v>
      </c>
      <c r="AA78" s="47">
        <v>0</v>
      </c>
      <c r="AB78" s="47">
        <v>0</v>
      </c>
      <c r="AC78" s="47">
        <v>0</v>
      </c>
      <c r="AD78" s="47">
        <v>0</v>
      </c>
      <c r="AE78" s="47">
        <v>0</v>
      </c>
      <c r="AF78" s="47"/>
    </row>
    <row r="79" spans="1:32" ht="18.75" x14ac:dyDescent="0.3">
      <c r="A79" s="794" t="s">
        <v>33</v>
      </c>
      <c r="B79" s="47">
        <f>H79+J79+L79+N79+P79+R79+T79+V79+X79+Z79+AB79+AD79</f>
        <v>80</v>
      </c>
      <c r="C79" s="565">
        <f>O79</f>
        <v>80</v>
      </c>
      <c r="D79" s="565">
        <v>80</v>
      </c>
      <c r="E79" s="565">
        <f>O79</f>
        <v>80</v>
      </c>
      <c r="F79" s="565">
        <f>D79/B79*100</f>
        <v>100</v>
      </c>
      <c r="G79" s="565">
        <f>E79/C79*100</f>
        <v>100</v>
      </c>
      <c r="H79" s="565">
        <v>0</v>
      </c>
      <c r="I79" s="565">
        <v>0</v>
      </c>
      <c r="J79" s="565">
        <v>0</v>
      </c>
      <c r="K79" s="565">
        <v>0</v>
      </c>
      <c r="L79" s="47">
        <v>80</v>
      </c>
      <c r="M79" s="47">
        <v>0</v>
      </c>
      <c r="N79" s="47">
        <v>0</v>
      </c>
      <c r="O79" s="47">
        <v>80</v>
      </c>
      <c r="P79" s="47">
        <v>0</v>
      </c>
      <c r="Q79" s="47">
        <v>0</v>
      </c>
      <c r="R79" s="47">
        <v>0</v>
      </c>
      <c r="S79" s="47">
        <v>0</v>
      </c>
      <c r="T79" s="47">
        <v>0</v>
      </c>
      <c r="U79" s="47">
        <v>0</v>
      </c>
      <c r="V79" s="47">
        <v>0</v>
      </c>
      <c r="W79" s="47">
        <v>0</v>
      </c>
      <c r="X79" s="47">
        <v>0</v>
      </c>
      <c r="Y79" s="47">
        <v>0</v>
      </c>
      <c r="Z79" s="47">
        <v>0</v>
      </c>
      <c r="AA79" s="47">
        <v>0</v>
      </c>
      <c r="AB79" s="47">
        <v>0</v>
      </c>
      <c r="AC79" s="47">
        <v>0</v>
      </c>
      <c r="AD79" s="47">
        <v>0</v>
      </c>
      <c r="AE79" s="47">
        <v>0</v>
      </c>
      <c r="AF79" s="47"/>
    </row>
    <row r="80" spans="1:32" ht="168.75" x14ac:dyDescent="0.3">
      <c r="A80" s="81" t="s">
        <v>153</v>
      </c>
      <c r="B80" s="47"/>
      <c r="C80" s="565"/>
      <c r="D80" s="565"/>
      <c r="E80" s="565"/>
      <c r="F80" s="565"/>
      <c r="G80" s="565"/>
      <c r="H80" s="565"/>
      <c r="I80" s="565"/>
      <c r="J80" s="565"/>
      <c r="K80" s="565"/>
      <c r="L80" s="565"/>
      <c r="M80" s="565"/>
      <c r="N80" s="565"/>
      <c r="O80" s="565"/>
      <c r="P80" s="565"/>
      <c r="Q80" s="565"/>
      <c r="R80" s="565"/>
      <c r="S80" s="565"/>
      <c r="T80" s="565"/>
      <c r="U80" s="565"/>
      <c r="V80" s="565"/>
      <c r="W80" s="565"/>
      <c r="X80" s="565"/>
      <c r="Y80" s="565"/>
      <c r="Z80" s="565"/>
      <c r="AA80" s="565"/>
      <c r="AB80" s="565"/>
      <c r="AC80" s="565"/>
      <c r="AD80" s="565"/>
      <c r="AE80" s="565"/>
      <c r="AF80" s="47"/>
    </row>
    <row r="81" spans="1:33" ht="18.75" x14ac:dyDescent="0.3">
      <c r="A81" s="80" t="s">
        <v>31</v>
      </c>
      <c r="B81" s="47">
        <f>B82</f>
        <v>40</v>
      </c>
      <c r="C81" s="565">
        <f>C82</f>
        <v>40</v>
      </c>
      <c r="D81" s="565">
        <f>D82</f>
        <v>40</v>
      </c>
      <c r="E81" s="565">
        <f>E82</f>
        <v>40</v>
      </c>
      <c r="F81" s="565">
        <f>D81/B81*100</f>
        <v>100</v>
      </c>
      <c r="G81" s="565">
        <f>E81/C81*100</f>
        <v>100</v>
      </c>
      <c r="H81" s="565">
        <f>H82</f>
        <v>0</v>
      </c>
      <c r="I81" s="565">
        <f>I82</f>
        <v>0</v>
      </c>
      <c r="J81" s="565">
        <f>J82</f>
        <v>0</v>
      </c>
      <c r="K81" s="565">
        <f>K82</f>
        <v>0</v>
      </c>
      <c r="L81" s="565">
        <f t="shared" ref="L81:AE81" si="17">L82</f>
        <v>0</v>
      </c>
      <c r="M81" s="565">
        <f t="shared" si="17"/>
        <v>0</v>
      </c>
      <c r="N81" s="565">
        <f t="shared" si="17"/>
        <v>0</v>
      </c>
      <c r="O81" s="565">
        <f t="shared" si="17"/>
        <v>0</v>
      </c>
      <c r="P81" s="565">
        <f t="shared" si="17"/>
        <v>0</v>
      </c>
      <c r="Q81" s="565">
        <f t="shared" si="17"/>
        <v>0</v>
      </c>
      <c r="R81" s="565">
        <f t="shared" si="17"/>
        <v>0</v>
      </c>
      <c r="S81" s="565">
        <f t="shared" si="17"/>
        <v>0</v>
      </c>
      <c r="T81" s="565">
        <f t="shared" si="17"/>
        <v>0</v>
      </c>
      <c r="U81" s="565">
        <f t="shared" si="17"/>
        <v>0</v>
      </c>
      <c r="V81" s="565">
        <f t="shared" si="17"/>
        <v>0</v>
      </c>
      <c r="W81" s="565">
        <f t="shared" si="17"/>
        <v>0</v>
      </c>
      <c r="X81" s="565">
        <f t="shared" si="17"/>
        <v>0</v>
      </c>
      <c r="Y81" s="565">
        <f t="shared" si="17"/>
        <v>0</v>
      </c>
      <c r="Z81" s="565">
        <v>40</v>
      </c>
      <c r="AA81" s="565">
        <v>11</v>
      </c>
      <c r="AB81" s="565">
        <f t="shared" si="17"/>
        <v>0</v>
      </c>
      <c r="AC81" s="565">
        <f t="shared" si="17"/>
        <v>17</v>
      </c>
      <c r="AD81" s="565">
        <f t="shared" si="17"/>
        <v>0</v>
      </c>
      <c r="AE81" s="565">
        <f t="shared" si="17"/>
        <v>12</v>
      </c>
      <c r="AF81" s="47"/>
    </row>
    <row r="82" spans="1:33" ht="18.75" x14ac:dyDescent="0.3">
      <c r="A82" s="80" t="s">
        <v>33</v>
      </c>
      <c r="B82" s="47">
        <f>B85+B88</f>
        <v>40</v>
      </c>
      <c r="C82" s="565">
        <f>C85</f>
        <v>40</v>
      </c>
      <c r="D82" s="565">
        <f>D85</f>
        <v>40</v>
      </c>
      <c r="E82" s="565">
        <f>E85</f>
        <v>40</v>
      </c>
      <c r="F82" s="565">
        <f>D82/B82*100</f>
        <v>100</v>
      </c>
      <c r="G82" s="565">
        <f>E82/C82*100</f>
        <v>100</v>
      </c>
      <c r="H82" s="565">
        <f>H85+H88</f>
        <v>0</v>
      </c>
      <c r="I82" s="565">
        <f>I85+I88</f>
        <v>0</v>
      </c>
      <c r="J82" s="565">
        <f>J85+J88</f>
        <v>0</v>
      </c>
      <c r="K82" s="565">
        <f>K85+K88</f>
        <v>0</v>
      </c>
      <c r="L82" s="565">
        <f t="shared" ref="L82:AD82" si="18">L85+L88</f>
        <v>0</v>
      </c>
      <c r="M82" s="565">
        <f t="shared" si="18"/>
        <v>0</v>
      </c>
      <c r="N82" s="565">
        <f t="shared" si="18"/>
        <v>0</v>
      </c>
      <c r="O82" s="565">
        <f t="shared" si="18"/>
        <v>0</v>
      </c>
      <c r="P82" s="565">
        <f t="shared" si="18"/>
        <v>0</v>
      </c>
      <c r="Q82" s="565">
        <f t="shared" si="18"/>
        <v>0</v>
      </c>
      <c r="R82" s="565">
        <f t="shared" si="18"/>
        <v>0</v>
      </c>
      <c r="S82" s="565">
        <f t="shared" si="18"/>
        <v>0</v>
      </c>
      <c r="T82" s="565">
        <f t="shared" si="18"/>
        <v>0</v>
      </c>
      <c r="U82" s="565">
        <f t="shared" si="18"/>
        <v>0</v>
      </c>
      <c r="V82" s="565">
        <f t="shared" si="18"/>
        <v>0</v>
      </c>
      <c r="W82" s="565">
        <f t="shared" si="18"/>
        <v>0</v>
      </c>
      <c r="X82" s="565">
        <f t="shared" si="18"/>
        <v>0</v>
      </c>
      <c r="Y82" s="565">
        <f t="shared" si="18"/>
        <v>0</v>
      </c>
      <c r="Z82" s="565">
        <f t="shared" si="18"/>
        <v>40</v>
      </c>
      <c r="AA82" s="565">
        <f t="shared" si="18"/>
        <v>11</v>
      </c>
      <c r="AB82" s="565">
        <f t="shared" si="18"/>
        <v>0</v>
      </c>
      <c r="AC82" s="565">
        <f t="shared" si="18"/>
        <v>17</v>
      </c>
      <c r="AD82" s="565">
        <f t="shared" si="18"/>
        <v>0</v>
      </c>
      <c r="AE82" s="565">
        <v>12</v>
      </c>
      <c r="AF82" s="47"/>
    </row>
    <row r="83" spans="1:33" ht="206.25" x14ac:dyDescent="0.3">
      <c r="A83" s="794" t="s">
        <v>154</v>
      </c>
      <c r="B83" s="47"/>
      <c r="C83" s="565"/>
      <c r="D83" s="565"/>
      <c r="E83" s="565"/>
      <c r="F83" s="565"/>
      <c r="G83" s="565"/>
      <c r="H83" s="565"/>
      <c r="I83" s="565"/>
      <c r="J83" s="565"/>
      <c r="K83" s="565"/>
      <c r="L83" s="47"/>
      <c r="M83" s="47"/>
      <c r="N83" s="47"/>
      <c r="O83" s="47"/>
      <c r="P83" s="47"/>
      <c r="Q83" s="47"/>
      <c r="R83" s="47"/>
      <c r="S83" s="47"/>
      <c r="T83" s="47"/>
      <c r="U83" s="47"/>
      <c r="V83" s="47"/>
      <c r="W83" s="47"/>
      <c r="X83" s="47"/>
      <c r="Y83" s="47"/>
      <c r="Z83" s="47"/>
      <c r="AA83" s="47"/>
      <c r="AB83" s="47"/>
      <c r="AC83" s="47"/>
      <c r="AD83" s="47"/>
      <c r="AE83" s="47"/>
      <c r="AF83" s="47"/>
    </row>
    <row r="84" spans="1:33" ht="18.75" x14ac:dyDescent="0.3">
      <c r="A84" s="80" t="s">
        <v>31</v>
      </c>
      <c r="B84" s="47">
        <f>B85</f>
        <v>40</v>
      </c>
      <c r="C84" s="565">
        <f>C85</f>
        <v>40</v>
      </c>
      <c r="D84" s="565">
        <f>D85</f>
        <v>40</v>
      </c>
      <c r="E84" s="565">
        <f>E85</f>
        <v>40</v>
      </c>
      <c r="F84" s="565">
        <f>E84/B84*100</f>
        <v>100</v>
      </c>
      <c r="G84" s="565">
        <f>E84/C84*100</f>
        <v>100</v>
      </c>
      <c r="H84" s="565">
        <f>H85</f>
        <v>0</v>
      </c>
      <c r="I84" s="565">
        <f t="shared" ref="I84:AE84" si="19">I85</f>
        <v>0</v>
      </c>
      <c r="J84" s="565">
        <f t="shared" si="19"/>
        <v>0</v>
      </c>
      <c r="K84" s="565">
        <f t="shared" si="19"/>
        <v>0</v>
      </c>
      <c r="L84" s="47">
        <f t="shared" si="19"/>
        <v>0</v>
      </c>
      <c r="M84" s="47">
        <f t="shared" si="19"/>
        <v>0</v>
      </c>
      <c r="N84" s="47">
        <f t="shared" si="19"/>
        <v>0</v>
      </c>
      <c r="O84" s="47">
        <f t="shared" si="19"/>
        <v>0</v>
      </c>
      <c r="P84" s="47">
        <f t="shared" si="19"/>
        <v>0</v>
      </c>
      <c r="Q84" s="47">
        <f t="shared" si="19"/>
        <v>0</v>
      </c>
      <c r="R84" s="47">
        <f t="shared" si="19"/>
        <v>0</v>
      </c>
      <c r="S84" s="47">
        <f t="shared" si="19"/>
        <v>0</v>
      </c>
      <c r="T84" s="47">
        <f t="shared" si="19"/>
        <v>0</v>
      </c>
      <c r="U84" s="47">
        <f t="shared" si="19"/>
        <v>0</v>
      </c>
      <c r="V84" s="47">
        <f t="shared" si="19"/>
        <v>0</v>
      </c>
      <c r="W84" s="47">
        <f t="shared" si="19"/>
        <v>0</v>
      </c>
      <c r="X84" s="47">
        <f t="shared" si="19"/>
        <v>0</v>
      </c>
      <c r="Y84" s="47">
        <f t="shared" si="19"/>
        <v>0</v>
      </c>
      <c r="Z84" s="47">
        <f t="shared" si="19"/>
        <v>40</v>
      </c>
      <c r="AA84" s="47">
        <f t="shared" si="19"/>
        <v>11</v>
      </c>
      <c r="AB84" s="47">
        <f t="shared" si="19"/>
        <v>0</v>
      </c>
      <c r="AC84" s="47">
        <f t="shared" si="19"/>
        <v>17</v>
      </c>
      <c r="AD84" s="47">
        <f t="shared" si="19"/>
        <v>0</v>
      </c>
      <c r="AE84" s="47">
        <f t="shared" si="19"/>
        <v>12</v>
      </c>
      <c r="AF84" s="47"/>
    </row>
    <row r="85" spans="1:33" ht="18.75" x14ac:dyDescent="0.3">
      <c r="A85" s="80" t="s">
        <v>33</v>
      </c>
      <c r="B85" s="47">
        <f>H85+J85+L85+N85+P85+R85+T85+V85+X85+Z85+AB85+AD85</f>
        <v>40</v>
      </c>
      <c r="C85" s="565">
        <v>40</v>
      </c>
      <c r="D85" s="565">
        <v>40</v>
      </c>
      <c r="E85" s="565">
        <v>40</v>
      </c>
      <c r="F85" s="565">
        <f>D85/B85*100</f>
        <v>100</v>
      </c>
      <c r="G85" s="565">
        <f>E85/C85*100</f>
        <v>100</v>
      </c>
      <c r="H85" s="565">
        <v>0</v>
      </c>
      <c r="I85" s="565">
        <v>0</v>
      </c>
      <c r="J85" s="565">
        <v>0</v>
      </c>
      <c r="K85" s="565">
        <v>0</v>
      </c>
      <c r="L85" s="47">
        <v>0</v>
      </c>
      <c r="M85" s="47">
        <v>0</v>
      </c>
      <c r="N85" s="47">
        <v>0</v>
      </c>
      <c r="O85" s="47">
        <v>0</v>
      </c>
      <c r="P85" s="47">
        <v>0</v>
      </c>
      <c r="Q85" s="47">
        <v>0</v>
      </c>
      <c r="R85" s="47">
        <v>0</v>
      </c>
      <c r="S85" s="47">
        <v>0</v>
      </c>
      <c r="T85" s="47">
        <v>0</v>
      </c>
      <c r="U85" s="47">
        <v>0</v>
      </c>
      <c r="V85" s="47">
        <v>0</v>
      </c>
      <c r="W85" s="47">
        <v>0</v>
      </c>
      <c r="X85" s="47">
        <v>0</v>
      </c>
      <c r="Y85" s="47">
        <v>0</v>
      </c>
      <c r="Z85" s="47">
        <v>40</v>
      </c>
      <c r="AA85" s="47">
        <v>11</v>
      </c>
      <c r="AB85" s="47">
        <v>0</v>
      </c>
      <c r="AC85" s="47">
        <v>17</v>
      </c>
      <c r="AD85" s="47">
        <v>0</v>
      </c>
      <c r="AE85" s="47">
        <v>12</v>
      </c>
      <c r="AF85" s="47"/>
    </row>
    <row r="86" spans="1:33" ht="225" hidden="1" x14ac:dyDescent="0.3">
      <c r="A86" s="80" t="s">
        <v>155</v>
      </c>
      <c r="B86" s="47">
        <v>0</v>
      </c>
      <c r="C86" s="565">
        <v>0</v>
      </c>
      <c r="D86" s="565">
        <v>0</v>
      </c>
      <c r="E86" s="565">
        <v>0</v>
      </c>
      <c r="F86" s="565">
        <v>0</v>
      </c>
      <c r="G86" s="565">
        <v>0</v>
      </c>
      <c r="H86" s="565">
        <v>0</v>
      </c>
      <c r="I86" s="565">
        <v>0</v>
      </c>
      <c r="J86" s="565">
        <v>0</v>
      </c>
      <c r="K86" s="565">
        <v>0</v>
      </c>
      <c r="L86" s="47">
        <v>0</v>
      </c>
      <c r="M86" s="47">
        <v>0</v>
      </c>
      <c r="N86" s="47">
        <v>0</v>
      </c>
      <c r="O86" s="47">
        <v>0</v>
      </c>
      <c r="P86" s="47">
        <v>0</v>
      </c>
      <c r="Q86" s="47">
        <v>0</v>
      </c>
      <c r="R86" s="47">
        <v>0</v>
      </c>
      <c r="S86" s="47">
        <v>0</v>
      </c>
      <c r="T86" s="47">
        <v>0</v>
      </c>
      <c r="U86" s="47"/>
      <c r="V86" s="47">
        <v>0</v>
      </c>
      <c r="W86" s="47">
        <v>0</v>
      </c>
      <c r="X86" s="47">
        <v>0</v>
      </c>
      <c r="Y86" s="47">
        <v>0</v>
      </c>
      <c r="Z86" s="47">
        <v>0</v>
      </c>
      <c r="AA86" s="47">
        <v>0</v>
      </c>
      <c r="AB86" s="47">
        <v>0</v>
      </c>
      <c r="AC86" s="47">
        <v>0</v>
      </c>
      <c r="AD86" s="47">
        <v>0</v>
      </c>
      <c r="AE86" s="47">
        <v>0</v>
      </c>
      <c r="AF86" s="47"/>
    </row>
    <row r="87" spans="1:33" ht="18.75" hidden="1" x14ac:dyDescent="0.3">
      <c r="A87" s="80" t="s">
        <v>31</v>
      </c>
      <c r="B87" s="47">
        <f>B88</f>
        <v>0</v>
      </c>
      <c r="C87" s="565">
        <f>C88</f>
        <v>0</v>
      </c>
      <c r="D87" s="565">
        <f>D88</f>
        <v>0</v>
      </c>
      <c r="E87" s="565">
        <f>E88</f>
        <v>0</v>
      </c>
      <c r="F87" s="565" t="e">
        <f>E87/B87*100</f>
        <v>#DIV/0!</v>
      </c>
      <c r="G87" s="565" t="e">
        <f>E87/C87*100</f>
        <v>#DIV/0!</v>
      </c>
      <c r="H87" s="565">
        <f>H88</f>
        <v>0</v>
      </c>
      <c r="I87" s="565">
        <f t="shared" ref="I87:AE87" si="20">I88</f>
        <v>0</v>
      </c>
      <c r="J87" s="565">
        <f t="shared" si="20"/>
        <v>0</v>
      </c>
      <c r="K87" s="565">
        <f t="shared" si="20"/>
        <v>0</v>
      </c>
      <c r="L87" s="47">
        <f t="shared" si="20"/>
        <v>0</v>
      </c>
      <c r="M87" s="47">
        <f t="shared" si="20"/>
        <v>0</v>
      </c>
      <c r="N87" s="47">
        <f t="shared" si="20"/>
        <v>0</v>
      </c>
      <c r="O87" s="47">
        <f t="shared" si="20"/>
        <v>0</v>
      </c>
      <c r="P87" s="47">
        <f t="shared" si="20"/>
        <v>0</v>
      </c>
      <c r="Q87" s="47">
        <f t="shared" si="20"/>
        <v>0</v>
      </c>
      <c r="R87" s="47">
        <f t="shared" si="20"/>
        <v>0</v>
      </c>
      <c r="S87" s="47">
        <f t="shared" si="20"/>
        <v>0</v>
      </c>
      <c r="T87" s="47">
        <f t="shared" si="20"/>
        <v>0</v>
      </c>
      <c r="U87" s="47">
        <f t="shared" si="20"/>
        <v>0</v>
      </c>
      <c r="V87" s="47">
        <f t="shared" si="20"/>
        <v>0</v>
      </c>
      <c r="W87" s="47">
        <f t="shared" si="20"/>
        <v>0</v>
      </c>
      <c r="X87" s="47">
        <f t="shared" si="20"/>
        <v>0</v>
      </c>
      <c r="Y87" s="47">
        <f t="shared" si="20"/>
        <v>0</v>
      </c>
      <c r="Z87" s="47">
        <f t="shared" si="20"/>
        <v>0</v>
      </c>
      <c r="AA87" s="47">
        <f t="shared" si="20"/>
        <v>0</v>
      </c>
      <c r="AB87" s="47">
        <f t="shared" si="20"/>
        <v>0</v>
      </c>
      <c r="AC87" s="47">
        <f t="shared" si="20"/>
        <v>0</v>
      </c>
      <c r="AD87" s="47">
        <f t="shared" si="20"/>
        <v>0</v>
      </c>
      <c r="AE87" s="47">
        <f t="shared" si="20"/>
        <v>0</v>
      </c>
      <c r="AF87" s="47"/>
    </row>
    <row r="88" spans="1:33" ht="18.75" hidden="1" x14ac:dyDescent="0.3">
      <c r="A88" s="80" t="s">
        <v>33</v>
      </c>
      <c r="B88" s="47">
        <f>H88+J88+L88+N88+P88+R88+T88+V88+X88+Z88+AB88+AD88</f>
        <v>0</v>
      </c>
      <c r="C88" s="565">
        <f>H88</f>
        <v>0</v>
      </c>
      <c r="D88" s="565"/>
      <c r="E88" s="565">
        <f>I88</f>
        <v>0</v>
      </c>
      <c r="F88" s="565" t="e">
        <f>D88/B88*100</f>
        <v>#DIV/0!</v>
      </c>
      <c r="G88" s="565" t="e">
        <f>E88/C88*100</f>
        <v>#DIV/0!</v>
      </c>
      <c r="H88" s="565"/>
      <c r="I88" s="565"/>
      <c r="J88" s="565"/>
      <c r="K88" s="565"/>
      <c r="L88" s="47"/>
      <c r="M88" s="47"/>
      <c r="N88" s="47"/>
      <c r="O88" s="47"/>
      <c r="P88" s="47"/>
      <c r="Q88" s="47"/>
      <c r="R88" s="47"/>
      <c r="S88" s="47"/>
      <c r="T88" s="47"/>
      <c r="U88" s="47"/>
      <c r="V88" s="47"/>
      <c r="W88" s="47"/>
      <c r="X88" s="47"/>
      <c r="Y88" s="47"/>
      <c r="Z88" s="47"/>
      <c r="AA88" s="47"/>
      <c r="AB88" s="47"/>
      <c r="AC88" s="47"/>
      <c r="AD88" s="47"/>
      <c r="AE88" s="47"/>
      <c r="AF88" s="47"/>
    </row>
    <row r="89" spans="1:33" ht="75" x14ac:dyDescent="0.3">
      <c r="A89" s="81" t="s">
        <v>156</v>
      </c>
      <c r="B89" s="47"/>
      <c r="C89" s="565"/>
      <c r="D89" s="565"/>
      <c r="E89" s="565"/>
      <c r="F89" s="565"/>
      <c r="G89" s="565"/>
      <c r="H89" s="565"/>
      <c r="I89" s="565"/>
      <c r="J89" s="565"/>
      <c r="K89" s="565"/>
      <c r="L89" s="47"/>
      <c r="M89" s="47"/>
      <c r="N89" s="47"/>
      <c r="O89" s="47"/>
      <c r="P89" s="47"/>
      <c r="Q89" s="47"/>
      <c r="R89" s="47"/>
      <c r="S89" s="47"/>
      <c r="T89" s="47"/>
      <c r="U89" s="47"/>
      <c r="V89" s="47"/>
      <c r="W89" s="47"/>
      <c r="X89" s="47"/>
      <c r="Y89" s="47"/>
      <c r="Z89" s="47"/>
      <c r="AA89" s="47"/>
      <c r="AB89" s="47"/>
      <c r="AC89" s="47"/>
      <c r="AD89" s="47"/>
      <c r="AE89" s="47"/>
      <c r="AF89" s="47"/>
    </row>
    <row r="90" spans="1:33" ht="18.75" x14ac:dyDescent="0.3">
      <c r="A90" s="80" t="s">
        <v>31</v>
      </c>
      <c r="B90" s="47">
        <f>B91</f>
        <v>6.7</v>
      </c>
      <c r="C90" s="565">
        <f>C91</f>
        <v>6.7</v>
      </c>
      <c r="D90" s="565">
        <f>D91</f>
        <v>6.7</v>
      </c>
      <c r="E90" s="565">
        <f>E91</f>
        <v>6.7</v>
      </c>
      <c r="F90" s="565">
        <f>E90/B90*100</f>
        <v>100</v>
      </c>
      <c r="G90" s="565">
        <f>E90/C90*100</f>
        <v>100</v>
      </c>
      <c r="H90" s="565">
        <f>H91</f>
        <v>0</v>
      </c>
      <c r="I90" s="565">
        <f t="shared" ref="I90:AE90" si="21">I91</f>
        <v>0</v>
      </c>
      <c r="J90" s="565">
        <f t="shared" si="21"/>
        <v>0</v>
      </c>
      <c r="K90" s="565">
        <f t="shared" si="21"/>
        <v>0</v>
      </c>
      <c r="L90" s="47">
        <f t="shared" si="21"/>
        <v>0</v>
      </c>
      <c r="M90" s="47">
        <f t="shared" si="21"/>
        <v>0</v>
      </c>
      <c r="N90" s="47">
        <f t="shared" si="21"/>
        <v>0</v>
      </c>
      <c r="O90" s="47">
        <f t="shared" si="21"/>
        <v>0</v>
      </c>
      <c r="P90" s="47">
        <f t="shared" si="21"/>
        <v>0</v>
      </c>
      <c r="Q90" s="47">
        <f t="shared" si="21"/>
        <v>0</v>
      </c>
      <c r="R90" s="47">
        <f t="shared" si="21"/>
        <v>0</v>
      </c>
      <c r="S90" s="47">
        <f t="shared" si="21"/>
        <v>0</v>
      </c>
      <c r="T90" s="47">
        <f t="shared" si="21"/>
        <v>0</v>
      </c>
      <c r="U90" s="47">
        <f t="shared" si="21"/>
        <v>0</v>
      </c>
      <c r="V90" s="47">
        <f t="shared" si="21"/>
        <v>6.7</v>
      </c>
      <c r="W90" s="47">
        <f t="shared" si="21"/>
        <v>0</v>
      </c>
      <c r="X90" s="47">
        <f t="shared" si="21"/>
        <v>0</v>
      </c>
      <c r="Y90" s="47">
        <f t="shared" si="21"/>
        <v>0</v>
      </c>
      <c r="Z90" s="47">
        <f t="shared" si="21"/>
        <v>0</v>
      </c>
      <c r="AA90" s="47">
        <f t="shared" si="21"/>
        <v>0</v>
      </c>
      <c r="AB90" s="47">
        <f t="shared" si="21"/>
        <v>0</v>
      </c>
      <c r="AC90" s="47">
        <f t="shared" si="21"/>
        <v>0</v>
      </c>
      <c r="AD90" s="47">
        <f t="shared" si="21"/>
        <v>0</v>
      </c>
      <c r="AE90" s="47">
        <f t="shared" si="21"/>
        <v>6.7</v>
      </c>
      <c r="AF90" s="47"/>
    </row>
    <row r="91" spans="1:33" ht="18.75" x14ac:dyDescent="0.3">
      <c r="A91" s="80" t="s">
        <v>33</v>
      </c>
      <c r="B91" s="47">
        <f>B94+B97</f>
        <v>6.7</v>
      </c>
      <c r="C91" s="565">
        <v>6.7</v>
      </c>
      <c r="D91" s="565">
        <v>6.7</v>
      </c>
      <c r="E91" s="565">
        <v>6.7</v>
      </c>
      <c r="F91" s="565">
        <f>D91/B91*100</f>
        <v>100</v>
      </c>
      <c r="G91" s="565">
        <f>E91/C91*100</f>
        <v>100</v>
      </c>
      <c r="H91" s="565">
        <f>H94</f>
        <v>0</v>
      </c>
      <c r="I91" s="565">
        <f t="shared" ref="I91:AD91" si="22">I94</f>
        <v>0</v>
      </c>
      <c r="J91" s="565">
        <f t="shared" si="22"/>
        <v>0</v>
      </c>
      <c r="K91" s="565">
        <f>K94</f>
        <v>0</v>
      </c>
      <c r="L91" s="47">
        <f t="shared" si="22"/>
        <v>0</v>
      </c>
      <c r="M91" s="47">
        <f t="shared" si="22"/>
        <v>0</v>
      </c>
      <c r="N91" s="47">
        <f t="shared" si="22"/>
        <v>0</v>
      </c>
      <c r="O91" s="47">
        <f t="shared" si="22"/>
        <v>0</v>
      </c>
      <c r="P91" s="47">
        <f t="shared" si="22"/>
        <v>0</v>
      </c>
      <c r="Q91" s="47">
        <f t="shared" si="22"/>
        <v>0</v>
      </c>
      <c r="R91" s="47">
        <f t="shared" si="22"/>
        <v>0</v>
      </c>
      <c r="S91" s="47">
        <f t="shared" si="22"/>
        <v>0</v>
      </c>
      <c r="T91" s="47">
        <f t="shared" si="22"/>
        <v>0</v>
      </c>
      <c r="U91" s="47">
        <f t="shared" si="22"/>
        <v>0</v>
      </c>
      <c r="V91" s="47">
        <f>V94</f>
        <v>6.7</v>
      </c>
      <c r="W91" s="47">
        <f>W94</f>
        <v>0</v>
      </c>
      <c r="X91" s="47">
        <f t="shared" si="22"/>
        <v>0</v>
      </c>
      <c r="Y91" s="47">
        <f t="shared" si="22"/>
        <v>0</v>
      </c>
      <c r="Z91" s="47">
        <f t="shared" si="22"/>
        <v>0</v>
      </c>
      <c r="AA91" s="47">
        <f t="shared" si="22"/>
        <v>0</v>
      </c>
      <c r="AB91" s="47">
        <f t="shared" si="22"/>
        <v>0</v>
      </c>
      <c r="AC91" s="47">
        <f t="shared" si="22"/>
        <v>0</v>
      </c>
      <c r="AD91" s="47">
        <f t="shared" si="22"/>
        <v>0</v>
      </c>
      <c r="AE91" s="47">
        <v>6.7</v>
      </c>
      <c r="AF91" s="47"/>
    </row>
    <row r="92" spans="1:33" s="10" customFormat="1" ht="131.25" customHeight="1" x14ac:dyDescent="0.3">
      <c r="A92" s="15" t="s">
        <v>157</v>
      </c>
      <c r="B92" s="47"/>
      <c r="C92" s="565"/>
      <c r="D92" s="565"/>
      <c r="E92" s="565"/>
      <c r="F92" s="565"/>
      <c r="G92" s="565"/>
      <c r="H92" s="565"/>
      <c r="I92" s="565"/>
      <c r="J92" s="565"/>
      <c r="K92" s="565"/>
      <c r="L92" s="47"/>
      <c r="M92" s="47"/>
      <c r="N92" s="47"/>
      <c r="O92" s="47"/>
      <c r="P92" s="47"/>
      <c r="Q92" s="47"/>
      <c r="R92" s="47"/>
      <c r="S92" s="47"/>
      <c r="T92" s="47"/>
      <c r="U92" s="47"/>
      <c r="V92" s="47"/>
      <c r="W92" s="47"/>
      <c r="X92" s="47"/>
      <c r="Y92" s="47"/>
      <c r="Z92" s="47"/>
      <c r="AA92" s="47"/>
      <c r="AB92" s="47"/>
      <c r="AC92" s="47"/>
      <c r="AD92" s="47"/>
      <c r="AE92" s="47"/>
      <c r="AF92" s="942" t="s">
        <v>662</v>
      </c>
      <c r="AG92" s="615"/>
    </row>
    <row r="93" spans="1:33" s="10" customFormat="1" ht="18.75" x14ac:dyDescent="0.3">
      <c r="A93" s="794" t="s">
        <v>31</v>
      </c>
      <c r="B93" s="47">
        <f>B94</f>
        <v>6.7</v>
      </c>
      <c r="C93" s="565">
        <f>C94</f>
        <v>6.7</v>
      </c>
      <c r="D93" s="565">
        <f>D94</f>
        <v>6.7</v>
      </c>
      <c r="E93" s="565">
        <f>E94</f>
        <v>6.7</v>
      </c>
      <c r="F93" s="565">
        <f>E93/B93*100</f>
        <v>100</v>
      </c>
      <c r="G93" s="565">
        <f>E93/C93*100</f>
        <v>100</v>
      </c>
      <c r="H93" s="565">
        <f>H94</f>
        <v>0</v>
      </c>
      <c r="I93" s="565">
        <f t="shared" ref="I93:AE93" si="23">I94</f>
        <v>0</v>
      </c>
      <c r="J93" s="565">
        <f t="shared" si="23"/>
        <v>0</v>
      </c>
      <c r="K93" s="565">
        <f t="shared" si="23"/>
        <v>0</v>
      </c>
      <c r="L93" s="47">
        <f t="shared" si="23"/>
        <v>0</v>
      </c>
      <c r="M93" s="47">
        <f t="shared" si="23"/>
        <v>0</v>
      </c>
      <c r="N93" s="47">
        <f t="shared" si="23"/>
        <v>0</v>
      </c>
      <c r="O93" s="47">
        <f t="shared" si="23"/>
        <v>0</v>
      </c>
      <c r="P93" s="47">
        <f t="shared" si="23"/>
        <v>0</v>
      </c>
      <c r="Q93" s="47">
        <f t="shared" si="23"/>
        <v>0</v>
      </c>
      <c r="R93" s="47">
        <f t="shared" si="23"/>
        <v>0</v>
      </c>
      <c r="S93" s="47">
        <f t="shared" si="23"/>
        <v>0</v>
      </c>
      <c r="T93" s="47">
        <f t="shared" si="23"/>
        <v>0</v>
      </c>
      <c r="U93" s="47">
        <f t="shared" si="23"/>
        <v>0</v>
      </c>
      <c r="V93" s="47">
        <f t="shared" si="23"/>
        <v>6.7</v>
      </c>
      <c r="W93" s="47">
        <f t="shared" si="23"/>
        <v>0</v>
      </c>
      <c r="X93" s="47">
        <f t="shared" si="23"/>
        <v>0</v>
      </c>
      <c r="Y93" s="47">
        <f t="shared" si="23"/>
        <v>0</v>
      </c>
      <c r="Z93" s="47">
        <f t="shared" si="23"/>
        <v>0</v>
      </c>
      <c r="AA93" s="47">
        <f t="shared" si="23"/>
        <v>0</v>
      </c>
      <c r="AB93" s="47">
        <f t="shared" si="23"/>
        <v>0</v>
      </c>
      <c r="AC93" s="47">
        <f t="shared" si="23"/>
        <v>0</v>
      </c>
      <c r="AD93" s="47">
        <f t="shared" si="23"/>
        <v>0</v>
      </c>
      <c r="AE93" s="47">
        <f t="shared" si="23"/>
        <v>6.7</v>
      </c>
      <c r="AF93" s="47"/>
      <c r="AG93" s="615"/>
    </row>
    <row r="94" spans="1:33" s="10" customFormat="1" ht="18.75" x14ac:dyDescent="0.3">
      <c r="A94" s="794" t="s">
        <v>33</v>
      </c>
      <c r="B94" s="47">
        <f>H94+J94+L94+N94+P94+R94+T94+V94+X94+Z94+AB94+AD94</f>
        <v>6.7</v>
      </c>
      <c r="C94" s="565">
        <v>6.7</v>
      </c>
      <c r="D94" s="565">
        <v>6.7</v>
      </c>
      <c r="E94" s="565">
        <v>6.7</v>
      </c>
      <c r="F94" s="565">
        <f>D94/B94*100</f>
        <v>100</v>
      </c>
      <c r="G94" s="565">
        <f>E94/C94*100</f>
        <v>100</v>
      </c>
      <c r="H94" s="565">
        <v>0</v>
      </c>
      <c r="I94" s="565">
        <v>0</v>
      </c>
      <c r="J94" s="565">
        <v>0</v>
      </c>
      <c r="K94" s="565">
        <v>0</v>
      </c>
      <c r="L94" s="47">
        <v>0</v>
      </c>
      <c r="M94" s="47">
        <v>0</v>
      </c>
      <c r="N94" s="47">
        <v>0</v>
      </c>
      <c r="O94" s="47">
        <v>0</v>
      </c>
      <c r="P94" s="47">
        <v>0</v>
      </c>
      <c r="Q94" s="47">
        <v>0</v>
      </c>
      <c r="R94" s="47">
        <v>0</v>
      </c>
      <c r="S94" s="47">
        <v>0</v>
      </c>
      <c r="T94" s="47">
        <v>0</v>
      </c>
      <c r="U94" s="47">
        <v>0</v>
      </c>
      <c r="V94" s="47">
        <v>6.7</v>
      </c>
      <c r="W94" s="47">
        <v>0</v>
      </c>
      <c r="X94" s="47">
        <v>0</v>
      </c>
      <c r="Y94" s="47">
        <v>0</v>
      </c>
      <c r="Z94" s="47">
        <v>0</v>
      </c>
      <c r="AA94" s="47">
        <v>0</v>
      </c>
      <c r="AB94" s="47">
        <v>0</v>
      </c>
      <c r="AC94" s="47">
        <v>0</v>
      </c>
      <c r="AD94" s="47">
        <v>0</v>
      </c>
      <c r="AE94" s="47">
        <v>6.7</v>
      </c>
      <c r="AF94" s="47"/>
      <c r="AG94" s="615"/>
    </row>
    <row r="95" spans="1:33" s="10" customFormat="1" ht="225" hidden="1" x14ac:dyDescent="0.3">
      <c r="A95" s="50" t="s">
        <v>158</v>
      </c>
      <c r="B95" s="47"/>
      <c r="C95" s="565"/>
      <c r="D95" s="565"/>
      <c r="E95" s="565"/>
      <c r="F95" s="565"/>
      <c r="G95" s="565"/>
      <c r="H95" s="565"/>
      <c r="I95" s="565"/>
      <c r="J95" s="565"/>
      <c r="K95" s="565"/>
      <c r="L95" s="47"/>
      <c r="M95" s="47"/>
      <c r="N95" s="47"/>
      <c r="O95" s="47"/>
      <c r="P95" s="47"/>
      <c r="Q95" s="47"/>
      <c r="R95" s="47"/>
      <c r="S95" s="47"/>
      <c r="T95" s="47"/>
      <c r="U95" s="47"/>
      <c r="V95" s="47"/>
      <c r="W95" s="47"/>
      <c r="X95" s="47"/>
      <c r="Y95" s="47"/>
      <c r="Z95" s="47"/>
      <c r="AA95" s="47"/>
      <c r="AB95" s="47"/>
      <c r="AC95" s="47"/>
      <c r="AD95" s="47"/>
      <c r="AE95" s="47"/>
      <c r="AF95" s="47"/>
      <c r="AG95" s="615"/>
    </row>
    <row r="96" spans="1:33" s="10" customFormat="1" ht="18.75" hidden="1" x14ac:dyDescent="0.3">
      <c r="A96" s="80" t="s">
        <v>31</v>
      </c>
      <c r="B96" s="47"/>
      <c r="C96" s="565"/>
      <c r="D96" s="565"/>
      <c r="E96" s="565"/>
      <c r="F96" s="565"/>
      <c r="G96" s="565"/>
      <c r="H96" s="565"/>
      <c r="I96" s="565"/>
      <c r="J96" s="565"/>
      <c r="K96" s="565"/>
      <c r="L96" s="47"/>
      <c r="M96" s="47"/>
      <c r="N96" s="47"/>
      <c r="O96" s="47"/>
      <c r="P96" s="47"/>
      <c r="Q96" s="47"/>
      <c r="R96" s="47"/>
      <c r="S96" s="47"/>
      <c r="T96" s="47"/>
      <c r="U96" s="47"/>
      <c r="V96" s="47"/>
      <c r="W96" s="47"/>
      <c r="X96" s="47"/>
      <c r="Y96" s="47"/>
      <c r="Z96" s="47"/>
      <c r="AA96" s="47"/>
      <c r="AB96" s="47"/>
      <c r="AC96" s="47"/>
      <c r="AD96" s="47"/>
      <c r="AE96" s="47"/>
      <c r="AF96" s="47"/>
      <c r="AG96" s="615"/>
    </row>
    <row r="97" spans="1:33" s="10" customFormat="1" ht="18.75" hidden="1" x14ac:dyDescent="0.3">
      <c r="A97" s="80" t="s">
        <v>33</v>
      </c>
      <c r="B97" s="47"/>
      <c r="C97" s="565"/>
      <c r="D97" s="565"/>
      <c r="E97" s="565"/>
      <c r="F97" s="565"/>
      <c r="G97" s="565"/>
      <c r="H97" s="565"/>
      <c r="I97" s="565"/>
      <c r="J97" s="565"/>
      <c r="K97" s="565"/>
      <c r="L97" s="47"/>
      <c r="M97" s="47"/>
      <c r="N97" s="47"/>
      <c r="O97" s="47"/>
      <c r="P97" s="47"/>
      <c r="Q97" s="47"/>
      <c r="R97" s="47"/>
      <c r="S97" s="47"/>
      <c r="T97" s="47"/>
      <c r="U97" s="47"/>
      <c r="V97" s="47"/>
      <c r="W97" s="47"/>
      <c r="X97" s="47"/>
      <c r="Y97" s="47"/>
      <c r="Z97" s="47"/>
      <c r="AA97" s="47"/>
      <c r="AB97" s="47"/>
      <c r="AC97" s="47"/>
      <c r="AD97" s="47"/>
      <c r="AE97" s="47"/>
      <c r="AF97" s="47"/>
      <c r="AG97" s="615"/>
    </row>
    <row r="98" spans="1:33" ht="18.75" x14ac:dyDescent="0.3">
      <c r="A98" s="55" t="s">
        <v>35</v>
      </c>
      <c r="B98" s="47"/>
      <c r="C98" s="565"/>
      <c r="D98" s="565"/>
      <c r="E98" s="565"/>
      <c r="F98" s="565"/>
      <c r="G98" s="565"/>
      <c r="H98" s="565"/>
      <c r="I98" s="565"/>
      <c r="J98" s="565"/>
      <c r="K98" s="565"/>
      <c r="L98" s="47"/>
      <c r="M98" s="47"/>
      <c r="N98" s="47"/>
      <c r="O98" s="47"/>
      <c r="P98" s="47"/>
      <c r="Q98" s="47"/>
      <c r="R98" s="47"/>
      <c r="S98" s="47"/>
      <c r="T98" s="47"/>
      <c r="U98" s="47"/>
      <c r="V98" s="47"/>
      <c r="W98" s="47"/>
      <c r="X98" s="47"/>
      <c r="Y98" s="47"/>
      <c r="Z98" s="47"/>
      <c r="AA98" s="47"/>
      <c r="AB98" s="47"/>
      <c r="AC98" s="47"/>
      <c r="AD98" s="47"/>
      <c r="AE98" s="47"/>
      <c r="AF98" s="47"/>
    </row>
    <row r="99" spans="1:33" ht="18.75" x14ac:dyDescent="0.3">
      <c r="A99" s="80" t="s">
        <v>31</v>
      </c>
      <c r="B99" s="47">
        <f>B100</f>
        <v>135.69999999999999</v>
      </c>
      <c r="C99" s="565">
        <f>C100</f>
        <v>135.69999999999999</v>
      </c>
      <c r="D99" s="565">
        <f>D100</f>
        <v>135.69999999999999</v>
      </c>
      <c r="E99" s="565">
        <f>E100</f>
        <v>135.69999999999999</v>
      </c>
      <c r="F99" s="565">
        <f>D99/B99*100</f>
        <v>100</v>
      </c>
      <c r="G99" s="565">
        <f>E99/C99*100</f>
        <v>100</v>
      </c>
      <c r="H99" s="565">
        <v>0</v>
      </c>
      <c r="I99" s="565">
        <v>0</v>
      </c>
      <c r="J99" s="565">
        <v>0</v>
      </c>
      <c r="K99" s="565">
        <v>0</v>
      </c>
      <c r="L99" s="47">
        <v>0</v>
      </c>
      <c r="M99" s="47">
        <v>0</v>
      </c>
      <c r="N99" s="47">
        <v>0</v>
      </c>
      <c r="O99" s="47">
        <v>0</v>
      </c>
      <c r="P99" s="47">
        <v>0</v>
      </c>
      <c r="Q99" s="47">
        <v>0</v>
      </c>
      <c r="R99" s="47">
        <v>0</v>
      </c>
      <c r="S99" s="47">
        <v>0</v>
      </c>
      <c r="T99" s="47">
        <v>0</v>
      </c>
      <c r="U99" s="47">
        <v>0</v>
      </c>
      <c r="V99" s="47">
        <v>0</v>
      </c>
      <c r="W99" s="47">
        <v>0</v>
      </c>
      <c r="X99" s="47"/>
      <c r="Y99" s="47"/>
      <c r="Z99" s="47">
        <v>40</v>
      </c>
      <c r="AA99" s="47">
        <v>11</v>
      </c>
      <c r="AB99" s="47">
        <v>0</v>
      </c>
      <c r="AC99" s="47">
        <v>17</v>
      </c>
      <c r="AD99" s="47">
        <v>0</v>
      </c>
      <c r="AE99" s="47">
        <v>18.7</v>
      </c>
      <c r="AF99" s="47"/>
    </row>
    <row r="100" spans="1:33" ht="18.75" x14ac:dyDescent="0.3">
      <c r="A100" s="80" t="s">
        <v>33</v>
      </c>
      <c r="B100" s="47">
        <f>B64+B82+B91+B97</f>
        <v>135.69999999999999</v>
      </c>
      <c r="C100" s="565">
        <f>C64+C82+C91</f>
        <v>135.69999999999999</v>
      </c>
      <c r="D100" s="565">
        <f>D64+D82+D91</f>
        <v>135.69999999999999</v>
      </c>
      <c r="E100" s="565">
        <f>E64+E82+E91</f>
        <v>135.69999999999999</v>
      </c>
      <c r="F100" s="565">
        <f>D100/B100*100</f>
        <v>100</v>
      </c>
      <c r="G100" s="565">
        <f>E100/C100*100</f>
        <v>100</v>
      </c>
      <c r="H100" s="565">
        <v>0</v>
      </c>
      <c r="I100" s="565">
        <v>0</v>
      </c>
      <c r="J100" s="565">
        <v>0</v>
      </c>
      <c r="K100" s="565">
        <v>0</v>
      </c>
      <c r="L100" s="47">
        <v>0</v>
      </c>
      <c r="M100" s="47">
        <v>0</v>
      </c>
      <c r="N100" s="47">
        <v>0</v>
      </c>
      <c r="O100" s="47">
        <v>0</v>
      </c>
      <c r="P100" s="47">
        <v>0</v>
      </c>
      <c r="Q100" s="47">
        <v>0</v>
      </c>
      <c r="R100" s="47">
        <v>0</v>
      </c>
      <c r="S100" s="47">
        <v>0</v>
      </c>
      <c r="T100" s="47">
        <v>0</v>
      </c>
      <c r="U100" s="47">
        <v>0</v>
      </c>
      <c r="V100" s="47">
        <v>0</v>
      </c>
      <c r="W100" s="47">
        <v>0</v>
      </c>
      <c r="X100" s="47"/>
      <c r="Y100" s="47"/>
      <c r="Z100" s="47">
        <v>40</v>
      </c>
      <c r="AA100" s="47">
        <v>11</v>
      </c>
      <c r="AB100" s="47">
        <v>0</v>
      </c>
      <c r="AC100" s="47">
        <v>17</v>
      </c>
      <c r="AD100" s="47">
        <v>0</v>
      </c>
      <c r="AE100" s="47">
        <v>18.7</v>
      </c>
      <c r="AF100" s="47"/>
    </row>
    <row r="101" spans="1:33" ht="37.5" x14ac:dyDescent="0.3">
      <c r="A101" s="85" t="s">
        <v>73</v>
      </c>
      <c r="B101" s="88"/>
      <c r="C101" s="566"/>
      <c r="D101" s="566"/>
      <c r="E101" s="566"/>
      <c r="F101" s="566"/>
      <c r="G101" s="566"/>
      <c r="H101" s="793"/>
      <c r="I101" s="793"/>
      <c r="J101" s="793"/>
      <c r="K101" s="793"/>
      <c r="L101" s="952"/>
      <c r="M101" s="952"/>
      <c r="N101" s="952"/>
      <c r="O101" s="952"/>
      <c r="P101" s="952"/>
      <c r="Q101" s="952"/>
      <c r="R101" s="952"/>
      <c r="S101" s="952"/>
      <c r="T101" s="952"/>
      <c r="U101" s="952"/>
      <c r="V101" s="952"/>
      <c r="W101" s="952"/>
      <c r="X101" s="952"/>
      <c r="Y101" s="952"/>
      <c r="Z101" s="952"/>
      <c r="AA101" s="952"/>
      <c r="AB101" s="952"/>
      <c r="AC101" s="952"/>
      <c r="AD101" s="952"/>
      <c r="AE101" s="952"/>
      <c r="AF101" s="952"/>
    </row>
    <row r="102" spans="1:33" ht="18.75" x14ac:dyDescent="0.3">
      <c r="A102" s="86" t="s">
        <v>31</v>
      </c>
      <c r="B102" s="57">
        <f>B103</f>
        <v>135.69999999999999</v>
      </c>
      <c r="C102" s="566">
        <f>C103</f>
        <v>135.69999999999999</v>
      </c>
      <c r="D102" s="566">
        <f>D103</f>
        <v>135.69999999999999</v>
      </c>
      <c r="E102" s="566">
        <f>E103</f>
        <v>135.69999999999999</v>
      </c>
      <c r="F102" s="565">
        <f>E102/B102*100</f>
        <v>100</v>
      </c>
      <c r="G102" s="565">
        <f>E102/C102*100</f>
        <v>100</v>
      </c>
      <c r="H102" s="793">
        <v>0</v>
      </c>
      <c r="I102" s="793">
        <v>0</v>
      </c>
      <c r="J102" s="793">
        <v>0</v>
      </c>
      <c r="K102" s="793">
        <v>0</v>
      </c>
      <c r="L102" s="795">
        <v>0</v>
      </c>
      <c r="M102" s="795">
        <v>0</v>
      </c>
      <c r="N102" s="795">
        <v>0</v>
      </c>
      <c r="O102" s="795">
        <v>0</v>
      </c>
      <c r="P102" s="795">
        <v>0</v>
      </c>
      <c r="Q102" s="795">
        <v>0</v>
      </c>
      <c r="R102" s="795">
        <v>0</v>
      </c>
      <c r="S102" s="795">
        <v>0</v>
      </c>
      <c r="T102" s="795">
        <v>0</v>
      </c>
      <c r="U102" s="795">
        <v>0</v>
      </c>
      <c r="V102" s="795">
        <v>0</v>
      </c>
      <c r="W102" s="795">
        <v>0</v>
      </c>
      <c r="X102" s="795"/>
      <c r="Y102" s="795"/>
      <c r="Z102" s="795">
        <v>40</v>
      </c>
      <c r="AA102" s="795">
        <v>11</v>
      </c>
      <c r="AB102" s="795">
        <v>0</v>
      </c>
      <c r="AC102" s="795">
        <v>17</v>
      </c>
      <c r="AD102" s="795">
        <v>0</v>
      </c>
      <c r="AE102" s="795">
        <v>18.7</v>
      </c>
      <c r="AF102" s="952"/>
    </row>
    <row r="103" spans="1:33" s="708" customFormat="1" ht="18.75" x14ac:dyDescent="0.3">
      <c r="A103" s="993" t="s">
        <v>33</v>
      </c>
      <c r="B103" s="800">
        <f>B100</f>
        <v>135.69999999999999</v>
      </c>
      <c r="C103" s="994">
        <f>C100</f>
        <v>135.69999999999999</v>
      </c>
      <c r="D103" s="994">
        <f>D100</f>
        <v>135.69999999999999</v>
      </c>
      <c r="E103" s="994">
        <f>E100</f>
        <v>135.69999999999999</v>
      </c>
      <c r="F103" s="995">
        <f>E103/B103*100</f>
        <v>100</v>
      </c>
      <c r="G103" s="995">
        <f>E103/C103*100</f>
        <v>100</v>
      </c>
      <c r="H103" s="793">
        <v>0</v>
      </c>
      <c r="I103" s="793">
        <v>0</v>
      </c>
      <c r="J103" s="793">
        <v>0</v>
      </c>
      <c r="K103" s="793">
        <v>0</v>
      </c>
      <c r="L103" s="795">
        <v>0</v>
      </c>
      <c r="M103" s="795">
        <v>0</v>
      </c>
      <c r="N103" s="795">
        <v>0</v>
      </c>
      <c r="O103" s="795">
        <v>0</v>
      </c>
      <c r="P103" s="795">
        <v>0</v>
      </c>
      <c r="Q103" s="795">
        <v>0</v>
      </c>
      <c r="R103" s="795">
        <v>0</v>
      </c>
      <c r="S103" s="795">
        <v>0</v>
      </c>
      <c r="T103" s="795">
        <v>0</v>
      </c>
      <c r="U103" s="795">
        <v>0</v>
      </c>
      <c r="V103" s="795">
        <v>0</v>
      </c>
      <c r="W103" s="795">
        <v>0</v>
      </c>
      <c r="X103" s="795"/>
      <c r="Y103" s="795"/>
      <c r="Z103" s="795">
        <v>40</v>
      </c>
      <c r="AA103" s="795">
        <v>11</v>
      </c>
      <c r="AB103" s="795">
        <v>0</v>
      </c>
      <c r="AC103" s="795">
        <v>17</v>
      </c>
      <c r="AD103" s="795">
        <v>0</v>
      </c>
      <c r="AE103" s="795">
        <v>18.7</v>
      </c>
      <c r="AF103" s="952"/>
      <c r="AG103" s="616"/>
    </row>
    <row r="104" spans="1:33" ht="93.75" x14ac:dyDescent="0.3">
      <c r="A104" s="50" t="s">
        <v>159</v>
      </c>
      <c r="B104" s="88"/>
      <c r="C104" s="566"/>
      <c r="D104" s="566"/>
      <c r="E104" s="566"/>
      <c r="F104" s="566"/>
      <c r="G104" s="566"/>
      <c r="H104" s="793"/>
      <c r="I104" s="793"/>
      <c r="J104" s="793"/>
      <c r="K104" s="793"/>
      <c r="L104" s="952"/>
      <c r="M104" s="952"/>
      <c r="N104" s="952"/>
      <c r="O104" s="952"/>
      <c r="P104" s="952"/>
      <c r="Q104" s="952"/>
      <c r="R104" s="952"/>
      <c r="S104" s="952"/>
      <c r="T104" s="952"/>
      <c r="U104" s="952"/>
      <c r="V104" s="952"/>
      <c r="W104" s="952"/>
      <c r="X104" s="952"/>
      <c r="Y104" s="952"/>
      <c r="Z104" s="952"/>
      <c r="AA104" s="952"/>
      <c r="AB104" s="952"/>
      <c r="AC104" s="952"/>
      <c r="AD104" s="952"/>
      <c r="AE104" s="952"/>
      <c r="AF104" s="952"/>
    </row>
    <row r="105" spans="1:33" ht="18.75" x14ac:dyDescent="0.3">
      <c r="A105" s="15" t="s">
        <v>54</v>
      </c>
      <c r="B105" s="88"/>
      <c r="C105" s="566"/>
      <c r="D105" s="566"/>
      <c r="E105" s="566"/>
      <c r="F105" s="566"/>
      <c r="G105" s="566"/>
      <c r="H105" s="793"/>
      <c r="I105" s="793"/>
      <c r="J105" s="793"/>
      <c r="K105" s="793"/>
      <c r="L105" s="952"/>
      <c r="M105" s="952"/>
      <c r="N105" s="952"/>
      <c r="O105" s="952"/>
      <c r="P105" s="952"/>
      <c r="Q105" s="952"/>
      <c r="R105" s="952"/>
      <c r="S105" s="952"/>
      <c r="T105" s="952"/>
      <c r="U105" s="952"/>
      <c r="V105" s="952"/>
      <c r="W105" s="952"/>
      <c r="X105" s="952"/>
      <c r="Y105" s="952"/>
      <c r="Z105" s="952"/>
      <c r="AA105" s="952"/>
      <c r="AB105" s="952"/>
      <c r="AC105" s="952"/>
      <c r="AD105" s="952"/>
      <c r="AE105" s="952"/>
      <c r="AF105" s="952"/>
    </row>
    <row r="106" spans="1:33" ht="93.75" x14ac:dyDescent="0.3">
      <c r="A106" s="50" t="s">
        <v>160</v>
      </c>
      <c r="B106" s="88"/>
      <c r="C106" s="566"/>
      <c r="D106" s="566"/>
      <c r="E106" s="566"/>
      <c r="F106" s="566"/>
      <c r="G106" s="566"/>
      <c r="H106" s="793"/>
      <c r="I106" s="793"/>
      <c r="J106" s="793"/>
      <c r="K106" s="793"/>
      <c r="L106" s="952"/>
      <c r="M106" s="952"/>
      <c r="N106" s="952"/>
      <c r="O106" s="952"/>
      <c r="P106" s="952"/>
      <c r="Q106" s="952"/>
      <c r="R106" s="952"/>
      <c r="S106" s="952"/>
      <c r="T106" s="952"/>
      <c r="U106" s="952"/>
      <c r="V106" s="952"/>
      <c r="W106" s="952"/>
      <c r="X106" s="952"/>
      <c r="Y106" s="952"/>
      <c r="Z106" s="952"/>
      <c r="AA106" s="952"/>
      <c r="AB106" s="952"/>
      <c r="AC106" s="952"/>
      <c r="AD106" s="952"/>
      <c r="AE106" s="952"/>
      <c r="AF106" s="952"/>
    </row>
    <row r="107" spans="1:33" ht="94.5" x14ac:dyDescent="0.3">
      <c r="A107" s="18" t="s">
        <v>31</v>
      </c>
      <c r="B107" s="795">
        <f>B108</f>
        <v>1048.4000000000001</v>
      </c>
      <c r="C107" s="793">
        <f>C108</f>
        <v>1046.98</v>
      </c>
      <c r="D107" s="793">
        <v>1046.98</v>
      </c>
      <c r="E107" s="793">
        <f>E108</f>
        <v>1046.9749999999999</v>
      </c>
      <c r="F107" s="992">
        <f>E107/B107*100</f>
        <v>99.864078595955732</v>
      </c>
      <c r="G107" s="992">
        <f>E107/C107*100</f>
        <v>99.999522435958653</v>
      </c>
      <c r="H107" s="793">
        <f>H108</f>
        <v>0</v>
      </c>
      <c r="I107" s="793">
        <f t="shared" ref="I107:AE107" si="24">I108</f>
        <v>0</v>
      </c>
      <c r="J107" s="793">
        <f>J108</f>
        <v>0</v>
      </c>
      <c r="K107" s="793">
        <f t="shared" si="24"/>
        <v>0</v>
      </c>
      <c r="L107" s="795">
        <f t="shared" si="24"/>
        <v>0</v>
      </c>
      <c r="M107" s="795">
        <f t="shared" si="24"/>
        <v>0</v>
      </c>
      <c r="N107" s="795">
        <f t="shared" si="24"/>
        <v>0</v>
      </c>
      <c r="O107" s="795">
        <f t="shared" si="24"/>
        <v>0</v>
      </c>
      <c r="P107" s="1028">
        <f>P108</f>
        <v>569.4</v>
      </c>
      <c r="Q107" s="795">
        <v>567.995</v>
      </c>
      <c r="R107" s="795">
        <f t="shared" si="24"/>
        <v>0</v>
      </c>
      <c r="S107" s="795">
        <f t="shared" si="24"/>
        <v>0</v>
      </c>
      <c r="T107" s="795">
        <f t="shared" si="24"/>
        <v>479</v>
      </c>
      <c r="U107" s="795">
        <f t="shared" si="24"/>
        <v>0</v>
      </c>
      <c r="V107" s="795">
        <f t="shared" si="24"/>
        <v>0</v>
      </c>
      <c r="W107" s="795">
        <f t="shared" si="24"/>
        <v>478.98</v>
      </c>
      <c r="X107" s="795">
        <f t="shared" si="24"/>
        <v>0</v>
      </c>
      <c r="Y107" s="795">
        <f t="shared" si="24"/>
        <v>0</v>
      </c>
      <c r="Z107" s="795">
        <f t="shared" si="24"/>
        <v>0</v>
      </c>
      <c r="AA107" s="795">
        <f t="shared" si="24"/>
        <v>0</v>
      </c>
      <c r="AB107" s="795">
        <f t="shared" si="24"/>
        <v>0</v>
      </c>
      <c r="AC107" s="795">
        <f t="shared" si="24"/>
        <v>0</v>
      </c>
      <c r="AD107" s="795">
        <f t="shared" si="24"/>
        <v>0</v>
      </c>
      <c r="AE107" s="795">
        <f t="shared" si="24"/>
        <v>0</v>
      </c>
      <c r="AF107" s="1029" t="s">
        <v>539</v>
      </c>
    </row>
    <row r="108" spans="1:33" ht="18.75" x14ac:dyDescent="0.3">
      <c r="A108" s="15" t="s">
        <v>33</v>
      </c>
      <c r="B108" s="47">
        <v>1048.4000000000001</v>
      </c>
      <c r="C108" s="565">
        <v>1046.98</v>
      </c>
      <c r="D108" s="565">
        <v>1046.98</v>
      </c>
      <c r="E108" s="565">
        <f>Q108+W108</f>
        <v>1046.9749999999999</v>
      </c>
      <c r="F108" s="992">
        <f>E108/B108*100</f>
        <v>99.864078595955732</v>
      </c>
      <c r="G108" s="992">
        <f>E108/C108*100</f>
        <v>99.999522435958653</v>
      </c>
      <c r="H108" s="565">
        <v>0</v>
      </c>
      <c r="I108" s="793">
        <v>0</v>
      </c>
      <c r="J108" s="793">
        <v>0</v>
      </c>
      <c r="K108" s="793">
        <v>0</v>
      </c>
      <c r="L108" s="952">
        <v>0</v>
      </c>
      <c r="M108" s="952">
        <v>0</v>
      </c>
      <c r="N108" s="952">
        <v>0</v>
      </c>
      <c r="O108" s="952">
        <v>0</v>
      </c>
      <c r="P108" s="952">
        <v>569.4</v>
      </c>
      <c r="Q108" s="795">
        <v>567.995</v>
      </c>
      <c r="R108" s="952">
        <v>0</v>
      </c>
      <c r="S108" s="952">
        <v>0</v>
      </c>
      <c r="T108" s="793">
        <v>479</v>
      </c>
      <c r="U108" s="952">
        <v>0</v>
      </c>
      <c r="V108" s="952">
        <v>0</v>
      </c>
      <c r="W108" s="952">
        <v>478.98</v>
      </c>
      <c r="X108" s="952">
        <v>0</v>
      </c>
      <c r="Y108" s="952">
        <v>0</v>
      </c>
      <c r="Z108" s="952">
        <v>0</v>
      </c>
      <c r="AA108" s="952">
        <v>0</v>
      </c>
      <c r="AB108" s="952">
        <v>0</v>
      </c>
      <c r="AC108" s="952">
        <v>0</v>
      </c>
      <c r="AD108" s="952">
        <v>0</v>
      </c>
      <c r="AE108" s="952">
        <v>0</v>
      </c>
      <c r="AF108" s="952"/>
    </row>
    <row r="109" spans="1:33" ht="18.75" x14ac:dyDescent="0.3">
      <c r="A109" s="55" t="s">
        <v>62</v>
      </c>
      <c r="B109" s="952"/>
      <c r="C109" s="793"/>
      <c r="D109" s="793"/>
      <c r="E109" s="793"/>
      <c r="F109" s="998"/>
      <c r="G109" s="997"/>
      <c r="H109" s="793"/>
      <c r="I109" s="565"/>
      <c r="J109" s="565"/>
      <c r="K109" s="565"/>
      <c r="L109" s="47"/>
      <c r="M109" s="47"/>
      <c r="N109" s="47"/>
      <c r="O109" s="952"/>
      <c r="P109" s="952"/>
      <c r="Q109" s="795"/>
      <c r="R109" s="952"/>
      <c r="S109" s="952"/>
      <c r="T109" s="952"/>
      <c r="U109" s="952"/>
      <c r="V109" s="952"/>
      <c r="W109" s="952"/>
      <c r="X109" s="952"/>
      <c r="Y109" s="952"/>
      <c r="Z109" s="952"/>
      <c r="AA109" s="952"/>
      <c r="AB109" s="952"/>
      <c r="AC109" s="952"/>
      <c r="AD109" s="952"/>
      <c r="AE109" s="952"/>
      <c r="AF109" s="952"/>
    </row>
    <row r="110" spans="1:33" ht="18.75" x14ac:dyDescent="0.3">
      <c r="A110" s="19" t="s">
        <v>31</v>
      </c>
      <c r="B110" s="795">
        <f>B111</f>
        <v>1048.4000000000001</v>
      </c>
      <c r="C110" s="793">
        <f>C111</f>
        <v>1046.98</v>
      </c>
      <c r="D110" s="793">
        <f>D111</f>
        <v>1046.98</v>
      </c>
      <c r="E110" s="793">
        <f>E111</f>
        <v>1046.9749999999999</v>
      </c>
      <c r="F110" s="992">
        <f>E110/B110*100</f>
        <v>99.864078595955732</v>
      </c>
      <c r="G110" s="992">
        <f>E110/C110*100</f>
        <v>99.999522435958653</v>
      </c>
      <c r="H110" s="793">
        <v>0</v>
      </c>
      <c r="I110" s="793">
        <v>0</v>
      </c>
      <c r="J110" s="793">
        <v>0</v>
      </c>
      <c r="K110" s="793">
        <v>0</v>
      </c>
      <c r="L110" s="795">
        <v>0</v>
      </c>
      <c r="M110" s="795">
        <v>0</v>
      </c>
      <c r="N110" s="795">
        <v>0</v>
      </c>
      <c r="O110" s="795">
        <v>0</v>
      </c>
      <c r="P110" s="795">
        <v>569.4</v>
      </c>
      <c r="Q110" s="795">
        <v>567.995</v>
      </c>
      <c r="R110" s="795">
        <v>0</v>
      </c>
      <c r="S110" s="795">
        <v>0</v>
      </c>
      <c r="T110" s="795">
        <v>479</v>
      </c>
      <c r="U110" s="795">
        <v>0</v>
      </c>
      <c r="V110" s="795">
        <v>0</v>
      </c>
      <c r="W110" s="795">
        <v>478.98</v>
      </c>
      <c r="X110" s="795">
        <v>0</v>
      </c>
      <c r="Y110" s="795">
        <v>0</v>
      </c>
      <c r="Z110" s="795">
        <v>0</v>
      </c>
      <c r="AA110" s="795">
        <v>0</v>
      </c>
      <c r="AB110" s="795">
        <v>0</v>
      </c>
      <c r="AC110" s="795">
        <v>0</v>
      </c>
      <c r="AD110" s="795">
        <v>0</v>
      </c>
      <c r="AE110" s="795">
        <v>0</v>
      </c>
      <c r="AF110" s="952"/>
    </row>
    <row r="111" spans="1:33" ht="18.75" x14ac:dyDescent="0.3">
      <c r="A111" s="15" t="s">
        <v>33</v>
      </c>
      <c r="B111" s="795">
        <f>B108</f>
        <v>1048.4000000000001</v>
      </c>
      <c r="C111" s="793">
        <v>1046.98</v>
      </c>
      <c r="D111" s="793">
        <f>D108</f>
        <v>1046.98</v>
      </c>
      <c r="E111" s="793">
        <f>E108</f>
        <v>1046.9749999999999</v>
      </c>
      <c r="F111" s="992">
        <f>E111/B111*100</f>
        <v>99.864078595955732</v>
      </c>
      <c r="G111" s="992">
        <f>E111/C111*100</f>
        <v>99.999522435958653</v>
      </c>
      <c r="H111" s="793">
        <v>0</v>
      </c>
      <c r="I111" s="793">
        <v>0</v>
      </c>
      <c r="J111" s="793">
        <v>0</v>
      </c>
      <c r="K111" s="793">
        <v>0</v>
      </c>
      <c r="L111" s="795">
        <v>0</v>
      </c>
      <c r="M111" s="795">
        <v>0</v>
      </c>
      <c r="N111" s="795">
        <v>0</v>
      </c>
      <c r="O111" s="795">
        <v>0</v>
      </c>
      <c r="P111" s="795">
        <v>569.4</v>
      </c>
      <c r="Q111" s="795">
        <v>567.995</v>
      </c>
      <c r="R111" s="795">
        <v>0</v>
      </c>
      <c r="S111" s="795">
        <v>0</v>
      </c>
      <c r="T111" s="795">
        <v>479</v>
      </c>
      <c r="U111" s="795">
        <v>0</v>
      </c>
      <c r="V111" s="795">
        <v>0</v>
      </c>
      <c r="W111" s="795">
        <v>478.98</v>
      </c>
      <c r="X111" s="795">
        <v>0</v>
      </c>
      <c r="Y111" s="795">
        <v>0</v>
      </c>
      <c r="Z111" s="795">
        <v>0</v>
      </c>
      <c r="AA111" s="795">
        <v>0</v>
      </c>
      <c r="AB111" s="795">
        <v>0</v>
      </c>
      <c r="AC111" s="795">
        <v>0</v>
      </c>
      <c r="AD111" s="795">
        <v>0</v>
      </c>
      <c r="AE111" s="795">
        <v>0</v>
      </c>
      <c r="AF111" s="952"/>
    </row>
    <row r="112" spans="1:33" ht="37.5" x14ac:dyDescent="0.3">
      <c r="A112" s="85" t="s">
        <v>76</v>
      </c>
      <c r="B112" s="952"/>
      <c r="C112" s="793"/>
      <c r="D112" s="793"/>
      <c r="E112" s="793"/>
      <c r="F112" s="998"/>
      <c r="G112" s="997"/>
      <c r="H112" s="793"/>
      <c r="I112" s="793"/>
      <c r="J112" s="793"/>
      <c r="K112" s="793"/>
      <c r="L112" s="952"/>
      <c r="M112" s="952"/>
      <c r="N112" s="952"/>
      <c r="O112" s="952"/>
      <c r="P112" s="952"/>
      <c r="Q112" s="795"/>
      <c r="R112" s="952"/>
      <c r="S112" s="952"/>
      <c r="T112" s="952"/>
      <c r="U112" s="952"/>
      <c r="V112" s="952"/>
      <c r="W112" s="952"/>
      <c r="X112" s="952"/>
      <c r="Y112" s="952"/>
      <c r="Z112" s="952"/>
      <c r="AA112" s="952"/>
      <c r="AB112" s="952"/>
      <c r="AC112" s="952"/>
      <c r="AD112" s="952"/>
      <c r="AE112" s="952"/>
      <c r="AF112" s="952"/>
    </row>
    <row r="113" spans="1:32" ht="18.75" x14ac:dyDescent="0.3">
      <c r="A113" s="86" t="s">
        <v>31</v>
      </c>
      <c r="B113" s="795">
        <f>B114</f>
        <v>1048.4000000000001</v>
      </c>
      <c r="C113" s="793">
        <v>1046.98</v>
      </c>
      <c r="D113" s="793">
        <f>D114</f>
        <v>1046.98</v>
      </c>
      <c r="E113" s="793">
        <f>E114</f>
        <v>1046.9749999999999</v>
      </c>
      <c r="F113" s="992">
        <f t="shared" ref="F113:F122" si="25">E113/B113*100</f>
        <v>99.864078595955732</v>
      </c>
      <c r="G113" s="992">
        <f t="shared" ref="G113:G122" si="26">E113/C113*100</f>
        <v>99.999522435958653</v>
      </c>
      <c r="H113" s="793">
        <f>H114</f>
        <v>0</v>
      </c>
      <c r="I113" s="793">
        <f t="shared" ref="I113:AE113" si="27">I114</f>
        <v>0</v>
      </c>
      <c r="J113" s="793">
        <f t="shared" si="27"/>
        <v>0</v>
      </c>
      <c r="K113" s="793">
        <f t="shared" si="27"/>
        <v>0</v>
      </c>
      <c r="L113" s="795">
        <f t="shared" si="27"/>
        <v>0</v>
      </c>
      <c r="M113" s="795">
        <f t="shared" si="27"/>
        <v>0</v>
      </c>
      <c r="N113" s="795">
        <f t="shared" si="27"/>
        <v>0</v>
      </c>
      <c r="O113" s="795">
        <f t="shared" si="27"/>
        <v>0</v>
      </c>
      <c r="P113" s="795">
        <f t="shared" si="27"/>
        <v>569.4</v>
      </c>
      <c r="Q113" s="795">
        <f t="shared" si="27"/>
        <v>567.995</v>
      </c>
      <c r="R113" s="795">
        <f t="shared" si="27"/>
        <v>0</v>
      </c>
      <c r="S113" s="795">
        <f t="shared" si="27"/>
        <v>0</v>
      </c>
      <c r="T113" s="795">
        <f t="shared" si="27"/>
        <v>479</v>
      </c>
      <c r="U113" s="795">
        <f t="shared" si="27"/>
        <v>0</v>
      </c>
      <c r="V113" s="795">
        <f t="shared" si="27"/>
        <v>0</v>
      </c>
      <c r="W113" s="795">
        <f t="shared" si="27"/>
        <v>478.98</v>
      </c>
      <c r="X113" s="795">
        <f t="shared" si="27"/>
        <v>0</v>
      </c>
      <c r="Y113" s="795">
        <f t="shared" si="27"/>
        <v>0</v>
      </c>
      <c r="Z113" s="795">
        <f t="shared" si="27"/>
        <v>0</v>
      </c>
      <c r="AA113" s="795">
        <f t="shared" si="27"/>
        <v>0</v>
      </c>
      <c r="AB113" s="795">
        <f t="shared" si="27"/>
        <v>0</v>
      </c>
      <c r="AC113" s="795">
        <f t="shared" si="27"/>
        <v>0</v>
      </c>
      <c r="AD113" s="795">
        <f t="shared" si="27"/>
        <v>0</v>
      </c>
      <c r="AE113" s="795">
        <f t="shared" si="27"/>
        <v>0</v>
      </c>
      <c r="AF113" s="952"/>
    </row>
    <row r="114" spans="1:32" ht="18.75" x14ac:dyDescent="0.3">
      <c r="A114" s="80" t="s">
        <v>33</v>
      </c>
      <c r="B114" s="795">
        <f>B111</f>
        <v>1048.4000000000001</v>
      </c>
      <c r="C114" s="793">
        <v>1046.98</v>
      </c>
      <c r="D114" s="793">
        <f>D111</f>
        <v>1046.98</v>
      </c>
      <c r="E114" s="793">
        <f>E111</f>
        <v>1046.9749999999999</v>
      </c>
      <c r="F114" s="992">
        <f t="shared" si="25"/>
        <v>99.864078595955732</v>
      </c>
      <c r="G114" s="992">
        <f t="shared" si="26"/>
        <v>99.999522435958653</v>
      </c>
      <c r="H114" s="793">
        <v>0</v>
      </c>
      <c r="I114" s="793">
        <v>0</v>
      </c>
      <c r="J114" s="793">
        <v>0</v>
      </c>
      <c r="K114" s="793">
        <v>0</v>
      </c>
      <c r="L114" s="795">
        <v>0</v>
      </c>
      <c r="M114" s="795">
        <v>0</v>
      </c>
      <c r="N114" s="795">
        <v>0</v>
      </c>
      <c r="O114" s="795">
        <v>0</v>
      </c>
      <c r="P114" s="795">
        <v>569.4</v>
      </c>
      <c r="Q114" s="795">
        <v>567.995</v>
      </c>
      <c r="R114" s="795">
        <v>0</v>
      </c>
      <c r="S114" s="795">
        <v>0</v>
      </c>
      <c r="T114" s="795">
        <v>479</v>
      </c>
      <c r="U114" s="795">
        <v>0</v>
      </c>
      <c r="V114" s="795">
        <v>0</v>
      </c>
      <c r="W114" s="795">
        <v>478.98</v>
      </c>
      <c r="X114" s="795">
        <v>0</v>
      </c>
      <c r="Y114" s="795">
        <v>0</v>
      </c>
      <c r="Z114" s="795">
        <v>0</v>
      </c>
      <c r="AA114" s="795">
        <v>0</v>
      </c>
      <c r="AB114" s="795">
        <v>0</v>
      </c>
      <c r="AC114" s="795">
        <v>0</v>
      </c>
      <c r="AD114" s="795">
        <v>0</v>
      </c>
      <c r="AE114" s="795">
        <v>0</v>
      </c>
      <c r="AF114" s="952"/>
    </row>
    <row r="115" spans="1:32" ht="37.5" x14ac:dyDescent="0.3">
      <c r="A115" s="55" t="s">
        <v>63</v>
      </c>
      <c r="B115" s="795">
        <f>B116+B117</f>
        <v>2145.9</v>
      </c>
      <c r="C115" s="793">
        <f>C116+C117</f>
        <v>2143.98</v>
      </c>
      <c r="D115" s="793">
        <f>D116+D117</f>
        <v>2143.98</v>
      </c>
      <c r="E115" s="793">
        <f>E116+E117</f>
        <v>2143.9749999999999</v>
      </c>
      <c r="F115" s="992">
        <f t="shared" si="25"/>
        <v>99.910294049116914</v>
      </c>
      <c r="G115" s="992">
        <f t="shared" si="26"/>
        <v>99.999766788869294</v>
      </c>
      <c r="H115" s="793">
        <f>H116+H117</f>
        <v>0</v>
      </c>
      <c r="I115" s="793">
        <f t="shared" ref="I115:AE115" si="28">I116+I117</f>
        <v>0</v>
      </c>
      <c r="J115" s="793">
        <f t="shared" si="28"/>
        <v>0</v>
      </c>
      <c r="K115" s="793">
        <f t="shared" si="28"/>
        <v>0</v>
      </c>
      <c r="L115" s="795">
        <f t="shared" si="28"/>
        <v>350</v>
      </c>
      <c r="M115" s="795">
        <f t="shared" si="28"/>
        <v>122.8</v>
      </c>
      <c r="N115" s="795">
        <f t="shared" si="28"/>
        <v>0</v>
      </c>
      <c r="O115" s="795">
        <f t="shared" si="28"/>
        <v>107.2</v>
      </c>
      <c r="P115" s="795">
        <f t="shared" si="28"/>
        <v>569.4</v>
      </c>
      <c r="Q115" s="795">
        <f t="shared" si="28"/>
        <v>767.995</v>
      </c>
      <c r="R115" s="795">
        <f t="shared" si="28"/>
        <v>0</v>
      </c>
      <c r="S115" s="795">
        <f t="shared" si="28"/>
        <v>0</v>
      </c>
      <c r="T115" s="795">
        <f t="shared" si="28"/>
        <v>479</v>
      </c>
      <c r="U115" s="795">
        <f t="shared" si="28"/>
        <v>0</v>
      </c>
      <c r="V115" s="795">
        <f>V94</f>
        <v>6.7</v>
      </c>
      <c r="W115" s="795">
        <v>478.98</v>
      </c>
      <c r="X115" s="795">
        <f>X70</f>
        <v>9</v>
      </c>
      <c r="Y115" s="795">
        <f t="shared" si="28"/>
        <v>9</v>
      </c>
      <c r="Z115" s="795">
        <f t="shared" si="28"/>
        <v>342</v>
      </c>
      <c r="AA115" s="795">
        <f t="shared" si="28"/>
        <v>172.5</v>
      </c>
      <c r="AB115" s="795">
        <f t="shared" si="28"/>
        <v>309.8</v>
      </c>
      <c r="AC115" s="795">
        <f t="shared" si="28"/>
        <v>370.8</v>
      </c>
      <c r="AD115" s="795">
        <f>AD85</f>
        <v>0</v>
      </c>
      <c r="AE115" s="795">
        <f t="shared" si="28"/>
        <v>114.7</v>
      </c>
      <c r="AF115" s="952"/>
    </row>
    <row r="116" spans="1:32" ht="18.75" x14ac:dyDescent="0.3">
      <c r="A116" s="15" t="s">
        <v>97</v>
      </c>
      <c r="B116" s="795">
        <f>B52</f>
        <v>195.6</v>
      </c>
      <c r="C116" s="793">
        <v>195.6</v>
      </c>
      <c r="D116" s="793">
        <v>195.6</v>
      </c>
      <c r="E116" s="793">
        <v>195.6</v>
      </c>
      <c r="F116" s="992"/>
      <c r="G116" s="992"/>
      <c r="H116" s="793">
        <f>H52</f>
        <v>0</v>
      </c>
      <c r="I116" s="793">
        <f t="shared" ref="I116:AE116" si="29">I52</f>
        <v>0</v>
      </c>
      <c r="J116" s="793">
        <f t="shared" si="29"/>
        <v>0</v>
      </c>
      <c r="K116" s="793">
        <f t="shared" si="29"/>
        <v>0</v>
      </c>
      <c r="L116" s="795">
        <f t="shared" si="29"/>
        <v>97.8</v>
      </c>
      <c r="M116" s="795">
        <f t="shared" si="29"/>
        <v>97.8</v>
      </c>
      <c r="N116" s="795">
        <f t="shared" si="29"/>
        <v>0</v>
      </c>
      <c r="O116" s="795">
        <f t="shared" si="29"/>
        <v>0</v>
      </c>
      <c r="P116" s="795">
        <f t="shared" si="29"/>
        <v>0</v>
      </c>
      <c r="Q116" s="795">
        <f t="shared" si="29"/>
        <v>0</v>
      </c>
      <c r="R116" s="795">
        <f t="shared" si="29"/>
        <v>0</v>
      </c>
      <c r="S116" s="795">
        <f t="shared" si="29"/>
        <v>0</v>
      </c>
      <c r="T116" s="795">
        <f t="shared" si="29"/>
        <v>0</v>
      </c>
      <c r="U116" s="795">
        <f t="shared" si="29"/>
        <v>0</v>
      </c>
      <c r="V116" s="795">
        <f t="shared" si="29"/>
        <v>0</v>
      </c>
      <c r="W116" s="795">
        <v>0</v>
      </c>
      <c r="X116" s="795">
        <f t="shared" si="29"/>
        <v>0</v>
      </c>
      <c r="Y116" s="795">
        <f t="shared" si="29"/>
        <v>0</v>
      </c>
      <c r="Z116" s="795">
        <f t="shared" si="29"/>
        <v>97.8</v>
      </c>
      <c r="AA116" s="795">
        <f t="shared" si="29"/>
        <v>97.8</v>
      </c>
      <c r="AB116" s="795">
        <f t="shared" si="29"/>
        <v>0</v>
      </c>
      <c r="AC116" s="795">
        <f t="shared" si="29"/>
        <v>0</v>
      </c>
      <c r="AD116" s="795">
        <f t="shared" si="29"/>
        <v>0</v>
      </c>
      <c r="AE116" s="795">
        <f t="shared" si="29"/>
        <v>0</v>
      </c>
      <c r="AF116" s="952"/>
    </row>
    <row r="117" spans="1:32" ht="18.75" x14ac:dyDescent="0.3">
      <c r="A117" s="15" t="s">
        <v>33</v>
      </c>
      <c r="B117" s="795">
        <f>B53+B100+B111</f>
        <v>1950.3000000000002</v>
      </c>
      <c r="C117" s="793">
        <v>1948.38</v>
      </c>
      <c r="D117" s="793">
        <f>D53+D100+D111</f>
        <v>1948.38</v>
      </c>
      <c r="E117" s="793">
        <f>E53+E100+E111</f>
        <v>1948.375</v>
      </c>
      <c r="F117" s="992">
        <f t="shared" si="25"/>
        <v>99.901297236322605</v>
      </c>
      <c r="G117" s="992">
        <f t="shared" si="26"/>
        <v>99.999743376548722</v>
      </c>
      <c r="H117" s="793">
        <f>H53+H100+H111</f>
        <v>0</v>
      </c>
      <c r="I117" s="793">
        <f>I53+I100+I111</f>
        <v>0</v>
      </c>
      <c r="J117" s="793">
        <f t="shared" ref="J117:AE117" si="30">J53+J100+J111</f>
        <v>0</v>
      </c>
      <c r="K117" s="793">
        <f t="shared" si="30"/>
        <v>0</v>
      </c>
      <c r="L117" s="795">
        <f>L53+L100+L111</f>
        <v>252.2</v>
      </c>
      <c r="M117" s="795">
        <f t="shared" si="30"/>
        <v>25</v>
      </c>
      <c r="N117" s="795">
        <f t="shared" si="30"/>
        <v>0</v>
      </c>
      <c r="O117" s="795">
        <f>O53+O100+O111+O79</f>
        <v>107.2</v>
      </c>
      <c r="P117" s="795">
        <f>P53+P100+P111</f>
        <v>569.4</v>
      </c>
      <c r="Q117" s="795">
        <f>Q53+Q100+Q111</f>
        <v>767.995</v>
      </c>
      <c r="R117" s="795">
        <f t="shared" si="30"/>
        <v>0</v>
      </c>
      <c r="S117" s="795">
        <f>S53+S100+S111</f>
        <v>0</v>
      </c>
      <c r="T117" s="795">
        <f t="shared" si="30"/>
        <v>479</v>
      </c>
      <c r="U117" s="795">
        <f>U53+U100+U111</f>
        <v>0</v>
      </c>
      <c r="V117" s="795">
        <f t="shared" si="30"/>
        <v>0</v>
      </c>
      <c r="W117" s="795">
        <f>W53+W100+W111</f>
        <v>478.98</v>
      </c>
      <c r="X117" s="795">
        <f t="shared" si="30"/>
        <v>0</v>
      </c>
      <c r="Y117" s="795">
        <v>9</v>
      </c>
      <c r="Z117" s="795">
        <f t="shared" si="30"/>
        <v>244.2</v>
      </c>
      <c r="AA117" s="795">
        <f t="shared" si="30"/>
        <v>74.7</v>
      </c>
      <c r="AB117" s="795">
        <f t="shared" si="30"/>
        <v>309.8</v>
      </c>
      <c r="AC117" s="795">
        <f t="shared" si="30"/>
        <v>370.8</v>
      </c>
      <c r="AD117" s="795">
        <f t="shared" si="30"/>
        <v>0</v>
      </c>
      <c r="AE117" s="795">
        <f t="shared" si="30"/>
        <v>114.7</v>
      </c>
      <c r="AF117" s="952"/>
    </row>
    <row r="118" spans="1:32" ht="37.5" x14ac:dyDescent="0.3">
      <c r="A118" s="90" t="s">
        <v>130</v>
      </c>
      <c r="B118" s="795">
        <f>B54</f>
        <v>456.4</v>
      </c>
      <c r="C118" s="793">
        <f>C54</f>
        <v>455.9</v>
      </c>
      <c r="D118" s="793">
        <v>455.9</v>
      </c>
      <c r="E118" s="793">
        <f>E54</f>
        <v>455.9</v>
      </c>
      <c r="F118" s="992">
        <f t="shared" si="25"/>
        <v>99.890446976336548</v>
      </c>
      <c r="G118" s="565">
        <f t="shared" si="26"/>
        <v>100</v>
      </c>
      <c r="H118" s="793">
        <f t="shared" ref="H118:AE118" si="31">H54</f>
        <v>0</v>
      </c>
      <c r="I118" s="793">
        <f>I54</f>
        <v>0</v>
      </c>
      <c r="J118" s="793">
        <f t="shared" si="31"/>
        <v>0</v>
      </c>
      <c r="K118" s="793">
        <f t="shared" si="31"/>
        <v>0</v>
      </c>
      <c r="L118" s="795">
        <f t="shared" si="31"/>
        <v>228.2</v>
      </c>
      <c r="M118" s="795">
        <f t="shared" si="31"/>
        <v>25</v>
      </c>
      <c r="N118" s="795">
        <f t="shared" si="31"/>
        <v>0</v>
      </c>
      <c r="O118" s="795">
        <f t="shared" si="31"/>
        <v>27.2</v>
      </c>
      <c r="P118" s="795">
        <f t="shared" si="31"/>
        <v>0</v>
      </c>
      <c r="Q118" s="795">
        <f>Q54</f>
        <v>200</v>
      </c>
      <c r="R118" s="795">
        <f t="shared" si="31"/>
        <v>0</v>
      </c>
      <c r="S118" s="795">
        <f t="shared" si="31"/>
        <v>0</v>
      </c>
      <c r="T118" s="795">
        <f t="shared" si="31"/>
        <v>0</v>
      </c>
      <c r="U118" s="795">
        <f t="shared" si="31"/>
        <v>0</v>
      </c>
      <c r="V118" s="795">
        <f t="shared" si="31"/>
        <v>0</v>
      </c>
      <c r="W118" s="795">
        <f t="shared" si="31"/>
        <v>0</v>
      </c>
      <c r="X118" s="795">
        <f t="shared" si="31"/>
        <v>0</v>
      </c>
      <c r="Y118" s="795">
        <f t="shared" si="31"/>
        <v>0</v>
      </c>
      <c r="Z118" s="795">
        <f t="shared" si="31"/>
        <v>228.2</v>
      </c>
      <c r="AA118" s="795">
        <f t="shared" si="31"/>
        <v>63.7</v>
      </c>
      <c r="AB118" s="795">
        <f t="shared" si="31"/>
        <v>0</v>
      </c>
      <c r="AC118" s="795">
        <f t="shared" si="31"/>
        <v>140</v>
      </c>
      <c r="AD118" s="795">
        <f t="shared" si="31"/>
        <v>0</v>
      </c>
      <c r="AE118" s="795">
        <f t="shared" si="31"/>
        <v>0</v>
      </c>
      <c r="AF118" s="952"/>
    </row>
    <row r="119" spans="1:32" ht="37.5" x14ac:dyDescent="0.3">
      <c r="A119" s="56" t="s">
        <v>64</v>
      </c>
      <c r="B119" s="795">
        <f>B120+B121</f>
        <v>2145.9</v>
      </c>
      <c r="C119" s="795">
        <f>C120+C121</f>
        <v>2143.98</v>
      </c>
      <c r="D119" s="795">
        <f>D120+D121</f>
        <v>2143.98</v>
      </c>
      <c r="E119" s="795">
        <f>E120+E121</f>
        <v>2143.9749999999999</v>
      </c>
      <c r="F119" s="992">
        <f t="shared" si="25"/>
        <v>99.910294049116914</v>
      </c>
      <c r="G119" s="992">
        <f t="shared" si="26"/>
        <v>99.999766788869294</v>
      </c>
      <c r="H119" s="793">
        <f>H120+H121+H122</f>
        <v>0</v>
      </c>
      <c r="I119" s="793">
        <f t="shared" ref="I119:AE119" si="32">I120+I121+I122</f>
        <v>0</v>
      </c>
      <c r="J119" s="793">
        <f t="shared" si="32"/>
        <v>0</v>
      </c>
      <c r="K119" s="793">
        <f t="shared" si="32"/>
        <v>0</v>
      </c>
      <c r="L119" s="795">
        <f t="shared" si="32"/>
        <v>578.20000000000005</v>
      </c>
      <c r="M119" s="795">
        <f>M120+M121</f>
        <v>122.8</v>
      </c>
      <c r="N119" s="795">
        <f>N120+N121</f>
        <v>0</v>
      </c>
      <c r="O119" s="795">
        <f>O120+O121</f>
        <v>107.2</v>
      </c>
      <c r="P119" s="795">
        <f>P120+P121</f>
        <v>569.4</v>
      </c>
      <c r="Q119" s="795">
        <f>Q120+Q121</f>
        <v>767.995</v>
      </c>
      <c r="R119" s="795">
        <f t="shared" si="32"/>
        <v>0</v>
      </c>
      <c r="S119" s="795">
        <f t="shared" si="32"/>
        <v>0</v>
      </c>
      <c r="T119" s="795">
        <f t="shared" si="32"/>
        <v>479</v>
      </c>
      <c r="U119" s="795">
        <f t="shared" si="32"/>
        <v>0</v>
      </c>
      <c r="V119" s="795">
        <f t="shared" si="32"/>
        <v>0</v>
      </c>
      <c r="W119" s="795">
        <f t="shared" si="32"/>
        <v>478.98</v>
      </c>
      <c r="X119" s="795">
        <f t="shared" si="32"/>
        <v>0</v>
      </c>
      <c r="Y119" s="795">
        <f t="shared" si="32"/>
        <v>9</v>
      </c>
      <c r="Z119" s="795">
        <f t="shared" si="32"/>
        <v>570.20000000000005</v>
      </c>
      <c r="AA119" s="795">
        <f t="shared" si="32"/>
        <v>236.2</v>
      </c>
      <c r="AB119" s="795">
        <f t="shared" si="32"/>
        <v>309.8</v>
      </c>
      <c r="AC119" s="795">
        <f t="shared" si="32"/>
        <v>510.8</v>
      </c>
      <c r="AD119" s="795">
        <f t="shared" si="32"/>
        <v>0</v>
      </c>
      <c r="AE119" s="795">
        <f t="shared" si="32"/>
        <v>114.7</v>
      </c>
      <c r="AF119" s="952"/>
    </row>
    <row r="120" spans="1:32" ht="18.75" x14ac:dyDescent="0.3">
      <c r="A120" s="15" t="s">
        <v>97</v>
      </c>
      <c r="B120" s="795">
        <f t="shared" ref="B120:E122" si="33">B116</f>
        <v>195.6</v>
      </c>
      <c r="C120" s="793">
        <v>195.6</v>
      </c>
      <c r="D120" s="793">
        <v>195.6</v>
      </c>
      <c r="E120" s="793">
        <v>195.6</v>
      </c>
      <c r="F120" s="992"/>
      <c r="G120" s="565"/>
      <c r="H120" s="793">
        <f>H116</f>
        <v>0</v>
      </c>
      <c r="I120" s="793">
        <f t="shared" ref="I120:AE120" si="34">I116</f>
        <v>0</v>
      </c>
      <c r="J120" s="793">
        <f t="shared" si="34"/>
        <v>0</v>
      </c>
      <c r="K120" s="793">
        <f t="shared" si="34"/>
        <v>0</v>
      </c>
      <c r="L120" s="795">
        <f t="shared" si="34"/>
        <v>97.8</v>
      </c>
      <c r="M120" s="795">
        <f>M116</f>
        <v>97.8</v>
      </c>
      <c r="N120" s="795">
        <f t="shared" si="34"/>
        <v>0</v>
      </c>
      <c r="O120" s="795">
        <f t="shared" si="34"/>
        <v>0</v>
      </c>
      <c r="P120" s="795">
        <f t="shared" si="34"/>
        <v>0</v>
      </c>
      <c r="Q120" s="795">
        <f t="shared" si="34"/>
        <v>0</v>
      </c>
      <c r="R120" s="795">
        <f t="shared" si="34"/>
        <v>0</v>
      </c>
      <c r="S120" s="795">
        <f t="shared" si="34"/>
        <v>0</v>
      </c>
      <c r="T120" s="795">
        <f t="shared" si="34"/>
        <v>0</v>
      </c>
      <c r="U120" s="795">
        <f t="shared" si="34"/>
        <v>0</v>
      </c>
      <c r="V120" s="795">
        <f t="shared" si="34"/>
        <v>0</v>
      </c>
      <c r="W120" s="795">
        <f t="shared" si="34"/>
        <v>0</v>
      </c>
      <c r="X120" s="795">
        <f t="shared" si="34"/>
        <v>0</v>
      </c>
      <c r="Y120" s="795">
        <f t="shared" si="34"/>
        <v>0</v>
      </c>
      <c r="Z120" s="795">
        <f t="shared" si="34"/>
        <v>97.8</v>
      </c>
      <c r="AA120" s="795">
        <f t="shared" si="34"/>
        <v>97.8</v>
      </c>
      <c r="AB120" s="795">
        <f t="shared" si="34"/>
        <v>0</v>
      </c>
      <c r="AC120" s="795">
        <f t="shared" si="34"/>
        <v>0</v>
      </c>
      <c r="AD120" s="795">
        <f t="shared" si="34"/>
        <v>0</v>
      </c>
      <c r="AE120" s="795">
        <f t="shared" si="34"/>
        <v>0</v>
      </c>
      <c r="AF120" s="952"/>
    </row>
    <row r="121" spans="1:32" ht="18.75" x14ac:dyDescent="0.3">
      <c r="A121" s="15" t="s">
        <v>33</v>
      </c>
      <c r="B121" s="795">
        <f t="shared" si="33"/>
        <v>1950.3000000000002</v>
      </c>
      <c r="C121" s="793">
        <f t="shared" si="33"/>
        <v>1948.38</v>
      </c>
      <c r="D121" s="793">
        <f t="shared" si="33"/>
        <v>1948.38</v>
      </c>
      <c r="E121" s="793">
        <f t="shared" si="33"/>
        <v>1948.375</v>
      </c>
      <c r="F121" s="992">
        <f t="shared" si="25"/>
        <v>99.901297236322605</v>
      </c>
      <c r="G121" s="992">
        <f t="shared" si="26"/>
        <v>99.999743376548722</v>
      </c>
      <c r="H121" s="793">
        <f>H117</f>
        <v>0</v>
      </c>
      <c r="I121" s="793">
        <f t="shared" ref="I121:AE121" si="35">I117</f>
        <v>0</v>
      </c>
      <c r="J121" s="793">
        <f t="shared" si="35"/>
        <v>0</v>
      </c>
      <c r="K121" s="793">
        <f t="shared" si="35"/>
        <v>0</v>
      </c>
      <c r="L121" s="795">
        <f t="shared" si="35"/>
        <v>252.2</v>
      </c>
      <c r="M121" s="795">
        <f t="shared" si="35"/>
        <v>25</v>
      </c>
      <c r="N121" s="795">
        <f t="shared" si="35"/>
        <v>0</v>
      </c>
      <c r="O121" s="795">
        <f>O117</f>
        <v>107.2</v>
      </c>
      <c r="P121" s="795">
        <f t="shared" si="35"/>
        <v>569.4</v>
      </c>
      <c r="Q121" s="795">
        <f>Q117</f>
        <v>767.995</v>
      </c>
      <c r="R121" s="795">
        <f t="shared" si="35"/>
        <v>0</v>
      </c>
      <c r="S121" s="795">
        <f t="shared" si="35"/>
        <v>0</v>
      </c>
      <c r="T121" s="795">
        <f t="shared" si="35"/>
        <v>479</v>
      </c>
      <c r="U121" s="795">
        <f t="shared" si="35"/>
        <v>0</v>
      </c>
      <c r="V121" s="795">
        <f t="shared" si="35"/>
        <v>0</v>
      </c>
      <c r="W121" s="795">
        <f t="shared" si="35"/>
        <v>478.98</v>
      </c>
      <c r="X121" s="795">
        <f t="shared" si="35"/>
        <v>0</v>
      </c>
      <c r="Y121" s="795">
        <f t="shared" si="35"/>
        <v>9</v>
      </c>
      <c r="Z121" s="795">
        <f t="shared" si="35"/>
        <v>244.2</v>
      </c>
      <c r="AA121" s="795">
        <f t="shared" si="35"/>
        <v>74.7</v>
      </c>
      <c r="AB121" s="795">
        <f t="shared" si="35"/>
        <v>309.8</v>
      </c>
      <c r="AC121" s="795">
        <f t="shared" si="35"/>
        <v>370.8</v>
      </c>
      <c r="AD121" s="795">
        <f t="shared" si="35"/>
        <v>0</v>
      </c>
      <c r="AE121" s="795">
        <f t="shared" si="35"/>
        <v>114.7</v>
      </c>
      <c r="AF121" s="952"/>
    </row>
    <row r="122" spans="1:32" ht="37.5" x14ac:dyDescent="0.3">
      <c r="A122" s="91" t="s">
        <v>130</v>
      </c>
      <c r="B122" s="795">
        <f t="shared" si="33"/>
        <v>456.4</v>
      </c>
      <c r="C122" s="793">
        <f t="shared" si="33"/>
        <v>455.9</v>
      </c>
      <c r="D122" s="793">
        <f t="shared" si="33"/>
        <v>455.9</v>
      </c>
      <c r="E122" s="793">
        <f t="shared" si="33"/>
        <v>455.9</v>
      </c>
      <c r="F122" s="992">
        <f t="shared" si="25"/>
        <v>99.890446976336548</v>
      </c>
      <c r="G122" s="565">
        <f t="shared" si="26"/>
        <v>100</v>
      </c>
      <c r="H122" s="793">
        <f>H118</f>
        <v>0</v>
      </c>
      <c r="I122" s="793">
        <f t="shared" ref="I122:AE122" si="36">I118</f>
        <v>0</v>
      </c>
      <c r="J122" s="793">
        <f t="shared" si="36"/>
        <v>0</v>
      </c>
      <c r="K122" s="793">
        <f t="shared" si="36"/>
        <v>0</v>
      </c>
      <c r="L122" s="795">
        <f t="shared" si="36"/>
        <v>228.2</v>
      </c>
      <c r="M122" s="795">
        <f t="shared" si="36"/>
        <v>25</v>
      </c>
      <c r="N122" s="795">
        <f t="shared" si="36"/>
        <v>0</v>
      </c>
      <c r="O122" s="795">
        <f t="shared" si="36"/>
        <v>27.2</v>
      </c>
      <c r="P122" s="795">
        <f t="shared" si="36"/>
        <v>0</v>
      </c>
      <c r="Q122" s="795">
        <f t="shared" si="36"/>
        <v>200</v>
      </c>
      <c r="R122" s="795">
        <f t="shared" si="36"/>
        <v>0</v>
      </c>
      <c r="S122" s="795">
        <f t="shared" si="36"/>
        <v>0</v>
      </c>
      <c r="T122" s="795">
        <f t="shared" si="36"/>
        <v>0</v>
      </c>
      <c r="U122" s="795">
        <f t="shared" si="36"/>
        <v>0</v>
      </c>
      <c r="V122" s="795">
        <f t="shared" si="36"/>
        <v>0</v>
      </c>
      <c r="W122" s="795">
        <f t="shared" si="36"/>
        <v>0</v>
      </c>
      <c r="X122" s="795">
        <f t="shared" si="36"/>
        <v>0</v>
      </c>
      <c r="Y122" s="795">
        <f t="shared" si="36"/>
        <v>0</v>
      </c>
      <c r="Z122" s="795">
        <f t="shared" si="36"/>
        <v>228.2</v>
      </c>
      <c r="AA122" s="795">
        <f t="shared" si="36"/>
        <v>63.7</v>
      </c>
      <c r="AB122" s="795">
        <f t="shared" si="36"/>
        <v>0</v>
      </c>
      <c r="AC122" s="795">
        <f t="shared" si="36"/>
        <v>140</v>
      </c>
      <c r="AD122" s="795">
        <f t="shared" si="36"/>
        <v>0</v>
      </c>
      <c r="AE122" s="795">
        <f t="shared" si="36"/>
        <v>0</v>
      </c>
      <c r="AF122" s="952"/>
    </row>
    <row r="123" spans="1:32" ht="18.75" x14ac:dyDescent="0.3">
      <c r="B123" s="60"/>
      <c r="AD123" s="615"/>
      <c r="AE123" s="615"/>
    </row>
    <row r="124" spans="1:32" x14ac:dyDescent="0.25">
      <c r="B124" s="74"/>
      <c r="F124" s="69">
        <f>L117+P117+Z117+AB117</f>
        <v>1375.6</v>
      </c>
    </row>
    <row r="125" spans="1:32" x14ac:dyDescent="0.25">
      <c r="B125" s="74"/>
    </row>
    <row r="126" spans="1:32" ht="37.5" x14ac:dyDescent="0.3">
      <c r="A126" s="9" t="s">
        <v>71</v>
      </c>
      <c r="B126" s="26"/>
      <c r="C126" s="26"/>
      <c r="D126" s="23" t="s">
        <v>70</v>
      </c>
    </row>
    <row r="127" spans="1:32" ht="18.75" x14ac:dyDescent="0.3">
      <c r="A127" s="9"/>
      <c r="B127" s="20" t="s">
        <v>68</v>
      </c>
      <c r="C127" s="20"/>
      <c r="D127" s="22"/>
    </row>
    <row r="128" spans="1:32" ht="37.5" x14ac:dyDescent="0.3">
      <c r="A128" s="25" t="s">
        <v>69</v>
      </c>
      <c r="B128" s="25"/>
      <c r="C128" s="25"/>
      <c r="D128" s="9"/>
    </row>
  </sheetData>
  <customSheetViews>
    <customSheetView guid="{7C130984-112A-4861-AA43-E2940708E3DC}" scale="50" hiddenRows="1" state="hidden">
      <pane xSplit="1" ySplit="6" topLeftCell="B98" activePane="bottomRight" state="frozen"/>
      <selection pane="bottomRight" activeCell="A119" sqref="A119"/>
      <pageMargins left="0.7" right="0.7" top="0.75" bottom="0.75" header="0.3" footer="0.3"/>
      <pageSetup paperSize="9" orientation="portrait" r:id="rId1"/>
    </customSheetView>
    <customSheetView guid="{533DC55B-6AD4-4674-9488-685EF2039F3E}" scale="50" hiddenRows="1" state="hidden">
      <pane xSplit="1" ySplit="6" topLeftCell="B98" activePane="bottomRight" state="frozen"/>
      <selection pane="bottomRight" activeCell="A119" sqref="A119"/>
      <pageMargins left="0.7" right="0.7" top="0.75" bottom="0.75" header="0.3" footer="0.3"/>
      <pageSetup paperSize="9" orientation="portrait" r:id="rId2"/>
    </customSheetView>
    <customSheetView guid="{09C3E205-981E-4A4E-BE89-8B7044192060}" scale="50" hiddenRows="1">
      <pane xSplit="1" ySplit="6" topLeftCell="B98" activePane="bottomRight" state="frozen"/>
      <selection pane="bottomRight" activeCell="A119" sqref="A119"/>
      <pageMargins left="0.7" right="0.7" top="0.75" bottom="0.75" header="0.3" footer="0.3"/>
      <pageSetup paperSize="9" orientation="portrait" r:id="rId3"/>
    </customSheetView>
    <customSheetView guid="{B1BF08D1-D416-4B47-ADD0-4F59132DC9E8}" scale="50" hiddenRows="1">
      <pane xSplit="1" ySplit="6" topLeftCell="B98" activePane="bottomRight" state="frozen"/>
      <selection pane="bottomRight" activeCell="A119" sqref="A119"/>
      <pageMargins left="0.7" right="0.7" top="0.75" bottom="0.75" header="0.3" footer="0.3"/>
      <pageSetup paperSize="9" orientation="portrait" r:id="rId4"/>
    </customSheetView>
    <customSheetView guid="{4F41B9CC-959D-442C-80B0-1F0DB2C76D27}" scale="50" hiddenRows="1">
      <pane xSplit="1" ySplit="6" topLeftCell="B98" activePane="bottomRight" state="frozen"/>
      <selection pane="bottomRight" activeCell="A119" sqref="A119"/>
      <pageMargins left="0.7" right="0.7" top="0.75" bottom="0.75" header="0.3" footer="0.3"/>
      <pageSetup paperSize="9" orientation="portrait" r:id="rId5"/>
    </customSheetView>
    <customSheetView guid="{84867370-1F3E-4368-AF79-FBCE46FFFE92}" scale="50" hiddenRows="1">
      <pane xSplit="1" ySplit="6" topLeftCell="B98" activePane="bottomRight" state="frozen"/>
      <selection pane="bottomRight" activeCell="A119" sqref="A119"/>
      <pageMargins left="0.7" right="0.7" top="0.75" bottom="0.75" header="0.3" footer="0.3"/>
      <pageSetup paperSize="9" orientation="portrait" r:id="rId6"/>
    </customSheetView>
    <customSheetView guid="{E508E171-4ED9-4B07-84DF-DA28C60E1969}" scale="50" hiddenRows="1">
      <pane xSplit="1" ySplit="6" topLeftCell="B98" activePane="bottomRight" state="frozen"/>
      <selection pane="bottomRight" activeCell="A119" sqref="A119"/>
      <pageMargins left="0.7" right="0.7" top="0.75" bottom="0.75" header="0.3" footer="0.3"/>
      <pageSetup paperSize="9" orientation="portrait" r:id="rId7"/>
    </customSheetView>
    <customSheetView guid="{602C8EDB-B9EF-4C85-B0D5-0558C3A0ABAB}" scale="50" hiddenRows="1">
      <pane xSplit="1" ySplit="6" topLeftCell="D77" activePane="bottomRight" state="frozen"/>
      <selection pane="bottomRight" activeCell="Z79" sqref="Z79"/>
      <pageMargins left="0.7" right="0.7" top="0.75" bottom="0.75" header="0.3" footer="0.3"/>
      <pageSetup paperSize="9" orientation="portrait" r:id="rId8"/>
    </customSheetView>
    <customSheetView guid="{84B3377A-1CDD-4881-99FA-112F8B470D6F}" scale="50" hiddenRows="1">
      <pane xSplit="1" ySplit="6" topLeftCell="D77" activePane="bottomRight" state="frozen"/>
      <selection pane="bottomRight" activeCell="Z79" sqref="Z79"/>
      <pageMargins left="0.7" right="0.7" top="0.75" bottom="0.75" header="0.3" footer="0.3"/>
      <pageSetup paperSize="9" orientation="portrait" r:id="rId9"/>
    </customSheetView>
    <customSheetView guid="{87218168-6C8E-4D5B-A5E5-DCCC26803AA3}" scale="50" hiddenRows="1">
      <pane xSplit="1" ySplit="6" topLeftCell="D62" activePane="bottomRight" state="frozen"/>
      <selection pane="bottomRight" activeCell="AF77" sqref="AF77"/>
      <pageMargins left="0.7" right="0.7" top="0.75" bottom="0.75" header="0.3" footer="0.3"/>
      <pageSetup paperSize="9" orientation="portrait" r:id="rId10"/>
    </customSheetView>
    <customSheetView guid="{6A602CB8-B24C-4ED4-B378-B27354BE0A1A}" scale="50" hiddenRows="1">
      <pane xSplit="1" ySplit="6" topLeftCell="B7" activePane="bottomRight" state="frozen"/>
      <selection pane="bottomRight" activeCell="E7" sqref="E7"/>
      <pageMargins left="0.7" right="0.7" top="0.75" bottom="0.75" header="0.3" footer="0.3"/>
      <pageSetup paperSize="9" orientation="portrait" r:id="rId11"/>
    </customSheetView>
    <customSheetView guid="{D01FA037-9AEC-4167-ADB8-2F327C01ECE6}" scale="50" hiddenRows="1">
      <pane xSplit="1" ySplit="6" topLeftCell="H101" activePane="bottomRight" state="frozen"/>
      <selection pane="bottomRight" activeCell="X116" sqref="X116"/>
      <pageMargins left="0.7" right="0.7" top="0.75" bottom="0.75" header="0.3" footer="0.3"/>
      <pageSetup paperSize="9" orientation="portrait" r:id="rId12"/>
    </customSheetView>
    <customSheetView guid="{74870EE6-26B9-40F7-9DC9-260EF16D8959}" scale="50" hiddenRows="1">
      <pane xSplit="1" ySplit="6" topLeftCell="H101" activePane="bottomRight" state="frozen"/>
      <selection pane="bottomRight" activeCell="X116" sqref="X116"/>
      <pageMargins left="0.7" right="0.7" top="0.75" bottom="0.75" header="0.3" footer="0.3"/>
      <pageSetup paperSize="9" orientation="portrait" r:id="rId13"/>
    </customSheetView>
    <customSheetView guid="{7226EA2B-7866-416F-9240-410CC1BF0336}" scale="70" hiddenRows="1">
      <pane xSplit="1" ySplit="6" topLeftCell="P7" activePane="bottomRight" state="frozen"/>
      <selection pane="bottomRight" activeCell="T113" sqref="T113"/>
      <pageMargins left="0.7" right="0.7" top="0.75" bottom="0.75" header="0.3" footer="0.3"/>
      <pageSetup paperSize="9" orientation="portrait" r:id="rId14"/>
    </customSheetView>
    <customSheetView guid="{F8CAB90F-9980-4EC7-B30B-1637EB515304}" scale="70" hiddenRows="1">
      <pane xSplit="1" ySplit="6" topLeftCell="P7" activePane="bottomRight" state="frozen"/>
      <selection pane="bottomRight" activeCell="T113" sqref="T113"/>
      <pageMargins left="0.7" right="0.7" top="0.75" bottom="0.75" header="0.3" footer="0.3"/>
      <pageSetup paperSize="9" orientation="portrait" r:id="rId15"/>
    </customSheetView>
    <customSheetView guid="{415078CD-EB99-432D-90BA-2F3D5A746E20}" scale="70" hiddenRows="1">
      <pane xSplit="1" ySplit="6" topLeftCell="P7" activePane="bottomRight" state="frozen"/>
      <selection pane="bottomRight" activeCell="T113" sqref="T113"/>
      <pageMargins left="0.7" right="0.7" top="0.75" bottom="0.75" header="0.3" footer="0.3"/>
      <pageSetup paperSize="9" orientation="portrait" r:id="rId16"/>
    </customSheetView>
    <customSheetView guid="{CB4792DB-A624-4844-AEB6-A6ADA80946BB}" scale="70" hiddenRows="1">
      <pane xSplit="1" ySplit="6" topLeftCell="P7" activePane="bottomRight" state="frozen"/>
      <selection pane="bottomRight" activeCell="T113" sqref="T113"/>
      <pageMargins left="0.7" right="0.7" top="0.75" bottom="0.75" header="0.3" footer="0.3"/>
      <pageSetup paperSize="9" orientation="portrait" r:id="rId17"/>
    </customSheetView>
    <customSheetView guid="{0C2B9C2A-7B94-41EF-A2E6-F8AC9A67DE25}" scale="70" hiddenRows="1">
      <pane xSplit="1" ySplit="6" topLeftCell="P7" activePane="bottomRight" state="frozen"/>
      <selection pane="bottomRight" activeCell="T113" sqref="T113"/>
      <pageMargins left="0.7" right="0.7" top="0.75" bottom="0.75" header="0.3" footer="0.3"/>
      <pageSetup paperSize="9" orientation="portrait" r:id="rId18"/>
    </customSheetView>
    <customSheetView guid="{391AB76E-B386-49C1-800F-016A48AA1A46}" scale="70" hiddenRows="1">
      <pane xSplit="1" ySplit="6" topLeftCell="B7" activePane="bottomRight" state="frozen"/>
      <selection pane="bottomRight" activeCell="L115" sqref="L115"/>
      <pageMargins left="0.7" right="0.7" top="0.75" bottom="0.75" header="0.3" footer="0.3"/>
      <pageSetup paperSize="9" orientation="portrait" r:id="rId19"/>
    </customSheetView>
    <customSheetView guid="{959E901C-5DDE-42EE-AE94-AB8976B5E00B}" scale="50" hiddenRows="1">
      <pane xSplit="1" ySplit="6" topLeftCell="T7" activePane="bottomRight" state="frozen"/>
      <selection pane="bottomRight" activeCell="AF39" sqref="AF39"/>
      <pageMargins left="0.7" right="0.7" top="0.75" bottom="0.75" header="0.3" footer="0.3"/>
      <pageSetup paperSize="9" orientation="portrait" r:id="rId20"/>
    </customSheetView>
    <customSheetView guid="{F679EF4A-C5FD-4B86-B87B-D85968E0F2CA}" scale="50" hiddenRows="1">
      <pane xSplit="1" ySplit="6" topLeftCell="T7" activePane="bottomRight" state="frozen"/>
      <selection pane="bottomRight" activeCell="AF39" sqref="AF39"/>
      <pageMargins left="0.7" right="0.7" top="0.75" bottom="0.75" header="0.3" footer="0.3"/>
      <pageSetup paperSize="9" orientation="portrait" r:id="rId21"/>
    </customSheetView>
    <customSheetView guid="{009B3074-D8EC-4952-BF50-43CD64449612}" scale="50" hiddenRows="1">
      <pane xSplit="1" ySplit="6" topLeftCell="B64" activePane="bottomRight" state="frozen"/>
      <selection pane="bottomRight" activeCell="AF77" sqref="AF77"/>
      <pageMargins left="0.7" right="0.7" top="0.75" bottom="0.75" header="0.3" footer="0.3"/>
      <pageSetup paperSize="9" orientation="portrait" r:id="rId22"/>
    </customSheetView>
    <customSheetView guid="{770624BF-07F3-44B6-94C3-4CC447CDD45C}" scale="50" hiddenRows="1">
      <pane xSplit="1" ySplit="6" topLeftCell="B101" activePane="bottomRight" state="frozen"/>
      <selection pane="bottomRight" activeCell="H129" sqref="H129"/>
      <pageMargins left="0.7" right="0.7" top="0.75" bottom="0.75" header="0.3" footer="0.3"/>
      <pageSetup paperSize="9" orientation="portrait" r:id="rId23"/>
    </customSheetView>
    <customSheetView guid="{B82BA08A-1A30-4F4D-A478-74A6BD09EA97}" scale="50" hiddenRows="1">
      <pane xSplit="1" ySplit="6" topLeftCell="B104" activePane="bottomRight" state="frozen"/>
      <selection pane="bottomRight" activeCell="P107" sqref="P107"/>
      <pageMargins left="0.7" right="0.7" top="0.75" bottom="0.75" header="0.3" footer="0.3"/>
      <pageSetup paperSize="9" orientation="portrait" r:id="rId24"/>
    </customSheetView>
    <customSheetView guid="{874882D1-E741-4CCA-BF0D-E72FA60B771D}" scale="60">
      <pane xSplit="1" ySplit="6" topLeftCell="B22" activePane="bottomRight" state="frozen"/>
      <selection pane="bottomRight" activeCell="B80" sqref="B80"/>
      <pageMargins left="0.7" right="0.7" top="0.75" bottom="0.75" header="0.3" footer="0.3"/>
      <pageSetup paperSize="9" orientation="portrait" r:id="rId25"/>
    </customSheetView>
    <customSheetView guid="{C236B307-BD63-48C4-A75F-B3F3717BF55C}" scale="60">
      <pane xSplit="1" ySplit="6" topLeftCell="B22" activePane="bottomRight" state="frozen"/>
      <selection pane="bottomRight" activeCell="B80" sqref="B80"/>
      <pageMargins left="0.7" right="0.7" top="0.75" bottom="0.75" header="0.3" footer="0.3"/>
      <pageSetup paperSize="9" orientation="portrait" r:id="rId26"/>
    </customSheetView>
    <customSheetView guid="{BCD82A82-B724-4763-8580-D765356E09BA}" scale="60">
      <pane xSplit="1" ySplit="6" topLeftCell="H7" activePane="bottomRight" state="frozen"/>
      <selection pane="bottomRight" activeCell="A2" sqref="A2:AE2"/>
      <pageMargins left="0.7" right="0.7" top="0.75" bottom="0.75" header="0.3" footer="0.3"/>
      <pageSetup paperSize="9" orientation="portrait" r:id="rId27"/>
    </customSheetView>
    <customSheetView guid="{85F4575B-DBC5-482A-9916-255D8F0BC94E}" scale="50" hiddenRows="1">
      <pane xSplit="1" ySplit="6" topLeftCell="T7" activePane="bottomRight" state="frozen"/>
      <selection pane="bottomRight" activeCell="AF39" sqref="AF39"/>
      <pageMargins left="0.7" right="0.7" top="0.75" bottom="0.75" header="0.3" footer="0.3"/>
      <pageSetup paperSize="9" orientation="portrait" r:id="rId28"/>
    </customSheetView>
    <customSheetView guid="{4D0DFB57-2CBA-42F2-9A97-C453A6851FBA}" scale="70" hiddenRows="1">
      <pane xSplit="1" ySplit="6" topLeftCell="B7" activePane="bottomRight" state="frozen"/>
      <selection pane="bottomRight" activeCell="AD115" sqref="AD115"/>
      <pageMargins left="0.7" right="0.7" top="0.75" bottom="0.75" header="0.3" footer="0.3"/>
      <pageSetup paperSize="9" orientation="portrait" r:id="rId29"/>
    </customSheetView>
    <customSheetView guid="{CE1CCA00-200D-4EAA-9FBE-F8EE7C5F82FE}" scale="70" hiddenRows="1">
      <pane xSplit="1" ySplit="6" topLeftCell="B7" activePane="bottomRight" state="frozen"/>
      <selection pane="bottomRight" activeCell="L115" sqref="L115"/>
      <pageMargins left="0.7" right="0.7" top="0.75" bottom="0.75" header="0.3" footer="0.3"/>
      <pageSetup paperSize="9" orientation="portrait" r:id="rId30"/>
    </customSheetView>
    <customSheetView guid="{AC2D5927-4079-4C74-AF69-1BFAC505648F}" scale="70" hiddenRows="1">
      <pane xSplit="1" ySplit="6" topLeftCell="B7" activePane="bottomRight" state="frozen"/>
      <selection pane="bottomRight" activeCell="L115" sqref="L115"/>
      <pageMargins left="0.7" right="0.7" top="0.75" bottom="0.75" header="0.3" footer="0.3"/>
      <pageSetup paperSize="9" orientation="portrait" r:id="rId31"/>
    </customSheetView>
    <customSheetView guid="{3C3F523F-5F34-4CF7-831E-F1ABC4278CEB}" scale="70" hiddenRows="1">
      <pane xSplit="1" ySplit="6" topLeftCell="P7" activePane="bottomRight" state="frozen"/>
      <selection pane="bottomRight" activeCell="T113" sqref="T113"/>
      <pageMargins left="0.7" right="0.7" top="0.75" bottom="0.75" header="0.3" footer="0.3"/>
      <pageSetup paperSize="9" orientation="portrait" r:id="rId32"/>
    </customSheetView>
    <customSheetView guid="{69DABE6F-6182-4403-A4A2-969F10F1C13A}" scale="50" hiddenRows="1">
      <pane xSplit="1" ySplit="6" topLeftCell="B39" activePane="bottomRight" state="frozen"/>
      <selection pane="bottomRight" activeCell="J51" sqref="J51"/>
      <pageMargins left="0.7" right="0.7" top="0.75" bottom="0.75" header="0.3" footer="0.3"/>
      <pageSetup paperSize="9" orientation="portrait" r:id="rId33"/>
    </customSheetView>
    <customSheetView guid="{DAA8A688-7558-4B5B-8DBD-E2629BD9E9A8}" scale="50" hiddenRows="1">
      <pane xSplit="1" ySplit="6" topLeftCell="D7" activePane="bottomRight" state="frozen"/>
      <selection pane="bottomRight" activeCell="AB8" sqref="AB8"/>
      <pageMargins left="0.7" right="0.7" top="0.75" bottom="0.75" header="0.3" footer="0.3"/>
      <pageSetup paperSize="9" orientation="portrait" r:id="rId34"/>
    </customSheetView>
    <customSheetView guid="{47B983AB-FE5F-4725-860C-A2F29420596D}" scale="50" hiddenRows="1">
      <pane xSplit="1" ySplit="6" topLeftCell="D77" activePane="bottomRight" state="frozen"/>
      <selection pane="bottomRight" activeCell="Z79" sqref="Z79"/>
      <pageMargins left="0.7" right="0.7" top="0.75" bottom="0.75" header="0.3" footer="0.3"/>
      <pageSetup paperSize="9" orientation="portrait" r:id="rId35"/>
    </customSheetView>
    <customSheetView guid="{442F2C94-DD1B-4A01-8694-513D4D6F3BD9}" scale="50" hiddenRows="1">
      <pane xSplit="1" ySplit="6" topLeftCell="B98" activePane="bottomRight" state="frozen"/>
      <selection pane="bottomRight" activeCell="A119" sqref="A119"/>
      <pageMargins left="0.7" right="0.7" top="0.75" bottom="0.75" header="0.3" footer="0.3"/>
      <pageSetup paperSize="9" orientation="portrait" r:id="rId36"/>
    </customSheetView>
    <customSheetView guid="{472DFAFE-DC7C-463D-92A0-F6A14555FDD6}" scale="50" hiddenRows="1">
      <pane xSplit="1" ySplit="6" topLeftCell="B98" activePane="bottomRight" state="frozen"/>
      <selection pane="bottomRight" activeCell="A119" sqref="A119"/>
      <pageMargins left="0.7" right="0.7" top="0.75" bottom="0.75" header="0.3" footer="0.3"/>
      <pageSetup paperSize="9" orientation="portrait" r:id="rId37"/>
    </customSheetView>
    <customSheetView guid="{B43381A8-767B-4F49-BD2E-0056691293F3}" scale="50" hiddenRows="1">
      <pane xSplit="1" ySplit="6" topLeftCell="B98" activePane="bottomRight" state="frozen"/>
      <selection pane="bottomRight" activeCell="A119" sqref="A119"/>
      <pageMargins left="0.7" right="0.7" top="0.75" bottom="0.75" header="0.3" footer="0.3"/>
      <pageSetup paperSize="9" orientation="portrait" r:id="rId38"/>
    </customSheetView>
  </customSheetViews>
  <mergeCells count="21">
    <mergeCell ref="V3:W4"/>
    <mergeCell ref="A1:AF1"/>
    <mergeCell ref="A2:AE2"/>
    <mergeCell ref="A3:A4"/>
    <mergeCell ref="B3:B4"/>
    <mergeCell ref="C3:C4"/>
    <mergeCell ref="D3:D4"/>
    <mergeCell ref="E3:E4"/>
    <mergeCell ref="F3:G4"/>
    <mergeCell ref="H3:I4"/>
    <mergeCell ref="J3:K4"/>
    <mergeCell ref="L3:M4"/>
    <mergeCell ref="N3:O4"/>
    <mergeCell ref="P3:Q4"/>
    <mergeCell ref="R3:S4"/>
    <mergeCell ref="T3:U4"/>
    <mergeCell ref="X3:Y4"/>
    <mergeCell ref="Z3:AA4"/>
    <mergeCell ref="AB3:AC4"/>
    <mergeCell ref="AD3:AE4"/>
    <mergeCell ref="AF3:AF5"/>
  </mergeCells>
  <hyperlinks>
    <hyperlink ref="A2:AE2" location="Оглавление!A1" display="Оглавление!A1"/>
  </hyperlinks>
  <pageMargins left="0.7" right="0.7" top="0.75" bottom="0.75" header="0.3" footer="0.3"/>
  <pageSetup paperSize="9" orientation="portrait" r:id="rId3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319"/>
  <sheetViews>
    <sheetView tabSelected="1" zoomScale="60" zoomScaleNormal="60" workbookViewId="0">
      <pane xSplit="7" ySplit="10" topLeftCell="H248" activePane="bottomRight" state="frozen"/>
      <selection pane="topRight" activeCell="H1" sqref="H1"/>
      <selection pane="bottomLeft" activeCell="A11" sqref="A11"/>
      <selection pane="bottomRight" activeCell="E292" sqref="E292"/>
    </sheetView>
  </sheetViews>
  <sheetFormatPr defaultColWidth="9.140625" defaultRowHeight="18.75" x14ac:dyDescent="0.3"/>
  <cols>
    <col min="1" max="1" width="55" style="33" customWidth="1"/>
    <col min="2" max="5" width="16.7109375" style="33" customWidth="1"/>
    <col min="6" max="7" width="16.42578125" style="33" customWidth="1"/>
    <col min="8" max="8" width="14.85546875" style="33" customWidth="1"/>
    <col min="9" max="10" width="14.42578125" style="33" customWidth="1"/>
    <col min="11" max="11" width="15.140625" style="33" customWidth="1"/>
    <col min="12" max="13" width="16" style="33" customWidth="1"/>
    <col min="14" max="14" width="14.85546875" style="33" customWidth="1"/>
    <col min="15" max="15" width="15.5703125" style="33" customWidth="1"/>
    <col min="16" max="16" width="14.85546875" style="33" customWidth="1"/>
    <col min="17" max="17" width="14.140625" style="33" customWidth="1"/>
    <col min="18" max="18" width="16" style="33" customWidth="1"/>
    <col min="19" max="19" width="15.85546875" style="33" customWidth="1"/>
    <col min="20" max="20" width="16.7109375" style="33" customWidth="1"/>
    <col min="21" max="21" width="14.42578125" style="33" customWidth="1"/>
    <col min="22" max="22" width="15.85546875" style="33" customWidth="1"/>
    <col min="23" max="23" width="15.5703125" style="33" customWidth="1"/>
    <col min="24" max="24" width="15.28515625" style="33" customWidth="1"/>
    <col min="25" max="25" width="15.85546875" style="33" customWidth="1"/>
    <col min="26" max="26" width="16" style="33" customWidth="1"/>
    <col min="27" max="27" width="15.28515625" style="33" customWidth="1"/>
    <col min="28" max="28" width="14.42578125" style="33" customWidth="1"/>
    <col min="29" max="30" width="16.5703125" style="33" customWidth="1"/>
    <col min="31" max="31" width="16.28515625" style="33" customWidth="1"/>
    <col min="32" max="32" width="61.85546875" style="1099" customWidth="1"/>
    <col min="33" max="33" width="15.42578125" style="33" bestFit="1" customWidth="1"/>
    <col min="34" max="34" width="15.42578125" style="589" bestFit="1" customWidth="1"/>
    <col min="35" max="36" width="14.42578125" style="589" bestFit="1" customWidth="1"/>
    <col min="37" max="37" width="14.5703125" style="589" customWidth="1"/>
    <col min="38" max="38" width="9.140625" style="33"/>
    <col min="39" max="39" width="17.28515625" style="33" bestFit="1" customWidth="1"/>
    <col min="40" max="16384" width="9.140625" style="33"/>
  </cols>
  <sheetData>
    <row r="2" spans="1:37" x14ac:dyDescent="0.3">
      <c r="B2" s="33">
        <v>544460.6</v>
      </c>
      <c r="C2" s="151">
        <f>B2-D292-D293</f>
        <v>-2.600000004258618E-2</v>
      </c>
    </row>
    <row r="3" spans="1:37" x14ac:dyDescent="0.3">
      <c r="B3" s="151">
        <f>B14+B20+B26+B33+B41+B80+B116+B140+B154+B161+B198+B236+B254+B266+B274</f>
        <v>1169.08</v>
      </c>
    </row>
    <row r="4" spans="1:37" x14ac:dyDescent="0.3">
      <c r="A4" s="1157" t="s">
        <v>162</v>
      </c>
      <c r="B4" s="1157"/>
      <c r="C4" s="1157"/>
      <c r="D4" s="1157"/>
      <c r="E4" s="1157"/>
      <c r="F4" s="1157"/>
      <c r="G4" s="1157"/>
      <c r="H4" s="1157"/>
      <c r="I4" s="1157"/>
      <c r="J4" s="1157"/>
      <c r="K4" s="1157"/>
      <c r="L4" s="1157"/>
      <c r="M4" s="1157"/>
      <c r="N4" s="1157"/>
      <c r="O4" s="1157"/>
      <c r="P4" s="1157"/>
      <c r="Q4" s="1157"/>
      <c r="R4" s="1157"/>
      <c r="S4" s="1157"/>
      <c r="T4" s="1157"/>
      <c r="U4" s="1157"/>
      <c r="V4" s="1157"/>
      <c r="W4" s="1157"/>
      <c r="X4" s="1157"/>
      <c r="Y4" s="1157"/>
      <c r="Z4" s="1157"/>
      <c r="AA4" s="1157"/>
      <c r="AB4" s="1157"/>
      <c r="AC4" s="1157"/>
      <c r="AD4" s="1157"/>
      <c r="AE4" s="1157"/>
      <c r="AF4" s="1157"/>
    </row>
    <row r="6" spans="1:37" ht="50.25" customHeight="1" x14ac:dyDescent="0.3">
      <c r="A6" s="1158" t="s">
        <v>163</v>
      </c>
      <c r="B6" s="92" t="s">
        <v>3</v>
      </c>
      <c r="C6" s="92" t="s">
        <v>3</v>
      </c>
      <c r="D6" s="92" t="s">
        <v>4</v>
      </c>
      <c r="E6" s="92" t="s">
        <v>5</v>
      </c>
      <c r="F6" s="1159" t="s">
        <v>6</v>
      </c>
      <c r="G6" s="1160"/>
      <c r="H6" s="1159" t="s">
        <v>7</v>
      </c>
      <c r="I6" s="1161"/>
      <c r="J6" s="1159" t="s">
        <v>8</v>
      </c>
      <c r="K6" s="1161"/>
      <c r="L6" s="1159" t="s">
        <v>9</v>
      </c>
      <c r="M6" s="1161"/>
      <c r="N6" s="1159" t="s">
        <v>10</v>
      </c>
      <c r="O6" s="1161"/>
      <c r="P6" s="1159" t="s">
        <v>11</v>
      </c>
      <c r="Q6" s="1161"/>
      <c r="R6" s="1159" t="s">
        <v>12</v>
      </c>
      <c r="S6" s="1161"/>
      <c r="T6" s="1159" t="s">
        <v>13</v>
      </c>
      <c r="U6" s="1161"/>
      <c r="V6" s="1159" t="s">
        <v>14</v>
      </c>
      <c r="W6" s="1161"/>
      <c r="X6" s="1159" t="s">
        <v>15</v>
      </c>
      <c r="Y6" s="1161"/>
      <c r="Z6" s="1159" t="s">
        <v>16</v>
      </c>
      <c r="AA6" s="1161"/>
      <c r="AB6" s="1159" t="s">
        <v>17</v>
      </c>
      <c r="AC6" s="1161"/>
      <c r="AD6" s="1162" t="s">
        <v>18</v>
      </c>
      <c r="AE6" s="1162"/>
      <c r="AF6" s="1155" t="s">
        <v>19</v>
      </c>
    </row>
    <row r="7" spans="1:37" ht="56.25" x14ac:dyDescent="0.3">
      <c r="A7" s="1158"/>
      <c r="B7" s="3">
        <v>2024</v>
      </c>
      <c r="C7" s="1057">
        <v>45657</v>
      </c>
      <c r="D7" s="1057">
        <v>45657</v>
      </c>
      <c r="E7" s="1057">
        <v>45657</v>
      </c>
      <c r="F7" s="5" t="s">
        <v>20</v>
      </c>
      <c r="G7" s="5" t="s">
        <v>21</v>
      </c>
      <c r="H7" s="93" t="s">
        <v>22</v>
      </c>
      <c r="I7" s="93" t="s">
        <v>164</v>
      </c>
      <c r="J7" s="93" t="s">
        <v>22</v>
      </c>
      <c r="K7" s="93" t="s">
        <v>164</v>
      </c>
      <c r="L7" s="93" t="s">
        <v>22</v>
      </c>
      <c r="M7" s="93" t="s">
        <v>164</v>
      </c>
      <c r="N7" s="93" t="s">
        <v>22</v>
      </c>
      <c r="O7" s="93" t="s">
        <v>164</v>
      </c>
      <c r="P7" s="93" t="s">
        <v>22</v>
      </c>
      <c r="Q7" s="93" t="s">
        <v>164</v>
      </c>
      <c r="R7" s="93" t="s">
        <v>22</v>
      </c>
      <c r="S7" s="93" t="s">
        <v>164</v>
      </c>
      <c r="T7" s="93" t="s">
        <v>22</v>
      </c>
      <c r="U7" s="93" t="s">
        <v>164</v>
      </c>
      <c r="V7" s="93" t="s">
        <v>22</v>
      </c>
      <c r="W7" s="93" t="s">
        <v>164</v>
      </c>
      <c r="X7" s="93" t="s">
        <v>22</v>
      </c>
      <c r="Y7" s="93" t="s">
        <v>164</v>
      </c>
      <c r="Z7" s="93" t="s">
        <v>22</v>
      </c>
      <c r="AA7" s="93" t="s">
        <v>164</v>
      </c>
      <c r="AB7" s="93" t="s">
        <v>22</v>
      </c>
      <c r="AC7" s="93" t="s">
        <v>164</v>
      </c>
      <c r="AD7" s="93" t="s">
        <v>165</v>
      </c>
      <c r="AE7" s="93" t="s">
        <v>164</v>
      </c>
      <c r="AF7" s="1156"/>
    </row>
    <row r="8" spans="1:37" x14ac:dyDescent="0.3">
      <c r="A8" s="6">
        <v>1</v>
      </c>
      <c r="B8" s="6">
        <v>2</v>
      </c>
      <c r="C8" s="6">
        <v>3</v>
      </c>
      <c r="D8" s="6">
        <v>4</v>
      </c>
      <c r="E8" s="6">
        <v>5</v>
      </c>
      <c r="F8" s="6">
        <v>6</v>
      </c>
      <c r="G8" s="6">
        <v>7</v>
      </c>
      <c r="H8" s="6">
        <v>8</v>
      </c>
      <c r="I8" s="6">
        <v>9</v>
      </c>
      <c r="J8" s="6">
        <v>10</v>
      </c>
      <c r="K8" s="6">
        <v>11</v>
      </c>
      <c r="L8" s="6">
        <v>12</v>
      </c>
      <c r="M8" s="6">
        <v>13</v>
      </c>
      <c r="N8" s="6">
        <v>14</v>
      </c>
      <c r="O8" s="6">
        <v>15</v>
      </c>
      <c r="P8" s="6">
        <v>16</v>
      </c>
      <c r="Q8" s="6">
        <v>17</v>
      </c>
      <c r="R8" s="6">
        <v>18</v>
      </c>
      <c r="S8" s="6">
        <v>19</v>
      </c>
      <c r="T8" s="6">
        <v>20</v>
      </c>
      <c r="U8" s="6">
        <v>21</v>
      </c>
      <c r="V8" s="6">
        <v>22</v>
      </c>
      <c r="W8" s="6">
        <v>23</v>
      </c>
      <c r="X8" s="6">
        <v>24</v>
      </c>
      <c r="Y8" s="6">
        <v>25</v>
      </c>
      <c r="Z8" s="6">
        <v>26</v>
      </c>
      <c r="AA8" s="6">
        <v>27</v>
      </c>
      <c r="AB8" s="6">
        <v>28</v>
      </c>
      <c r="AC8" s="6">
        <v>29</v>
      </c>
      <c r="AD8" s="6">
        <v>30</v>
      </c>
      <c r="AE8" s="6">
        <v>31</v>
      </c>
      <c r="AF8" s="1021">
        <v>32</v>
      </c>
    </row>
    <row r="9" spans="1:37" s="94" customFormat="1" x14ac:dyDescent="0.3">
      <c r="A9" s="1163" t="s">
        <v>166</v>
      </c>
      <c r="B9" s="1164"/>
      <c r="C9" s="1164"/>
      <c r="D9" s="1164"/>
      <c r="E9" s="1164"/>
      <c r="F9" s="1164"/>
      <c r="G9" s="1164"/>
      <c r="H9" s="1164"/>
      <c r="I9" s="1164"/>
      <c r="J9" s="1164"/>
      <c r="K9" s="1164"/>
      <c r="L9" s="1164"/>
      <c r="M9" s="1164"/>
      <c r="N9" s="1164"/>
      <c r="O9" s="1164"/>
      <c r="P9" s="1164"/>
      <c r="Q9" s="1164"/>
      <c r="R9" s="1164"/>
      <c r="S9" s="1164"/>
      <c r="T9" s="1164"/>
      <c r="U9" s="1164"/>
      <c r="V9" s="1164"/>
      <c r="W9" s="1164"/>
      <c r="X9" s="1164"/>
      <c r="Y9" s="1164"/>
      <c r="Z9" s="1164"/>
      <c r="AA9" s="1164"/>
      <c r="AB9" s="1164"/>
      <c r="AC9" s="1164"/>
      <c r="AD9" s="1164"/>
      <c r="AE9" s="1164"/>
      <c r="AF9" s="1165"/>
      <c r="AH9" s="583"/>
      <c r="AI9" s="583"/>
      <c r="AJ9" s="583"/>
      <c r="AK9" s="583"/>
    </row>
    <row r="10" spans="1:37" s="94" customFormat="1" x14ac:dyDescent="0.3">
      <c r="A10" s="1163" t="s">
        <v>167</v>
      </c>
      <c r="B10" s="1164"/>
      <c r="C10" s="1164"/>
      <c r="D10" s="1164"/>
      <c r="E10" s="1164"/>
      <c r="F10" s="1164"/>
      <c r="G10" s="1164"/>
      <c r="H10" s="1164"/>
      <c r="I10" s="1164"/>
      <c r="J10" s="1164"/>
      <c r="K10" s="1164"/>
      <c r="L10" s="1164"/>
      <c r="M10" s="1164"/>
      <c r="N10" s="1164"/>
      <c r="O10" s="1164"/>
      <c r="P10" s="1164"/>
      <c r="Q10" s="1164"/>
      <c r="R10" s="1164"/>
      <c r="S10" s="1164"/>
      <c r="T10" s="1164"/>
      <c r="U10" s="1164"/>
      <c r="V10" s="1164"/>
      <c r="W10" s="1164"/>
      <c r="X10" s="1164"/>
      <c r="Y10" s="1164"/>
      <c r="Z10" s="1164"/>
      <c r="AA10" s="1164"/>
      <c r="AB10" s="1164"/>
      <c r="AC10" s="1164"/>
      <c r="AD10" s="1164"/>
      <c r="AE10" s="1164"/>
      <c r="AF10" s="1165"/>
      <c r="AH10" s="583"/>
      <c r="AI10" s="583"/>
      <c r="AJ10" s="583"/>
      <c r="AK10" s="583"/>
    </row>
    <row r="11" spans="1:37" ht="39" customHeight="1" x14ac:dyDescent="0.3">
      <c r="A11" s="95" t="s">
        <v>168</v>
      </c>
      <c r="B11" s="1089"/>
      <c r="C11" s="1089"/>
      <c r="D11" s="1089"/>
      <c r="E11" s="1089"/>
      <c r="F11" s="1089"/>
      <c r="G11" s="1089"/>
      <c r="H11" s="97"/>
      <c r="I11" s="97"/>
      <c r="J11" s="97"/>
      <c r="K11" s="97"/>
      <c r="L11" s="97"/>
      <c r="M11" s="97"/>
      <c r="N11" s="97"/>
      <c r="O11" s="97"/>
      <c r="P11" s="97"/>
      <c r="Q11" s="97"/>
      <c r="R11" s="97"/>
      <c r="S11" s="97"/>
      <c r="T11" s="97"/>
      <c r="U11" s="97"/>
      <c r="V11" s="97"/>
      <c r="W11" s="97"/>
      <c r="X11" s="97"/>
      <c r="Y11" s="97"/>
      <c r="Z11" s="97"/>
      <c r="AA11" s="97"/>
      <c r="AB11" s="97"/>
      <c r="AC11" s="97"/>
      <c r="AD11" s="97"/>
      <c r="AE11" s="97"/>
      <c r="AF11" s="1100"/>
      <c r="AG11" s="99"/>
      <c r="AH11" s="677"/>
      <c r="AI11" s="677"/>
      <c r="AJ11" s="677"/>
    </row>
    <row r="12" spans="1:37" x14ac:dyDescent="0.3">
      <c r="A12" s="100" t="s">
        <v>31</v>
      </c>
      <c r="B12" s="101">
        <f>B13+B14+B15+B16</f>
        <v>0</v>
      </c>
      <c r="C12" s="101">
        <f>C13+C14+C15+C16</f>
        <v>0</v>
      </c>
      <c r="D12" s="101">
        <f>D13+D14+D15+D16</f>
        <v>0</v>
      </c>
      <c r="E12" s="101">
        <f>E13+E14+E15+E16</f>
        <v>0</v>
      </c>
      <c r="F12" s="102">
        <f>IFERROR(E12/B12*100,0)</f>
        <v>0</v>
      </c>
      <c r="G12" s="102">
        <f>IFERROR(E12/C12*100,0)</f>
        <v>0</v>
      </c>
      <c r="H12" s="101">
        <f>H13+H14+H15+H16</f>
        <v>0</v>
      </c>
      <c r="I12" s="101">
        <f t="shared" ref="I12:AE12" si="0">I13+I14+I15+I16</f>
        <v>0</v>
      </c>
      <c r="J12" s="101">
        <f t="shared" si="0"/>
        <v>0</v>
      </c>
      <c r="K12" s="101">
        <f t="shared" si="0"/>
        <v>0</v>
      </c>
      <c r="L12" s="101">
        <f t="shared" si="0"/>
        <v>0</v>
      </c>
      <c r="M12" s="101">
        <f t="shared" si="0"/>
        <v>0</v>
      </c>
      <c r="N12" s="101">
        <f t="shared" si="0"/>
        <v>0</v>
      </c>
      <c r="O12" s="101">
        <f t="shared" si="0"/>
        <v>0</v>
      </c>
      <c r="P12" s="101">
        <f t="shared" si="0"/>
        <v>0</v>
      </c>
      <c r="Q12" s="101">
        <f t="shared" si="0"/>
        <v>0</v>
      </c>
      <c r="R12" s="101">
        <f t="shared" si="0"/>
        <v>0</v>
      </c>
      <c r="S12" s="101">
        <f t="shared" si="0"/>
        <v>0</v>
      </c>
      <c r="T12" s="101">
        <f t="shared" si="0"/>
        <v>0</v>
      </c>
      <c r="U12" s="101">
        <f t="shared" si="0"/>
        <v>0</v>
      </c>
      <c r="V12" s="101">
        <f t="shared" si="0"/>
        <v>0</v>
      </c>
      <c r="W12" s="101">
        <f t="shared" si="0"/>
        <v>0</v>
      </c>
      <c r="X12" s="101">
        <f t="shared" si="0"/>
        <v>0</v>
      </c>
      <c r="Y12" s="101">
        <f t="shared" si="0"/>
        <v>0</v>
      </c>
      <c r="Z12" s="101">
        <f t="shared" si="0"/>
        <v>0</v>
      </c>
      <c r="AA12" s="101">
        <f t="shared" si="0"/>
        <v>0</v>
      </c>
      <c r="AB12" s="101">
        <f t="shared" si="0"/>
        <v>0</v>
      </c>
      <c r="AC12" s="101">
        <f t="shared" si="0"/>
        <v>0</v>
      </c>
      <c r="AD12" s="101">
        <f t="shared" si="0"/>
        <v>0</v>
      </c>
      <c r="AE12" s="101">
        <f t="shared" si="0"/>
        <v>0</v>
      </c>
      <c r="AF12" s="1100"/>
      <c r="AG12" s="99"/>
      <c r="AH12" s="677"/>
      <c r="AI12" s="677"/>
      <c r="AJ12" s="677"/>
      <c r="AK12" s="677"/>
    </row>
    <row r="13" spans="1:37" x14ac:dyDescent="0.3">
      <c r="A13" s="103" t="s">
        <v>169</v>
      </c>
      <c r="B13" s="104">
        <f>J13+L13+N13+P13+R13+T13+V13+X13+Z13+AB13+AD13+H13</f>
        <v>0</v>
      </c>
      <c r="C13" s="104">
        <f>SUM(H13)</f>
        <v>0</v>
      </c>
      <c r="D13" s="104">
        <f>E13</f>
        <v>0</v>
      </c>
      <c r="E13" s="104">
        <f>SUM(I13,K13,M13,O13,Q13,S13,U13,W13,Y13,AA13,AC13,AE13)</f>
        <v>0</v>
      </c>
      <c r="F13" s="104">
        <f>IFERROR(E13/B13*100,0)</f>
        <v>0</v>
      </c>
      <c r="G13" s="104">
        <f>IFERROR(E13/C13*100,0)</f>
        <v>0</v>
      </c>
      <c r="H13" s="104">
        <v>0</v>
      </c>
      <c r="I13" s="104">
        <v>0</v>
      </c>
      <c r="J13" s="104">
        <v>0</v>
      </c>
      <c r="K13" s="104">
        <v>0</v>
      </c>
      <c r="L13" s="104">
        <v>0</v>
      </c>
      <c r="M13" s="104">
        <v>0</v>
      </c>
      <c r="N13" s="104">
        <v>0</v>
      </c>
      <c r="O13" s="104">
        <v>0</v>
      </c>
      <c r="P13" s="104">
        <v>0</v>
      </c>
      <c r="Q13" s="104">
        <v>0</v>
      </c>
      <c r="R13" s="104">
        <v>0</v>
      </c>
      <c r="S13" s="104">
        <v>0</v>
      </c>
      <c r="T13" s="104">
        <v>0</v>
      </c>
      <c r="U13" s="104">
        <v>0</v>
      </c>
      <c r="V13" s="104">
        <v>0</v>
      </c>
      <c r="W13" s="104">
        <v>0</v>
      </c>
      <c r="X13" s="104">
        <v>0</v>
      </c>
      <c r="Y13" s="104">
        <v>0</v>
      </c>
      <c r="Z13" s="104">
        <v>0</v>
      </c>
      <c r="AA13" s="104">
        <v>0</v>
      </c>
      <c r="AB13" s="104">
        <v>0</v>
      </c>
      <c r="AC13" s="104">
        <v>0</v>
      </c>
      <c r="AD13" s="104">
        <v>0</v>
      </c>
      <c r="AE13" s="104">
        <v>0</v>
      </c>
      <c r="AF13" s="1100"/>
      <c r="AG13" s="99"/>
      <c r="AH13" s="677"/>
      <c r="AI13" s="677"/>
      <c r="AJ13" s="677"/>
      <c r="AK13" s="677"/>
    </row>
    <row r="14" spans="1:37" x14ac:dyDescent="0.3">
      <c r="A14" s="103" t="s">
        <v>32</v>
      </c>
      <c r="B14" s="104">
        <f>J14+L14+N14+P14+R14+T14+V14+X14+Z14+AB14+AD14+H14</f>
        <v>0</v>
      </c>
      <c r="C14" s="104">
        <f>SUM(H14)</f>
        <v>0</v>
      </c>
      <c r="D14" s="104">
        <f>E14</f>
        <v>0</v>
      </c>
      <c r="E14" s="104">
        <f>SUM(I14,K14,M14,O14,Q14,S14,U14,W14,Y14,AA14,AC14,AE14)</f>
        <v>0</v>
      </c>
      <c r="F14" s="104">
        <f>IFERROR(E14/B14*100,0)</f>
        <v>0</v>
      </c>
      <c r="G14" s="104">
        <f>IFERROR(E14/C14*100,0)</f>
        <v>0</v>
      </c>
      <c r="H14" s="104">
        <v>0</v>
      </c>
      <c r="I14" s="104">
        <v>0</v>
      </c>
      <c r="J14" s="104">
        <v>0</v>
      </c>
      <c r="K14" s="104">
        <v>0</v>
      </c>
      <c r="L14" s="104">
        <v>0</v>
      </c>
      <c r="M14" s="104">
        <v>0</v>
      </c>
      <c r="N14" s="104">
        <v>0</v>
      </c>
      <c r="O14" s="104">
        <v>0</v>
      </c>
      <c r="P14" s="104">
        <v>0</v>
      </c>
      <c r="Q14" s="104">
        <v>0</v>
      </c>
      <c r="R14" s="104">
        <v>0</v>
      </c>
      <c r="S14" s="104">
        <v>0</v>
      </c>
      <c r="T14" s="104">
        <v>0</v>
      </c>
      <c r="U14" s="104">
        <v>0</v>
      </c>
      <c r="V14" s="104">
        <v>0</v>
      </c>
      <c r="W14" s="104">
        <v>0</v>
      </c>
      <c r="X14" s="104">
        <v>0</v>
      </c>
      <c r="Y14" s="104">
        <v>0</v>
      </c>
      <c r="Z14" s="104">
        <v>0</v>
      </c>
      <c r="AA14" s="104">
        <v>0</v>
      </c>
      <c r="AB14" s="104">
        <v>0</v>
      </c>
      <c r="AC14" s="104">
        <v>0</v>
      </c>
      <c r="AD14" s="104">
        <v>0</v>
      </c>
      <c r="AE14" s="104">
        <v>0</v>
      </c>
      <c r="AF14" s="1100"/>
      <c r="AG14" s="99"/>
      <c r="AH14" s="677"/>
      <c r="AI14" s="677"/>
      <c r="AJ14" s="677"/>
      <c r="AK14" s="677"/>
    </row>
    <row r="15" spans="1:37" x14ac:dyDescent="0.3">
      <c r="A15" s="103" t="s">
        <v>33</v>
      </c>
      <c r="B15" s="104">
        <f>J15+L15+N15+P15+R15+T15+V15+X15+Z15+AB15+AD15+H15</f>
        <v>0</v>
      </c>
      <c r="C15" s="104">
        <f>SUM(H15)</f>
        <v>0</v>
      </c>
      <c r="D15" s="104">
        <f>E15</f>
        <v>0</v>
      </c>
      <c r="E15" s="104">
        <f>SUM(I15,K15,M15,O15,Q15,S15,U15,W15,Y15,AA15,AC15,AE15)</f>
        <v>0</v>
      </c>
      <c r="F15" s="104">
        <f>IFERROR(E15/B15*100,0)</f>
        <v>0</v>
      </c>
      <c r="G15" s="104">
        <f>IFERROR(E15/C15*100,0)</f>
        <v>0</v>
      </c>
      <c r="H15" s="104">
        <v>0</v>
      </c>
      <c r="I15" s="104">
        <v>0</v>
      </c>
      <c r="J15" s="104">
        <v>0</v>
      </c>
      <c r="K15" s="104">
        <v>0</v>
      </c>
      <c r="L15" s="104">
        <v>0</v>
      </c>
      <c r="M15" s="104">
        <v>0</v>
      </c>
      <c r="N15" s="104">
        <v>0</v>
      </c>
      <c r="O15" s="104">
        <v>0</v>
      </c>
      <c r="P15" s="104">
        <v>0</v>
      </c>
      <c r="Q15" s="104">
        <v>0</v>
      </c>
      <c r="R15" s="104">
        <v>0</v>
      </c>
      <c r="S15" s="104">
        <v>0</v>
      </c>
      <c r="T15" s="104">
        <v>0</v>
      </c>
      <c r="U15" s="104">
        <v>0</v>
      </c>
      <c r="V15" s="104">
        <v>0</v>
      </c>
      <c r="W15" s="104">
        <v>0</v>
      </c>
      <c r="X15" s="104">
        <v>0</v>
      </c>
      <c r="Y15" s="104">
        <v>0</v>
      </c>
      <c r="Z15" s="104">
        <v>0</v>
      </c>
      <c r="AA15" s="104">
        <v>0</v>
      </c>
      <c r="AB15" s="104">
        <v>0</v>
      </c>
      <c r="AC15" s="104">
        <v>0</v>
      </c>
      <c r="AD15" s="104">
        <v>0</v>
      </c>
      <c r="AE15" s="104">
        <v>0</v>
      </c>
      <c r="AF15" s="1100"/>
      <c r="AG15" s="99"/>
      <c r="AH15" s="677"/>
      <c r="AI15" s="677"/>
      <c r="AJ15" s="677"/>
      <c r="AK15" s="677"/>
    </row>
    <row r="16" spans="1:37" x14ac:dyDescent="0.3">
      <c r="A16" s="103" t="s">
        <v>170</v>
      </c>
      <c r="B16" s="104">
        <f>J16+L16+N16+P16+R16+T16+V16+X16+Z16+AB16+AD16+H16</f>
        <v>0</v>
      </c>
      <c r="C16" s="104">
        <f>SUM(H16)</f>
        <v>0</v>
      </c>
      <c r="D16" s="104">
        <f>E16</f>
        <v>0</v>
      </c>
      <c r="E16" s="104">
        <f>SUM(I16,K16,M16,O16,Q16,S16,U16,W16,Y16,AA16,AC16,AE16)</f>
        <v>0</v>
      </c>
      <c r="F16" s="104">
        <f>IFERROR(E16/B16*100,0)</f>
        <v>0</v>
      </c>
      <c r="G16" s="104">
        <f>IFERROR(E16/C16*100,0)</f>
        <v>0</v>
      </c>
      <c r="H16" s="104">
        <v>0</v>
      </c>
      <c r="I16" s="104">
        <v>0</v>
      </c>
      <c r="J16" s="104">
        <v>0</v>
      </c>
      <c r="K16" s="104">
        <v>0</v>
      </c>
      <c r="L16" s="104">
        <v>0</v>
      </c>
      <c r="M16" s="104">
        <v>0</v>
      </c>
      <c r="N16" s="104">
        <v>0</v>
      </c>
      <c r="O16" s="104">
        <v>0</v>
      </c>
      <c r="P16" s="104">
        <v>0</v>
      </c>
      <c r="Q16" s="104">
        <v>0</v>
      </c>
      <c r="R16" s="104">
        <v>0</v>
      </c>
      <c r="S16" s="104">
        <v>0</v>
      </c>
      <c r="T16" s="104">
        <v>0</v>
      </c>
      <c r="U16" s="104">
        <v>0</v>
      </c>
      <c r="V16" s="104">
        <v>0</v>
      </c>
      <c r="W16" s="104">
        <v>0</v>
      </c>
      <c r="X16" s="104">
        <v>0</v>
      </c>
      <c r="Y16" s="104">
        <v>0</v>
      </c>
      <c r="Z16" s="104">
        <v>0</v>
      </c>
      <c r="AA16" s="104">
        <v>0</v>
      </c>
      <c r="AB16" s="104">
        <v>0</v>
      </c>
      <c r="AC16" s="104">
        <v>0</v>
      </c>
      <c r="AD16" s="104">
        <v>0</v>
      </c>
      <c r="AE16" s="104">
        <v>0</v>
      </c>
      <c r="AF16" s="1100"/>
      <c r="AG16" s="99"/>
      <c r="AH16" s="677"/>
      <c r="AI16" s="677"/>
      <c r="AJ16" s="677"/>
      <c r="AK16" s="677"/>
    </row>
    <row r="17" spans="1:37" ht="64.5" customHeight="1" x14ac:dyDescent="0.3">
      <c r="A17" s="95" t="s">
        <v>171</v>
      </c>
      <c r="B17" s="96"/>
      <c r="C17" s="96"/>
      <c r="D17" s="96"/>
      <c r="E17" s="96"/>
      <c r="F17" s="96"/>
      <c r="G17" s="96"/>
      <c r="H17" s="97"/>
      <c r="I17" s="97"/>
      <c r="J17" s="97"/>
      <c r="K17" s="97"/>
      <c r="L17" s="97"/>
      <c r="M17" s="97"/>
      <c r="N17" s="97"/>
      <c r="O17" s="97"/>
      <c r="P17" s="97"/>
      <c r="Q17" s="97"/>
      <c r="R17" s="97"/>
      <c r="S17" s="97"/>
      <c r="T17" s="97"/>
      <c r="U17" s="97"/>
      <c r="V17" s="97"/>
      <c r="W17" s="97"/>
      <c r="X17" s="97"/>
      <c r="Y17" s="97"/>
      <c r="Z17" s="97"/>
      <c r="AA17" s="97"/>
      <c r="AB17" s="97"/>
      <c r="AC17" s="97"/>
      <c r="AD17" s="97"/>
      <c r="AE17" s="97"/>
      <c r="AF17" s="1100"/>
      <c r="AG17" s="99"/>
      <c r="AH17" s="677"/>
      <c r="AI17" s="677"/>
      <c r="AJ17" s="677"/>
      <c r="AK17" s="677"/>
    </row>
    <row r="18" spans="1:37" x14ac:dyDescent="0.3">
      <c r="A18" s="100" t="s">
        <v>31</v>
      </c>
      <c r="B18" s="101">
        <f>B19+B20+B21+B22</f>
        <v>100</v>
      </c>
      <c r="C18" s="101">
        <f>C19+C20+C21+C22</f>
        <v>100</v>
      </c>
      <c r="D18" s="101">
        <f>D19+D20+D21+D22</f>
        <v>99.999999999999986</v>
      </c>
      <c r="E18" s="101">
        <f>E19+E20+E21+E22</f>
        <v>99.999999999999986</v>
      </c>
      <c r="F18" s="102">
        <f>IFERROR(E18/B18*100,0)</f>
        <v>99.999999999999986</v>
      </c>
      <c r="G18" s="102">
        <f>IFERROR(E18/C18*100,0)</f>
        <v>99.999999999999986</v>
      </c>
      <c r="H18" s="101">
        <f>H19+H20+H21+H22</f>
        <v>0</v>
      </c>
      <c r="I18" s="101">
        <f t="shared" ref="I18:AE18" si="1">I19+I20+I21+I22</f>
        <v>0</v>
      </c>
      <c r="J18" s="101">
        <f t="shared" si="1"/>
        <v>0</v>
      </c>
      <c r="K18" s="101">
        <f t="shared" si="1"/>
        <v>0</v>
      </c>
      <c r="L18" s="101">
        <f t="shared" si="1"/>
        <v>100</v>
      </c>
      <c r="M18" s="101">
        <f t="shared" si="1"/>
        <v>68.11</v>
      </c>
      <c r="N18" s="101">
        <f t="shared" si="1"/>
        <v>0</v>
      </c>
      <c r="O18" s="101">
        <f t="shared" si="1"/>
        <v>17.399999999999999</v>
      </c>
      <c r="P18" s="101">
        <f t="shared" si="1"/>
        <v>0</v>
      </c>
      <c r="Q18" s="101">
        <f t="shared" si="1"/>
        <v>14.49</v>
      </c>
      <c r="R18" s="101">
        <f t="shared" si="1"/>
        <v>0</v>
      </c>
      <c r="S18" s="101">
        <f t="shared" si="1"/>
        <v>0</v>
      </c>
      <c r="T18" s="101">
        <f t="shared" si="1"/>
        <v>0</v>
      </c>
      <c r="U18" s="101">
        <f t="shared" si="1"/>
        <v>0</v>
      </c>
      <c r="V18" s="101">
        <f t="shared" si="1"/>
        <v>0</v>
      </c>
      <c r="W18" s="101">
        <f t="shared" si="1"/>
        <v>0</v>
      </c>
      <c r="X18" s="101">
        <f t="shared" si="1"/>
        <v>0</v>
      </c>
      <c r="Y18" s="101">
        <f t="shared" si="1"/>
        <v>0</v>
      </c>
      <c r="Z18" s="101">
        <f t="shared" si="1"/>
        <v>0</v>
      </c>
      <c r="AA18" s="101">
        <f t="shared" si="1"/>
        <v>0</v>
      </c>
      <c r="AB18" s="101">
        <f t="shared" si="1"/>
        <v>0</v>
      </c>
      <c r="AC18" s="101">
        <f t="shared" si="1"/>
        <v>0</v>
      </c>
      <c r="AD18" s="101">
        <f t="shared" si="1"/>
        <v>0</v>
      </c>
      <c r="AE18" s="101">
        <f t="shared" si="1"/>
        <v>0</v>
      </c>
      <c r="AF18" s="1100"/>
      <c r="AG18" s="99"/>
      <c r="AH18" s="677"/>
      <c r="AI18" s="677"/>
      <c r="AJ18" s="677"/>
      <c r="AK18" s="677"/>
    </row>
    <row r="19" spans="1:37" x14ac:dyDescent="0.3">
      <c r="A19" s="103" t="s">
        <v>169</v>
      </c>
      <c r="B19" s="104">
        <f>J19+L19+N19+P19+R19+T19+V19+X19+Z19+AB19+AD19+H19</f>
        <v>0</v>
      </c>
      <c r="C19" s="104">
        <f>N19</f>
        <v>0</v>
      </c>
      <c r="D19" s="104">
        <f>E19</f>
        <v>0</v>
      </c>
      <c r="E19" s="104">
        <f>SUM(I19,K19,M19,O19,Q19,S19,U19,W19,Y19,AA19,AC19,AE19)</f>
        <v>0</v>
      </c>
      <c r="F19" s="104">
        <f>IFERROR(E19/B19*100,0)</f>
        <v>0</v>
      </c>
      <c r="G19" s="104">
        <f>IFERROR(E19/C19*100,0)</f>
        <v>0</v>
      </c>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100"/>
      <c r="AG19" s="99"/>
      <c r="AH19" s="677"/>
      <c r="AI19" s="677"/>
      <c r="AJ19" s="677"/>
      <c r="AK19" s="677"/>
    </row>
    <row r="20" spans="1:37" x14ac:dyDescent="0.3">
      <c r="A20" s="103" t="s">
        <v>32</v>
      </c>
      <c r="B20" s="104">
        <f>J20+L20+N20+P20+R20+T20+V20+X20+Z20+AB20+AD20+H20</f>
        <v>0</v>
      </c>
      <c r="C20" s="104">
        <f>N20</f>
        <v>0</v>
      </c>
      <c r="D20" s="104">
        <f>E20</f>
        <v>0</v>
      </c>
      <c r="E20" s="104">
        <f>SUM(I20,K20,M20,O20,Q20,S20,U20,W20,Y20,AA20,AC20,AE20)</f>
        <v>0</v>
      </c>
      <c r="F20" s="104">
        <f>IFERROR(E20/B20*100,0)</f>
        <v>0</v>
      </c>
      <c r="G20" s="104">
        <f>IFERROR(E20/C20*100,0)</f>
        <v>0</v>
      </c>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100"/>
      <c r="AG20" s="99"/>
      <c r="AH20" s="677"/>
      <c r="AI20" s="677"/>
      <c r="AJ20" s="677"/>
      <c r="AK20" s="677"/>
    </row>
    <row r="21" spans="1:37" x14ac:dyDescent="0.3">
      <c r="A21" s="103" t="s">
        <v>33</v>
      </c>
      <c r="B21" s="104">
        <f>J21+L21+N21+P21+R21+T21+V21+X21+Z21+AB21+AD21+H21</f>
        <v>100</v>
      </c>
      <c r="C21" s="104">
        <f>N21+L21</f>
        <v>100</v>
      </c>
      <c r="D21" s="104">
        <f>E21</f>
        <v>99.999999999999986</v>
      </c>
      <c r="E21" s="104">
        <f>SUM(I21,K21,M21,O21,Q21,S21,U21,W21,Y21,AA21,AC21,AE21)</f>
        <v>99.999999999999986</v>
      </c>
      <c r="F21" s="104">
        <f>IFERROR(E21/B21*100,0)</f>
        <v>99.999999999999986</v>
      </c>
      <c r="G21" s="104">
        <f>IFERROR(E21/C21*100,0)</f>
        <v>99.999999999999986</v>
      </c>
      <c r="H21" s="104">
        <v>0</v>
      </c>
      <c r="I21" s="104">
        <v>0</v>
      </c>
      <c r="J21" s="104">
        <v>0</v>
      </c>
      <c r="K21" s="104">
        <v>0</v>
      </c>
      <c r="L21" s="104">
        <v>100</v>
      </c>
      <c r="M21" s="104">
        <v>68.11</v>
      </c>
      <c r="N21" s="104">
        <v>0</v>
      </c>
      <c r="O21" s="104">
        <v>17.399999999999999</v>
      </c>
      <c r="P21" s="104">
        <v>0</v>
      </c>
      <c r="Q21" s="104">
        <v>14.49</v>
      </c>
      <c r="R21" s="104">
        <v>0</v>
      </c>
      <c r="S21" s="104">
        <v>0</v>
      </c>
      <c r="T21" s="104">
        <v>0</v>
      </c>
      <c r="U21" s="104">
        <v>0</v>
      </c>
      <c r="V21" s="104">
        <v>0</v>
      </c>
      <c r="W21" s="104">
        <v>0</v>
      </c>
      <c r="X21" s="104">
        <v>0</v>
      </c>
      <c r="Y21" s="104">
        <v>0</v>
      </c>
      <c r="Z21" s="104">
        <v>0</v>
      </c>
      <c r="AA21" s="104">
        <v>0</v>
      </c>
      <c r="AB21" s="104">
        <v>0</v>
      </c>
      <c r="AC21" s="104">
        <v>0</v>
      </c>
      <c r="AD21" s="104">
        <v>0</v>
      </c>
      <c r="AE21" s="104">
        <v>0</v>
      </c>
      <c r="AF21" s="1100"/>
      <c r="AG21" s="99"/>
      <c r="AH21" s="677"/>
      <c r="AI21" s="677"/>
      <c r="AJ21" s="677"/>
      <c r="AK21" s="677"/>
    </row>
    <row r="22" spans="1:37" x14ac:dyDescent="0.3">
      <c r="A22" s="103" t="s">
        <v>170</v>
      </c>
      <c r="B22" s="104">
        <f>J22+L22+N22+P22+R22+T22+V22+X22+Z22+AB22+AD22+H22</f>
        <v>0</v>
      </c>
      <c r="C22" s="104">
        <f>N22</f>
        <v>0</v>
      </c>
      <c r="D22" s="104">
        <f>E22</f>
        <v>0</v>
      </c>
      <c r="E22" s="104">
        <f>SUM(I22,K22,M22,O22,Q22,S22,U22,W22,Y22,AA22,AC22,AE22)</f>
        <v>0</v>
      </c>
      <c r="F22" s="104">
        <f>IFERROR(E22/B22*100,0)</f>
        <v>0</v>
      </c>
      <c r="G22" s="104">
        <f>IFERROR(E22/C22*100,0)</f>
        <v>0</v>
      </c>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100"/>
      <c r="AG22" s="99"/>
      <c r="AH22" s="677"/>
      <c r="AI22" s="677"/>
      <c r="AJ22" s="677"/>
      <c r="AK22" s="677"/>
    </row>
    <row r="23" spans="1:37" ht="56.25" x14ac:dyDescent="0.3">
      <c r="A23" s="141" t="s">
        <v>597</v>
      </c>
      <c r="B23" s="96"/>
      <c r="C23" s="96"/>
      <c r="D23" s="1095"/>
      <c r="E23" s="96"/>
      <c r="F23" s="96"/>
      <c r="G23" s="96"/>
      <c r="H23" s="904"/>
      <c r="I23" s="904"/>
      <c r="J23" s="904"/>
      <c r="K23" s="904"/>
      <c r="L23" s="904"/>
      <c r="M23" s="904"/>
      <c r="N23" s="904"/>
      <c r="O23" s="904"/>
      <c r="P23" s="904"/>
      <c r="Q23" s="904"/>
      <c r="R23" s="904"/>
      <c r="S23" s="904"/>
      <c r="T23" s="904"/>
      <c r="U23" s="904"/>
      <c r="V23" s="904"/>
      <c r="W23" s="904"/>
      <c r="X23" s="904"/>
      <c r="Y23" s="904"/>
      <c r="Z23" s="904"/>
      <c r="AA23" s="904"/>
      <c r="AB23" s="904"/>
      <c r="AC23" s="904"/>
      <c r="AD23" s="904"/>
      <c r="AE23" s="904"/>
      <c r="AF23" s="709" t="s">
        <v>698</v>
      </c>
      <c r="AG23" s="99"/>
      <c r="AH23" s="677"/>
      <c r="AI23" s="677"/>
      <c r="AJ23" s="677"/>
      <c r="AK23" s="677"/>
    </row>
    <row r="24" spans="1:37" s="1088" customFormat="1" ht="37.5" x14ac:dyDescent="0.3">
      <c r="A24" s="100" t="s">
        <v>31</v>
      </c>
      <c r="B24" s="101">
        <f>B25+B26+B27+B28</f>
        <v>150</v>
      </c>
      <c r="C24" s="101">
        <f>C25+C26+C27+C28</f>
        <v>150</v>
      </c>
      <c r="D24" s="101">
        <f>D25+D26+D27+D28</f>
        <v>150</v>
      </c>
      <c r="E24" s="101">
        <f>E25+E26+E27+E28</f>
        <v>150</v>
      </c>
      <c r="F24" s="1086">
        <f t="shared" ref="F24:F29" si="2">IFERROR(E24/B24*100,0)</f>
        <v>100</v>
      </c>
      <c r="G24" s="1086">
        <f t="shared" ref="G24:G29" si="3">IFERROR(E24/C24*100,0)</f>
        <v>100</v>
      </c>
      <c r="H24" s="101">
        <f t="shared" ref="H24:AE24" si="4">H25+H26+H27+H28</f>
        <v>0</v>
      </c>
      <c r="I24" s="101">
        <f t="shared" si="4"/>
        <v>0</v>
      </c>
      <c r="J24" s="101">
        <f t="shared" si="4"/>
        <v>0</v>
      </c>
      <c r="K24" s="101">
        <f t="shared" si="4"/>
        <v>0</v>
      </c>
      <c r="L24" s="101">
        <f t="shared" si="4"/>
        <v>0</v>
      </c>
      <c r="M24" s="101">
        <f t="shared" si="4"/>
        <v>0</v>
      </c>
      <c r="N24" s="101">
        <f t="shared" si="4"/>
        <v>0</v>
      </c>
      <c r="O24" s="101">
        <f t="shared" si="4"/>
        <v>0</v>
      </c>
      <c r="P24" s="101">
        <f t="shared" si="4"/>
        <v>0</v>
      </c>
      <c r="Q24" s="101">
        <f t="shared" si="4"/>
        <v>0</v>
      </c>
      <c r="R24" s="101">
        <f t="shared" si="4"/>
        <v>0</v>
      </c>
      <c r="S24" s="101">
        <f t="shared" si="4"/>
        <v>0</v>
      </c>
      <c r="T24" s="101">
        <f t="shared" si="4"/>
        <v>0</v>
      </c>
      <c r="U24" s="101">
        <f t="shared" si="4"/>
        <v>0</v>
      </c>
      <c r="V24" s="101">
        <f t="shared" si="4"/>
        <v>0</v>
      </c>
      <c r="W24" s="101">
        <f t="shared" si="4"/>
        <v>0</v>
      </c>
      <c r="X24" s="101">
        <f t="shared" si="4"/>
        <v>150</v>
      </c>
      <c r="Y24" s="101">
        <f t="shared" si="4"/>
        <v>150</v>
      </c>
      <c r="Z24" s="101">
        <f t="shared" si="4"/>
        <v>0</v>
      </c>
      <c r="AA24" s="101">
        <f t="shared" si="4"/>
        <v>0</v>
      </c>
      <c r="AB24" s="101">
        <f t="shared" si="4"/>
        <v>0</v>
      </c>
      <c r="AC24" s="101">
        <f t="shared" si="4"/>
        <v>0</v>
      </c>
      <c r="AD24" s="101">
        <f t="shared" si="4"/>
        <v>0</v>
      </c>
      <c r="AE24" s="101">
        <f t="shared" si="4"/>
        <v>0</v>
      </c>
      <c r="AF24" s="709" t="s">
        <v>699</v>
      </c>
      <c r="AG24" s="1087"/>
      <c r="AH24" s="1324"/>
      <c r="AI24" s="1324"/>
      <c r="AJ24" s="1324"/>
      <c r="AK24" s="677"/>
    </row>
    <row r="25" spans="1:37" x14ac:dyDescent="0.3">
      <c r="A25" s="103" t="s">
        <v>169</v>
      </c>
      <c r="B25" s="104">
        <f>J25+L25+N25+P25+R25+T25+V25+X25+Z25+AB25+AD25+H25</f>
        <v>0</v>
      </c>
      <c r="C25" s="104">
        <f>N25</f>
        <v>0</v>
      </c>
      <c r="D25" s="905">
        <f>E25</f>
        <v>0</v>
      </c>
      <c r="E25" s="104">
        <f>SUM(I25,K25,M25,O25,Q25,S25,U25,W25,Y25,AA25,AC25,AE25)</f>
        <v>0</v>
      </c>
      <c r="F25" s="104">
        <f t="shared" si="2"/>
        <v>0</v>
      </c>
      <c r="G25" s="104">
        <f t="shared" si="3"/>
        <v>0</v>
      </c>
      <c r="H25" s="905"/>
      <c r="I25" s="905"/>
      <c r="J25" s="905"/>
      <c r="K25" s="905"/>
      <c r="L25" s="905"/>
      <c r="M25" s="905"/>
      <c r="N25" s="905"/>
      <c r="O25" s="905"/>
      <c r="P25" s="905"/>
      <c r="Q25" s="905"/>
      <c r="R25" s="905"/>
      <c r="S25" s="905"/>
      <c r="T25" s="905"/>
      <c r="U25" s="905"/>
      <c r="V25" s="905"/>
      <c r="W25" s="905"/>
      <c r="X25" s="905"/>
      <c r="Y25" s="905"/>
      <c r="Z25" s="905"/>
      <c r="AA25" s="905"/>
      <c r="AB25" s="905"/>
      <c r="AC25" s="905"/>
      <c r="AD25" s="905"/>
      <c r="AE25" s="905"/>
      <c r="AF25" s="1100"/>
      <c r="AG25" s="99"/>
      <c r="AH25" s="677"/>
      <c r="AI25" s="677"/>
      <c r="AJ25" s="677"/>
      <c r="AK25" s="677"/>
    </row>
    <row r="26" spans="1:37" x14ac:dyDescent="0.3">
      <c r="A26" s="103" t="s">
        <v>32</v>
      </c>
      <c r="B26" s="104">
        <f>J26+L26+N26+P26+R26+T26+V26+X26+Z26+AB26+AD26+H26</f>
        <v>104.8</v>
      </c>
      <c r="C26" s="104">
        <f>H26+J26+L26+N26+P26+R26+T26+V26+X26+Z26+AB26+AD26</f>
        <v>104.8</v>
      </c>
      <c r="D26" s="905">
        <f>E26</f>
        <v>104.8</v>
      </c>
      <c r="E26" s="104">
        <f>SUM(I26,K26,M26,O26,Q26,S26,U26,W26,Y26,AA26,AC26,AE26)</f>
        <v>104.8</v>
      </c>
      <c r="F26" s="104">
        <f t="shared" si="2"/>
        <v>100</v>
      </c>
      <c r="G26" s="104">
        <f t="shared" si="3"/>
        <v>100</v>
      </c>
      <c r="H26" s="905"/>
      <c r="I26" s="905"/>
      <c r="J26" s="905"/>
      <c r="K26" s="905"/>
      <c r="L26" s="905"/>
      <c r="M26" s="905"/>
      <c r="N26" s="905"/>
      <c r="O26" s="905"/>
      <c r="P26" s="905"/>
      <c r="Q26" s="905"/>
      <c r="R26" s="905"/>
      <c r="S26" s="905"/>
      <c r="T26" s="905"/>
      <c r="U26" s="905"/>
      <c r="V26" s="905"/>
      <c r="W26" s="905"/>
      <c r="X26" s="905">
        <v>104.8</v>
      </c>
      <c r="Y26" s="905">
        <v>104.8</v>
      </c>
      <c r="Z26" s="905">
        <v>0</v>
      </c>
      <c r="AA26" s="905">
        <v>0</v>
      </c>
      <c r="AB26" s="905">
        <v>0</v>
      </c>
      <c r="AC26" s="905">
        <v>0</v>
      </c>
      <c r="AD26" s="905">
        <v>0</v>
      </c>
      <c r="AE26" s="905">
        <v>0</v>
      </c>
      <c r="AF26" s="1100"/>
      <c r="AG26" s="99"/>
      <c r="AH26" s="677"/>
      <c r="AI26" s="677"/>
      <c r="AJ26" s="677"/>
      <c r="AK26" s="677"/>
    </row>
    <row r="27" spans="1:37" x14ac:dyDescent="0.3">
      <c r="A27" s="103" t="s">
        <v>33</v>
      </c>
      <c r="B27" s="104">
        <f>J27+L27+N27+P27+R27+T27+V27+X27+Z27+AB27+AD27+H27</f>
        <v>45.2</v>
      </c>
      <c r="C27" s="104">
        <f>H27+J27+L27+N27+P27+R27+T27+V27+X27+Z27+AB27+AD27</f>
        <v>45.2</v>
      </c>
      <c r="D27" s="905">
        <f>E27</f>
        <v>45.2</v>
      </c>
      <c r="E27" s="104">
        <f>SUM(I27,K27,M27,O27,Q27,S27,U27,W27,Y27,AA27,AC27,AE27)</f>
        <v>45.2</v>
      </c>
      <c r="F27" s="104">
        <f t="shared" si="2"/>
        <v>100</v>
      </c>
      <c r="G27" s="104">
        <f t="shared" si="3"/>
        <v>100</v>
      </c>
      <c r="H27" s="905"/>
      <c r="I27" s="905"/>
      <c r="J27" s="905"/>
      <c r="K27" s="905"/>
      <c r="L27" s="905">
        <v>0</v>
      </c>
      <c r="M27" s="905">
        <v>0</v>
      </c>
      <c r="N27" s="905">
        <v>0</v>
      </c>
      <c r="O27" s="905">
        <v>0</v>
      </c>
      <c r="P27" s="905">
        <v>0</v>
      </c>
      <c r="Q27" s="905">
        <v>0</v>
      </c>
      <c r="R27" s="905">
        <v>0</v>
      </c>
      <c r="S27" s="905">
        <v>0</v>
      </c>
      <c r="T27" s="905">
        <v>0</v>
      </c>
      <c r="U27" s="905">
        <v>0</v>
      </c>
      <c r="V27" s="905">
        <v>0</v>
      </c>
      <c r="W27" s="905">
        <v>0</v>
      </c>
      <c r="X27" s="905">
        <v>45.2</v>
      </c>
      <c r="Y27" s="905">
        <v>45.2</v>
      </c>
      <c r="Z27" s="905">
        <v>0</v>
      </c>
      <c r="AA27" s="905">
        <v>0</v>
      </c>
      <c r="AB27" s="905">
        <v>0</v>
      </c>
      <c r="AC27" s="905">
        <v>0</v>
      </c>
      <c r="AD27" s="905">
        <v>0</v>
      </c>
      <c r="AE27" s="905">
        <v>0</v>
      </c>
      <c r="AF27" s="1100"/>
      <c r="AG27" s="99"/>
      <c r="AH27" s="677"/>
      <c r="AI27" s="677"/>
      <c r="AJ27" s="677"/>
      <c r="AK27" s="677"/>
    </row>
    <row r="28" spans="1:37" x14ac:dyDescent="0.3">
      <c r="A28" s="103" t="s">
        <v>170</v>
      </c>
      <c r="B28" s="104">
        <f>J28+L28+N28+P28+R28+T28+V28+X28+Z28+AB28+AD28+H28</f>
        <v>0</v>
      </c>
      <c r="C28" s="104">
        <f>N28</f>
        <v>0</v>
      </c>
      <c r="D28" s="905">
        <f>E28</f>
        <v>0</v>
      </c>
      <c r="E28" s="104">
        <f>SUM(I28,K28,M28,O28,Q28,S28,U28,W28,Y28,AA28,AC28,AE28)</f>
        <v>0</v>
      </c>
      <c r="F28" s="104">
        <f t="shared" si="2"/>
        <v>0</v>
      </c>
      <c r="G28" s="104">
        <f t="shared" si="3"/>
        <v>0</v>
      </c>
      <c r="H28" s="905">
        <v>0</v>
      </c>
      <c r="I28" s="905">
        <v>0</v>
      </c>
      <c r="J28" s="905">
        <v>0</v>
      </c>
      <c r="K28" s="905">
        <v>0</v>
      </c>
      <c r="L28" s="905">
        <v>0</v>
      </c>
      <c r="M28" s="905">
        <v>0</v>
      </c>
      <c r="N28" s="905">
        <v>0</v>
      </c>
      <c r="O28" s="905">
        <v>0</v>
      </c>
      <c r="P28" s="905">
        <v>0</v>
      </c>
      <c r="Q28" s="905">
        <v>0</v>
      </c>
      <c r="R28" s="905">
        <v>0</v>
      </c>
      <c r="S28" s="905">
        <v>0</v>
      </c>
      <c r="T28" s="905">
        <v>0</v>
      </c>
      <c r="U28" s="905">
        <v>0</v>
      </c>
      <c r="V28" s="905">
        <v>0</v>
      </c>
      <c r="W28" s="905">
        <v>0</v>
      </c>
      <c r="X28" s="905">
        <v>0</v>
      </c>
      <c r="Y28" s="905">
        <v>0</v>
      </c>
      <c r="Z28" s="905">
        <v>0</v>
      </c>
      <c r="AA28" s="905">
        <v>0</v>
      </c>
      <c r="AB28" s="905">
        <v>0</v>
      </c>
      <c r="AC28" s="905">
        <v>0</v>
      </c>
      <c r="AD28" s="905">
        <v>0</v>
      </c>
      <c r="AE28" s="905">
        <v>0</v>
      </c>
      <c r="AF28" s="1100"/>
      <c r="AG28" s="99"/>
      <c r="AH28" s="677"/>
      <c r="AI28" s="677"/>
      <c r="AJ28" s="677"/>
      <c r="AK28" s="677"/>
    </row>
    <row r="29" spans="1:37" ht="37.5" x14ac:dyDescent="0.3">
      <c r="A29" s="149" t="s">
        <v>174</v>
      </c>
      <c r="B29" s="150">
        <f>H29+J29+L29+N29+P29+R29+T29+V29+X29+Z29+AB29+AD29</f>
        <v>45.2</v>
      </c>
      <c r="C29" s="150">
        <f>H29+J29+L29+N29+P29+R29+T29+V29+X29+Z29+AB29+AD29</f>
        <v>45.2</v>
      </c>
      <c r="D29" s="150">
        <f>E29</f>
        <v>45.2</v>
      </c>
      <c r="E29" s="150">
        <f>I29+K29+M29+O29+Q29+S29+U29+W29+Y29+AA29+AC29+AE29</f>
        <v>45.2</v>
      </c>
      <c r="F29" s="150">
        <f t="shared" si="2"/>
        <v>100</v>
      </c>
      <c r="G29" s="150">
        <f t="shared" si="3"/>
        <v>100</v>
      </c>
      <c r="H29" s="150">
        <v>0</v>
      </c>
      <c r="I29" s="150">
        <v>0</v>
      </c>
      <c r="J29" s="150">
        <v>0</v>
      </c>
      <c r="K29" s="150">
        <v>0</v>
      </c>
      <c r="L29" s="150">
        <v>0</v>
      </c>
      <c r="M29" s="150">
        <v>0</v>
      </c>
      <c r="N29" s="150">
        <v>0</v>
      </c>
      <c r="O29" s="150">
        <v>0</v>
      </c>
      <c r="P29" s="150">
        <v>0</v>
      </c>
      <c r="Q29" s="150">
        <v>0</v>
      </c>
      <c r="R29" s="150">
        <v>0</v>
      </c>
      <c r="S29" s="150">
        <v>0</v>
      </c>
      <c r="T29" s="150">
        <v>0</v>
      </c>
      <c r="U29" s="150">
        <v>0</v>
      </c>
      <c r="V29" s="150">
        <v>0</v>
      </c>
      <c r="W29" s="150">
        <v>0</v>
      </c>
      <c r="X29" s="150">
        <v>45.2</v>
      </c>
      <c r="Y29" s="150">
        <v>45.2</v>
      </c>
      <c r="Z29" s="150">
        <v>0</v>
      </c>
      <c r="AA29" s="150">
        <v>0</v>
      </c>
      <c r="AB29" s="150">
        <v>0</v>
      </c>
      <c r="AC29" s="150">
        <v>0</v>
      </c>
      <c r="AD29" s="150">
        <v>0</v>
      </c>
      <c r="AE29" s="150">
        <v>0</v>
      </c>
      <c r="AF29" s="1101"/>
      <c r="AG29" s="99"/>
      <c r="AH29" s="677"/>
      <c r="AI29" s="677"/>
      <c r="AJ29" s="677"/>
      <c r="AK29" s="677"/>
    </row>
    <row r="30" spans="1:37" ht="37.5" x14ac:dyDescent="0.3">
      <c r="A30" s="906" t="s">
        <v>598</v>
      </c>
      <c r="B30" s="1089"/>
      <c r="C30" s="1089"/>
      <c r="D30" s="1090"/>
      <c r="E30" s="1089"/>
      <c r="F30" s="1089"/>
      <c r="G30" s="1089"/>
      <c r="H30" s="904"/>
      <c r="I30" s="904"/>
      <c r="J30" s="904"/>
      <c r="K30" s="904"/>
      <c r="L30" s="904"/>
      <c r="M30" s="904"/>
      <c r="N30" s="904"/>
      <c r="O30" s="904"/>
      <c r="P30" s="904"/>
      <c r="Q30" s="904"/>
      <c r="R30" s="904"/>
      <c r="S30" s="904"/>
      <c r="T30" s="904"/>
      <c r="U30" s="904"/>
      <c r="V30" s="904"/>
      <c r="W30" s="904"/>
      <c r="X30" s="904"/>
      <c r="Y30" s="904"/>
      <c r="Z30" s="904"/>
      <c r="AA30" s="904"/>
      <c r="AB30" s="904"/>
      <c r="AC30" s="904"/>
      <c r="AD30" s="904"/>
      <c r="AE30" s="904"/>
      <c r="AF30" s="1100"/>
      <c r="AG30" s="99"/>
      <c r="AH30" s="677"/>
      <c r="AI30" s="677"/>
      <c r="AJ30" s="677"/>
      <c r="AK30" s="677"/>
    </row>
    <row r="31" spans="1:37" s="1088" customFormat="1" ht="37.5" x14ac:dyDescent="0.3">
      <c r="A31" s="100" t="s">
        <v>31</v>
      </c>
      <c r="B31" s="101">
        <f>B32+B33+B34+B35</f>
        <v>347.1</v>
      </c>
      <c r="C31" s="101">
        <f>C32+C33+C34+C35</f>
        <v>347.1</v>
      </c>
      <c r="D31" s="101">
        <f>D32+D33+D34+D35</f>
        <v>347.1</v>
      </c>
      <c r="E31" s="101">
        <f>E32+E33+E34+E35</f>
        <v>347.1</v>
      </c>
      <c r="F31" s="1086">
        <f t="shared" ref="F31:F36" si="5">IFERROR(E31/B31*100,0)</f>
        <v>100</v>
      </c>
      <c r="G31" s="1086">
        <f t="shared" ref="G31:G36" si="6">IFERROR(E31/C31*100,0)</f>
        <v>100</v>
      </c>
      <c r="H31" s="101">
        <f t="shared" ref="H31:AE31" si="7">H32+H33+H34+H35</f>
        <v>0</v>
      </c>
      <c r="I31" s="101">
        <f t="shared" si="7"/>
        <v>0</v>
      </c>
      <c r="J31" s="101">
        <f t="shared" si="7"/>
        <v>0</v>
      </c>
      <c r="K31" s="101">
        <f t="shared" si="7"/>
        <v>0</v>
      </c>
      <c r="L31" s="101">
        <f t="shared" si="7"/>
        <v>0</v>
      </c>
      <c r="M31" s="101">
        <f t="shared" si="7"/>
        <v>0</v>
      </c>
      <c r="N31" s="101">
        <f t="shared" si="7"/>
        <v>0</v>
      </c>
      <c r="O31" s="101">
        <f t="shared" si="7"/>
        <v>0</v>
      </c>
      <c r="P31" s="101">
        <f t="shared" si="7"/>
        <v>0</v>
      </c>
      <c r="Q31" s="101">
        <f t="shared" si="7"/>
        <v>0</v>
      </c>
      <c r="R31" s="101">
        <f t="shared" si="7"/>
        <v>0</v>
      </c>
      <c r="S31" s="101">
        <f t="shared" si="7"/>
        <v>0</v>
      </c>
      <c r="T31" s="101">
        <f t="shared" si="7"/>
        <v>0</v>
      </c>
      <c r="U31" s="101">
        <f t="shared" si="7"/>
        <v>0</v>
      </c>
      <c r="V31" s="101">
        <f t="shared" si="7"/>
        <v>347.1</v>
      </c>
      <c r="W31" s="101">
        <f t="shared" si="7"/>
        <v>347.1</v>
      </c>
      <c r="X31" s="101">
        <f t="shared" si="7"/>
        <v>0</v>
      </c>
      <c r="Y31" s="101">
        <f t="shared" si="7"/>
        <v>0</v>
      </c>
      <c r="Z31" s="101">
        <f t="shared" si="7"/>
        <v>0</v>
      </c>
      <c r="AA31" s="101">
        <f t="shared" si="7"/>
        <v>0</v>
      </c>
      <c r="AB31" s="101">
        <f t="shared" si="7"/>
        <v>0</v>
      </c>
      <c r="AC31" s="101">
        <f t="shared" si="7"/>
        <v>0</v>
      </c>
      <c r="AD31" s="101">
        <f t="shared" si="7"/>
        <v>0</v>
      </c>
      <c r="AE31" s="101">
        <f t="shared" si="7"/>
        <v>0</v>
      </c>
      <c r="AF31" s="709" t="s">
        <v>601</v>
      </c>
      <c r="AG31" s="1087"/>
      <c r="AH31" s="1324"/>
      <c r="AI31" s="1324"/>
      <c r="AJ31" s="1324"/>
      <c r="AK31" s="677"/>
    </row>
    <row r="32" spans="1:37" x14ac:dyDescent="0.3">
      <c r="A32" s="103" t="s">
        <v>169</v>
      </c>
      <c r="B32" s="104">
        <f>J32+L32+N32+P32+R32+T32+V32+X32+Z32+AB32+AD32+H32</f>
        <v>0</v>
      </c>
      <c r="C32" s="104">
        <f>N32</f>
        <v>0</v>
      </c>
      <c r="D32" s="905">
        <f>E32</f>
        <v>0</v>
      </c>
      <c r="E32" s="104">
        <f>SUM(I32,K32,M32,O32,Q32,S32,U32,W32,Y32,AA32,AC32,AE32)</f>
        <v>0</v>
      </c>
      <c r="F32" s="104">
        <f t="shared" si="5"/>
        <v>0</v>
      </c>
      <c r="G32" s="104">
        <f t="shared" si="6"/>
        <v>0</v>
      </c>
      <c r="H32" s="905"/>
      <c r="I32" s="905"/>
      <c r="J32" s="905"/>
      <c r="K32" s="905"/>
      <c r="L32" s="905"/>
      <c r="M32" s="905"/>
      <c r="N32" s="905"/>
      <c r="O32" s="905"/>
      <c r="P32" s="905"/>
      <c r="Q32" s="905"/>
      <c r="R32" s="905"/>
      <c r="S32" s="905"/>
      <c r="T32" s="905"/>
      <c r="U32" s="905"/>
      <c r="V32" s="905"/>
      <c r="W32" s="905"/>
      <c r="X32" s="905"/>
      <c r="Y32" s="905"/>
      <c r="Z32" s="905"/>
      <c r="AA32" s="905"/>
      <c r="AB32" s="905"/>
      <c r="AC32" s="905"/>
      <c r="AD32" s="905"/>
      <c r="AE32" s="905"/>
      <c r="AF32" s="1100"/>
      <c r="AG32" s="99"/>
      <c r="AH32" s="677"/>
      <c r="AI32" s="677"/>
      <c r="AJ32" s="677"/>
      <c r="AK32" s="677"/>
    </row>
    <row r="33" spans="1:37" x14ac:dyDescent="0.3">
      <c r="A33" s="103" t="s">
        <v>32</v>
      </c>
      <c r="B33" s="104">
        <f>J33+L33+N33+P33+R33+T33+V33+X33+Z33+AB33+AD33+H33</f>
        <v>242.6</v>
      </c>
      <c r="C33" s="104">
        <f>H33+J33+L33+N33+P33+R33+T33+V33+X33+Z33+AB33+AD33</f>
        <v>242.6</v>
      </c>
      <c r="D33" s="905">
        <f>E33</f>
        <v>242.6</v>
      </c>
      <c r="E33" s="104">
        <f>SUM(I33,K33,M33,O33,Q33,S33,U33,W33,Y33,AA33,AC33,AE33)</f>
        <v>242.6</v>
      </c>
      <c r="F33" s="104">
        <f t="shared" si="5"/>
        <v>100</v>
      </c>
      <c r="G33" s="104">
        <f t="shared" si="6"/>
        <v>100</v>
      </c>
      <c r="H33" s="905">
        <v>0</v>
      </c>
      <c r="I33" s="905">
        <v>0</v>
      </c>
      <c r="J33" s="905">
        <v>0</v>
      </c>
      <c r="K33" s="905">
        <v>0</v>
      </c>
      <c r="L33" s="905">
        <v>0</v>
      </c>
      <c r="M33" s="905">
        <v>0</v>
      </c>
      <c r="N33" s="905">
        <v>0</v>
      </c>
      <c r="O33" s="905">
        <v>0</v>
      </c>
      <c r="P33" s="905">
        <v>0</v>
      </c>
      <c r="Q33" s="905">
        <v>0</v>
      </c>
      <c r="R33" s="905">
        <v>0</v>
      </c>
      <c r="S33" s="905">
        <v>0</v>
      </c>
      <c r="T33" s="905">
        <v>0</v>
      </c>
      <c r="U33" s="905">
        <v>0</v>
      </c>
      <c r="V33" s="905">
        <v>242.6</v>
      </c>
      <c r="W33" s="905">
        <v>242.6</v>
      </c>
      <c r="X33" s="905">
        <v>0</v>
      </c>
      <c r="Y33" s="905">
        <v>0</v>
      </c>
      <c r="Z33" s="905">
        <v>0</v>
      </c>
      <c r="AA33" s="905">
        <v>0</v>
      </c>
      <c r="AB33" s="905">
        <v>0</v>
      </c>
      <c r="AC33" s="905">
        <v>0</v>
      </c>
      <c r="AD33" s="905">
        <v>0</v>
      </c>
      <c r="AE33" s="905">
        <v>0</v>
      </c>
      <c r="AF33" s="1100"/>
      <c r="AG33" s="99"/>
      <c r="AH33" s="677"/>
      <c r="AI33" s="677"/>
      <c r="AJ33" s="677"/>
      <c r="AK33" s="677"/>
    </row>
    <row r="34" spans="1:37" x14ac:dyDescent="0.3">
      <c r="A34" s="103" t="s">
        <v>33</v>
      </c>
      <c r="B34" s="104">
        <f>J34+L34+N34+P34+R34+T34+V34+X34+Z34+AB34+AD34+H34</f>
        <v>104.5</v>
      </c>
      <c r="C34" s="104">
        <f>H34+J34+L34+N34+P34+R34+T34+V34+X34+Z34+AB34+AD34</f>
        <v>104.5</v>
      </c>
      <c r="D34" s="905">
        <f>E34</f>
        <v>104.5</v>
      </c>
      <c r="E34" s="104">
        <f>SUM(I34,K34,M34,O34,Q34,S34,U34,W34,Y34,AA34,AC34,AE34)</f>
        <v>104.5</v>
      </c>
      <c r="F34" s="104">
        <f t="shared" si="5"/>
        <v>100</v>
      </c>
      <c r="G34" s="104">
        <f t="shared" si="6"/>
        <v>100</v>
      </c>
      <c r="H34" s="905">
        <v>0</v>
      </c>
      <c r="I34" s="905">
        <v>0</v>
      </c>
      <c r="J34" s="905">
        <v>0</v>
      </c>
      <c r="K34" s="905">
        <v>0</v>
      </c>
      <c r="L34" s="905">
        <v>0</v>
      </c>
      <c r="M34" s="905">
        <v>0</v>
      </c>
      <c r="N34" s="905">
        <v>0</v>
      </c>
      <c r="O34" s="905">
        <v>0</v>
      </c>
      <c r="P34" s="905">
        <v>0</v>
      </c>
      <c r="Q34" s="905">
        <v>0</v>
      </c>
      <c r="R34" s="905">
        <v>0</v>
      </c>
      <c r="S34" s="905">
        <v>0</v>
      </c>
      <c r="T34" s="905">
        <v>0</v>
      </c>
      <c r="U34" s="905">
        <v>0</v>
      </c>
      <c r="V34" s="905">
        <v>104.5</v>
      </c>
      <c r="W34" s="905">
        <v>104.5</v>
      </c>
      <c r="X34" s="905">
        <v>0</v>
      </c>
      <c r="Y34" s="905">
        <v>0</v>
      </c>
      <c r="Z34" s="905">
        <v>0</v>
      </c>
      <c r="AA34" s="905">
        <v>0</v>
      </c>
      <c r="AB34" s="905">
        <v>0</v>
      </c>
      <c r="AC34" s="905">
        <v>0</v>
      </c>
      <c r="AD34" s="905">
        <v>0</v>
      </c>
      <c r="AE34" s="905">
        <v>0</v>
      </c>
      <c r="AF34" s="1100"/>
      <c r="AG34" s="99"/>
      <c r="AH34" s="677"/>
      <c r="AI34" s="677"/>
      <c r="AJ34" s="677"/>
      <c r="AK34" s="677"/>
    </row>
    <row r="35" spans="1:37" x14ac:dyDescent="0.3">
      <c r="A35" s="103" t="s">
        <v>170</v>
      </c>
      <c r="B35" s="104">
        <f>J35+L35+N35+P35+R35+T35+V35+X35+Z35+AB35+AD35+H35</f>
        <v>0</v>
      </c>
      <c r="C35" s="104">
        <f>N35</f>
        <v>0</v>
      </c>
      <c r="D35" s="905">
        <f>E35</f>
        <v>0</v>
      </c>
      <c r="E35" s="104">
        <f>SUM(I35,K35,M35,O35,Q35,S35,U35,W35,Y35,AA35,AC35,AE35)</f>
        <v>0</v>
      </c>
      <c r="F35" s="104">
        <f t="shared" si="5"/>
        <v>0</v>
      </c>
      <c r="G35" s="104">
        <f t="shared" si="6"/>
        <v>0</v>
      </c>
      <c r="H35" s="905">
        <v>0</v>
      </c>
      <c r="I35" s="905">
        <v>0</v>
      </c>
      <c r="J35" s="905">
        <v>0</v>
      </c>
      <c r="K35" s="905">
        <v>0</v>
      </c>
      <c r="L35" s="905">
        <v>0</v>
      </c>
      <c r="M35" s="905">
        <v>0</v>
      </c>
      <c r="N35" s="905">
        <v>0</v>
      </c>
      <c r="O35" s="905">
        <v>0</v>
      </c>
      <c r="P35" s="905">
        <v>0</v>
      </c>
      <c r="Q35" s="905">
        <v>0</v>
      </c>
      <c r="R35" s="905">
        <v>0</v>
      </c>
      <c r="S35" s="905">
        <v>0</v>
      </c>
      <c r="T35" s="905">
        <v>0</v>
      </c>
      <c r="U35" s="905">
        <v>0</v>
      </c>
      <c r="V35" s="905">
        <v>0</v>
      </c>
      <c r="W35" s="905">
        <v>0</v>
      </c>
      <c r="X35" s="905">
        <v>0</v>
      </c>
      <c r="Y35" s="905">
        <v>0</v>
      </c>
      <c r="Z35" s="905">
        <v>0</v>
      </c>
      <c r="AA35" s="905">
        <v>0</v>
      </c>
      <c r="AB35" s="905">
        <v>0</v>
      </c>
      <c r="AC35" s="905">
        <v>0</v>
      </c>
      <c r="AD35" s="905">
        <v>0</v>
      </c>
      <c r="AE35" s="905">
        <v>0</v>
      </c>
      <c r="AF35" s="1100"/>
      <c r="AG35" s="99"/>
      <c r="AH35" s="677"/>
      <c r="AI35" s="677"/>
      <c r="AJ35" s="677"/>
      <c r="AK35" s="677"/>
    </row>
    <row r="36" spans="1:37" ht="37.5" x14ac:dyDescent="0.3">
      <c r="A36" s="149" t="s">
        <v>174</v>
      </c>
      <c r="B36" s="150">
        <f>H36+J36+L36+N36+P36+R36+T36+V36+X36+Z36+AB36+AD36</f>
        <v>104.5</v>
      </c>
      <c r="C36" s="150">
        <f>H36+J36+L36+N36+P36+R36+T36+V36+X36+Z36+AB36+AD36</f>
        <v>104.5</v>
      </c>
      <c r="D36" s="150">
        <f>E36</f>
        <v>104.5</v>
      </c>
      <c r="E36" s="150">
        <f>I36+K36+M36+O36+Q36+S36+U36+W36+Y36+AA36+AC36+AE36</f>
        <v>104.5</v>
      </c>
      <c r="F36" s="150">
        <f t="shared" si="5"/>
        <v>100</v>
      </c>
      <c r="G36" s="150">
        <f t="shared" si="6"/>
        <v>100</v>
      </c>
      <c r="H36" s="150">
        <v>0</v>
      </c>
      <c r="I36" s="150">
        <v>0</v>
      </c>
      <c r="J36" s="150">
        <v>0</v>
      </c>
      <c r="K36" s="150">
        <v>0</v>
      </c>
      <c r="L36" s="150">
        <v>0</v>
      </c>
      <c r="M36" s="150">
        <v>0</v>
      </c>
      <c r="N36" s="150">
        <v>0</v>
      </c>
      <c r="O36" s="150">
        <v>0</v>
      </c>
      <c r="P36" s="150">
        <v>0</v>
      </c>
      <c r="Q36" s="150">
        <v>0</v>
      </c>
      <c r="R36" s="150">
        <v>0</v>
      </c>
      <c r="S36" s="150">
        <v>0</v>
      </c>
      <c r="T36" s="150">
        <v>0</v>
      </c>
      <c r="U36" s="150">
        <v>0</v>
      </c>
      <c r="V36" s="150">
        <v>104.5</v>
      </c>
      <c r="W36" s="150">
        <v>104.5</v>
      </c>
      <c r="X36" s="150">
        <v>0</v>
      </c>
      <c r="Y36" s="150">
        <v>0</v>
      </c>
      <c r="Z36" s="150">
        <v>0</v>
      </c>
      <c r="AA36" s="150">
        <v>0</v>
      </c>
      <c r="AB36" s="150">
        <v>0</v>
      </c>
      <c r="AC36" s="150">
        <v>0</v>
      </c>
      <c r="AD36" s="150">
        <v>0</v>
      </c>
      <c r="AE36" s="150">
        <v>0</v>
      </c>
      <c r="AF36" s="1101"/>
      <c r="AG36" s="99"/>
      <c r="AH36" s="677"/>
      <c r="AI36" s="677"/>
      <c r="AJ36" s="677"/>
      <c r="AK36" s="677"/>
    </row>
    <row r="37" spans="1:37" s="94" customFormat="1" x14ac:dyDescent="0.3">
      <c r="A37" s="1163" t="s">
        <v>54</v>
      </c>
      <c r="B37" s="1164"/>
      <c r="C37" s="1164"/>
      <c r="D37" s="1164"/>
      <c r="E37" s="1164"/>
      <c r="F37" s="1164"/>
      <c r="G37" s="1164"/>
      <c r="H37" s="1164"/>
      <c r="I37" s="1164"/>
      <c r="J37" s="1164"/>
      <c r="K37" s="1164"/>
      <c r="L37" s="1164"/>
      <c r="M37" s="1164"/>
      <c r="N37" s="1164"/>
      <c r="O37" s="1164"/>
      <c r="P37" s="1164"/>
      <c r="Q37" s="1164"/>
      <c r="R37" s="1164"/>
      <c r="S37" s="1164"/>
      <c r="T37" s="1164"/>
      <c r="U37" s="1164"/>
      <c r="V37" s="1164"/>
      <c r="W37" s="1164"/>
      <c r="X37" s="1164"/>
      <c r="Y37" s="1164"/>
      <c r="Z37" s="1164"/>
      <c r="AA37" s="1164"/>
      <c r="AB37" s="1164"/>
      <c r="AC37" s="1164"/>
      <c r="AD37" s="1164"/>
      <c r="AE37" s="1164"/>
      <c r="AF37" s="1165"/>
      <c r="AG37" s="99"/>
      <c r="AH37" s="677"/>
      <c r="AI37" s="677"/>
      <c r="AJ37" s="677"/>
      <c r="AK37" s="677"/>
    </row>
    <row r="38" spans="1:37" x14ac:dyDescent="0.3">
      <c r="A38" s="95" t="s">
        <v>172</v>
      </c>
      <c r="B38" s="96"/>
      <c r="C38" s="97"/>
      <c r="D38" s="97"/>
      <c r="E38" s="97"/>
      <c r="F38" s="97"/>
      <c r="G38" s="97"/>
      <c r="H38" s="96"/>
      <c r="I38" s="96"/>
      <c r="J38" s="96"/>
      <c r="K38" s="96"/>
      <c r="L38" s="96"/>
      <c r="M38" s="96"/>
      <c r="N38" s="96"/>
      <c r="O38" s="96"/>
      <c r="P38" s="96"/>
      <c r="Q38" s="96"/>
      <c r="R38" s="96"/>
      <c r="S38" s="96"/>
      <c r="T38" s="96"/>
      <c r="U38" s="96"/>
      <c r="V38" s="96"/>
      <c r="W38" s="96"/>
      <c r="X38" s="96"/>
      <c r="Y38" s="96"/>
      <c r="Z38" s="96"/>
      <c r="AA38" s="96"/>
      <c r="AB38" s="96"/>
      <c r="AC38" s="96"/>
      <c r="AD38" s="96"/>
      <c r="AE38" s="96"/>
      <c r="AF38" s="1100"/>
      <c r="AG38" s="99"/>
      <c r="AH38" s="677"/>
      <c r="AI38" s="677"/>
      <c r="AJ38" s="677"/>
      <c r="AK38" s="677"/>
    </row>
    <row r="39" spans="1:37" x14ac:dyDescent="0.3">
      <c r="A39" s="100" t="s">
        <v>31</v>
      </c>
      <c r="B39" s="101">
        <f>B40+B41+B42+B43</f>
        <v>76640.821999999986</v>
      </c>
      <c r="C39" s="101">
        <f>C40+C41+C42+C43</f>
        <v>76640.821999999986</v>
      </c>
      <c r="D39" s="101">
        <f>D40+D41+D42+D43</f>
        <v>76251.457999999984</v>
      </c>
      <c r="E39" s="101">
        <f>E40+E41+E42+E43</f>
        <v>76024.156159999984</v>
      </c>
      <c r="F39" s="102">
        <f>E39/B39*100</f>
        <v>99.195382011951807</v>
      </c>
      <c r="G39" s="102">
        <f>E39/C39*100</f>
        <v>99.195382011951807</v>
      </c>
      <c r="H39" s="101">
        <f>H40+H41+H42+H43</f>
        <v>2224.6999999999998</v>
      </c>
      <c r="I39" s="101">
        <f t="shared" ref="I39:AE39" si="8">I40+I41+I42+I43</f>
        <v>1357.8</v>
      </c>
      <c r="J39" s="101">
        <f t="shared" si="8"/>
        <v>6483.32</v>
      </c>
      <c r="K39" s="101">
        <f t="shared" si="8"/>
        <v>4364.87</v>
      </c>
      <c r="L39" s="101">
        <f t="shared" si="8"/>
        <v>6141.2</v>
      </c>
      <c r="M39" s="101">
        <f t="shared" si="8"/>
        <v>4589.01</v>
      </c>
      <c r="N39" s="101">
        <f t="shared" si="8"/>
        <v>6088.55</v>
      </c>
      <c r="O39" s="101">
        <f t="shared" si="8"/>
        <v>4422.43</v>
      </c>
      <c r="P39" s="101">
        <f t="shared" si="8"/>
        <v>7843.15</v>
      </c>
      <c r="Q39" s="101">
        <f t="shared" si="8"/>
        <v>7656.216159999999</v>
      </c>
      <c r="R39" s="101">
        <f t="shared" si="8"/>
        <v>7146.4500000000007</v>
      </c>
      <c r="S39" s="101">
        <f t="shared" si="8"/>
        <v>8141.7600000000011</v>
      </c>
      <c r="T39" s="101">
        <f t="shared" si="8"/>
        <v>7963.8600000000006</v>
      </c>
      <c r="U39" s="101">
        <f t="shared" si="8"/>
        <v>7371.6900000000005</v>
      </c>
      <c r="V39" s="101">
        <f t="shared" si="8"/>
        <v>4998.1200000000008</v>
      </c>
      <c r="W39" s="101">
        <f t="shared" si="8"/>
        <v>6514.9800000000005</v>
      </c>
      <c r="X39" s="101">
        <f t="shared" si="8"/>
        <v>5465.58</v>
      </c>
      <c r="Y39" s="101">
        <f t="shared" si="8"/>
        <v>4707.2400000000007</v>
      </c>
      <c r="Z39" s="101">
        <f t="shared" si="8"/>
        <v>8796.4420000000009</v>
      </c>
      <c r="AA39" s="101">
        <f t="shared" si="8"/>
        <v>10129.58</v>
      </c>
      <c r="AB39" s="101">
        <f t="shared" si="8"/>
        <v>4301.79</v>
      </c>
      <c r="AC39" s="101">
        <f t="shared" si="8"/>
        <v>4531.47</v>
      </c>
      <c r="AD39" s="101">
        <f t="shared" si="8"/>
        <v>9187.66</v>
      </c>
      <c r="AE39" s="101">
        <f t="shared" si="8"/>
        <v>12237.11</v>
      </c>
      <c r="AF39" s="1100"/>
      <c r="AG39" s="99"/>
      <c r="AH39" s="677"/>
      <c r="AI39" s="677"/>
      <c r="AJ39" s="677"/>
      <c r="AK39" s="677"/>
    </row>
    <row r="40" spans="1:37" x14ac:dyDescent="0.3">
      <c r="A40" s="103" t="s">
        <v>169</v>
      </c>
      <c r="B40" s="104">
        <f>B46+B53+B59+B65+B72</f>
        <v>105.21</v>
      </c>
      <c r="C40" s="104">
        <f>C46+C53+C59+C65+C72</f>
        <v>105.21</v>
      </c>
      <c r="D40" s="104">
        <f>D46+D53+D59+D65+D72</f>
        <v>105.21</v>
      </c>
      <c r="E40" s="104">
        <f>E46+E53+E59+E65+E72</f>
        <v>105.21</v>
      </c>
      <c r="F40" s="104">
        <f>E40/B40*100</f>
        <v>100</v>
      </c>
      <c r="G40" s="104">
        <f>IFERROR(E40/C40*100,0)</f>
        <v>100</v>
      </c>
      <c r="H40" s="104">
        <f t="shared" ref="H40:AE42" si="9">H46+H53+H59+H65+H72</f>
        <v>0</v>
      </c>
      <c r="I40" s="104">
        <f t="shared" si="9"/>
        <v>0</v>
      </c>
      <c r="J40" s="104">
        <f t="shared" si="9"/>
        <v>0</v>
      </c>
      <c r="K40" s="104">
        <f t="shared" si="9"/>
        <v>0</v>
      </c>
      <c r="L40" s="104">
        <f t="shared" si="9"/>
        <v>0</v>
      </c>
      <c r="M40" s="104">
        <f t="shared" si="9"/>
        <v>0</v>
      </c>
      <c r="N40" s="104">
        <f t="shared" si="9"/>
        <v>0</v>
      </c>
      <c r="O40" s="104">
        <f t="shared" si="9"/>
        <v>0</v>
      </c>
      <c r="P40" s="104">
        <f t="shared" si="9"/>
        <v>0</v>
      </c>
      <c r="Q40" s="104">
        <f t="shared" si="9"/>
        <v>0</v>
      </c>
      <c r="R40" s="104">
        <f>R46+R53+R59+R65+R72</f>
        <v>105.21</v>
      </c>
      <c r="S40" s="104">
        <f t="shared" si="9"/>
        <v>105.21</v>
      </c>
      <c r="T40" s="104">
        <f t="shared" si="9"/>
        <v>0</v>
      </c>
      <c r="U40" s="104">
        <f t="shared" si="9"/>
        <v>0</v>
      </c>
      <c r="V40" s="104">
        <f t="shared" si="9"/>
        <v>0</v>
      </c>
      <c r="W40" s="104">
        <f t="shared" si="9"/>
        <v>0</v>
      </c>
      <c r="X40" s="104">
        <f t="shared" si="9"/>
        <v>0</v>
      </c>
      <c r="Y40" s="104">
        <f t="shared" si="9"/>
        <v>0</v>
      </c>
      <c r="Z40" s="104">
        <f t="shared" si="9"/>
        <v>0</v>
      </c>
      <c r="AA40" s="104">
        <f t="shared" si="9"/>
        <v>0</v>
      </c>
      <c r="AB40" s="104">
        <f t="shared" si="9"/>
        <v>0</v>
      </c>
      <c r="AC40" s="104">
        <f t="shared" si="9"/>
        <v>0</v>
      </c>
      <c r="AD40" s="104">
        <f t="shared" si="9"/>
        <v>0</v>
      </c>
      <c r="AE40" s="104">
        <f t="shared" si="9"/>
        <v>0</v>
      </c>
      <c r="AF40" s="1100"/>
      <c r="AG40" s="99"/>
      <c r="AH40" s="677"/>
      <c r="AI40" s="677"/>
      <c r="AJ40" s="677"/>
      <c r="AK40" s="677"/>
    </row>
    <row r="41" spans="1:37" x14ac:dyDescent="0.3">
      <c r="A41" s="103" t="s">
        <v>32</v>
      </c>
      <c r="B41" s="104">
        <f>B47+B54+B60+B66+B73</f>
        <v>519.69000000000005</v>
      </c>
      <c r="C41" s="104">
        <f>C47+C54+C60+C66+C73</f>
        <v>519.69000000000005</v>
      </c>
      <c r="D41" s="104">
        <f t="shared" ref="D41:E42" si="10">D47+D54+D60+D66+D73</f>
        <v>519.69000000000005</v>
      </c>
      <c r="E41" s="104">
        <f t="shared" si="10"/>
        <v>519.69000000000005</v>
      </c>
      <c r="F41" s="104">
        <f>E41/B41*100</f>
        <v>100</v>
      </c>
      <c r="G41" s="104">
        <f>IFERROR(E41/C41*100,0)</f>
        <v>100</v>
      </c>
      <c r="H41" s="104">
        <f>H47+H54+H60+H66+H73</f>
        <v>0</v>
      </c>
      <c r="I41" s="104">
        <f t="shared" ref="I41:AE41" si="11">I47+I54+I60+I66+I73</f>
        <v>0</v>
      </c>
      <c r="J41" s="104">
        <f t="shared" si="11"/>
        <v>0</v>
      </c>
      <c r="K41" s="104">
        <f t="shared" si="11"/>
        <v>0</v>
      </c>
      <c r="L41" s="104">
        <f>L47+L54+L60+L66+L73</f>
        <v>10.8</v>
      </c>
      <c r="M41" s="104">
        <f>M47+M54+M60+M66+M73</f>
        <v>10.8</v>
      </c>
      <c r="N41" s="104">
        <f>N47+N54+N60+N66+N73</f>
        <v>19.899999999999999</v>
      </c>
      <c r="O41" s="104">
        <f t="shared" si="11"/>
        <v>19.899999999999999</v>
      </c>
      <c r="P41" s="104">
        <f t="shared" si="11"/>
        <v>118.57</v>
      </c>
      <c r="Q41" s="104">
        <f t="shared" si="11"/>
        <v>118.57</v>
      </c>
      <c r="R41" s="104">
        <f>R47+R54+R60+R66+R73</f>
        <v>151.39000000000001</v>
      </c>
      <c r="S41" s="104">
        <f t="shared" si="11"/>
        <v>151.39000000000001</v>
      </c>
      <c r="T41" s="104">
        <f t="shared" si="11"/>
        <v>22.8</v>
      </c>
      <c r="U41" s="104">
        <f t="shared" si="11"/>
        <v>22.8</v>
      </c>
      <c r="V41" s="104">
        <f t="shared" si="11"/>
        <v>22.8</v>
      </c>
      <c r="W41" s="104">
        <f t="shared" si="11"/>
        <v>22.8</v>
      </c>
      <c r="X41" s="104">
        <f t="shared" si="11"/>
        <v>94.2</v>
      </c>
      <c r="Y41" s="104">
        <f t="shared" si="11"/>
        <v>94.2</v>
      </c>
      <c r="Z41" s="104">
        <f t="shared" si="11"/>
        <v>22.8</v>
      </c>
      <c r="AA41" s="104">
        <f t="shared" si="11"/>
        <v>22.8</v>
      </c>
      <c r="AB41" s="104">
        <f t="shared" si="11"/>
        <v>22.8</v>
      </c>
      <c r="AC41" s="104">
        <f t="shared" si="11"/>
        <v>22.8</v>
      </c>
      <c r="AD41" s="104">
        <f t="shared" si="11"/>
        <v>33.629999999999995</v>
      </c>
      <c r="AE41" s="104">
        <f t="shared" si="11"/>
        <v>33.629999999999995</v>
      </c>
      <c r="AF41" s="1100"/>
      <c r="AG41" s="99"/>
      <c r="AH41" s="677"/>
      <c r="AI41" s="677"/>
      <c r="AJ41" s="677"/>
      <c r="AK41" s="677"/>
    </row>
    <row r="42" spans="1:37" x14ac:dyDescent="0.3">
      <c r="A42" s="103" t="s">
        <v>33</v>
      </c>
      <c r="B42" s="104">
        <f>B48+B55+B61+B67+B74</f>
        <v>76015.921999999991</v>
      </c>
      <c r="C42" s="104">
        <f>C48+C55+C61+C67+C74</f>
        <v>76015.921999999991</v>
      </c>
      <c r="D42" s="104">
        <f t="shared" si="10"/>
        <v>75626.55799999999</v>
      </c>
      <c r="E42" s="104">
        <f>E48+E55+E61+E67+E74</f>
        <v>75399.25615999999</v>
      </c>
      <c r="F42" s="104">
        <f>E42/B42*100</f>
        <v>99.188767532149384</v>
      </c>
      <c r="G42" s="104">
        <f>IFERROR(E42/C42*100,0)</f>
        <v>99.188767532149384</v>
      </c>
      <c r="H42" s="104">
        <f t="shared" si="9"/>
        <v>2224.6999999999998</v>
      </c>
      <c r="I42" s="104">
        <f t="shared" si="9"/>
        <v>1357.8</v>
      </c>
      <c r="J42" s="104">
        <f>J48+J55+J61+J67+J74</f>
        <v>6483.32</v>
      </c>
      <c r="K42" s="104">
        <f t="shared" si="9"/>
        <v>4364.87</v>
      </c>
      <c r="L42" s="104">
        <f t="shared" si="9"/>
        <v>6130.4</v>
      </c>
      <c r="M42" s="104">
        <f t="shared" si="9"/>
        <v>4578.21</v>
      </c>
      <c r="N42" s="104">
        <f t="shared" si="9"/>
        <v>6068.6500000000005</v>
      </c>
      <c r="O42" s="104">
        <f t="shared" si="9"/>
        <v>4402.5300000000007</v>
      </c>
      <c r="P42" s="104">
        <f t="shared" si="9"/>
        <v>7724.58</v>
      </c>
      <c r="Q42" s="104">
        <f t="shared" si="9"/>
        <v>7537.6461599999993</v>
      </c>
      <c r="R42" s="104">
        <f t="shared" si="9"/>
        <v>6889.85</v>
      </c>
      <c r="S42" s="104">
        <f t="shared" si="9"/>
        <v>7885.1600000000008</v>
      </c>
      <c r="T42" s="104">
        <f t="shared" si="9"/>
        <v>7941.06</v>
      </c>
      <c r="U42" s="104">
        <f t="shared" si="9"/>
        <v>7348.89</v>
      </c>
      <c r="V42" s="104">
        <f t="shared" si="9"/>
        <v>4975.3200000000006</v>
      </c>
      <c r="W42" s="104">
        <f t="shared" si="9"/>
        <v>6492.18</v>
      </c>
      <c r="X42" s="104">
        <f t="shared" si="9"/>
        <v>5371.38</v>
      </c>
      <c r="Y42" s="104">
        <f t="shared" si="9"/>
        <v>4613.0400000000009</v>
      </c>
      <c r="Z42" s="104">
        <f t="shared" si="9"/>
        <v>8773.6420000000016</v>
      </c>
      <c r="AA42" s="104">
        <f t="shared" si="9"/>
        <v>10106.780000000001</v>
      </c>
      <c r="AB42" s="104">
        <f t="shared" si="9"/>
        <v>4278.99</v>
      </c>
      <c r="AC42" s="104">
        <f t="shared" si="9"/>
        <v>4508.67</v>
      </c>
      <c r="AD42" s="104">
        <f t="shared" si="9"/>
        <v>9154.0300000000007</v>
      </c>
      <c r="AE42" s="104">
        <f t="shared" si="9"/>
        <v>12203.480000000001</v>
      </c>
      <c r="AF42" s="1100"/>
      <c r="AG42" s="99"/>
      <c r="AH42" s="677"/>
      <c r="AI42" s="677"/>
      <c r="AJ42" s="677"/>
      <c r="AK42" s="677"/>
    </row>
    <row r="43" spans="1:37" x14ac:dyDescent="0.3">
      <c r="A43" s="103" t="s">
        <v>170</v>
      </c>
      <c r="B43" s="104">
        <f>B50+B56+B62+B75+B69</f>
        <v>0</v>
      </c>
      <c r="C43" s="104">
        <f>C50+C56+C62+C69+C75</f>
        <v>0</v>
      </c>
      <c r="D43" s="104">
        <f>D50+D56+D62+D69+D75</f>
        <v>0</v>
      </c>
      <c r="E43" s="104">
        <f>E50+E56+E62+E69+E75</f>
        <v>0</v>
      </c>
      <c r="F43" s="104">
        <f>IFERROR(E43/B43*100,0)</f>
        <v>0</v>
      </c>
      <c r="G43" s="104">
        <f>IFERROR(E43/C43*100,0)</f>
        <v>0</v>
      </c>
      <c r="H43" s="104">
        <f>H50+H56+H62+H69+H75</f>
        <v>0</v>
      </c>
      <c r="I43" s="104">
        <f t="shared" ref="I43:AE43" si="12">I50+I56+I62+I69+I75</f>
        <v>0</v>
      </c>
      <c r="J43" s="104">
        <f t="shared" si="12"/>
        <v>0</v>
      </c>
      <c r="K43" s="104">
        <f t="shared" si="12"/>
        <v>0</v>
      </c>
      <c r="L43" s="104">
        <f t="shared" si="12"/>
        <v>0</v>
      </c>
      <c r="M43" s="104">
        <f t="shared" si="12"/>
        <v>0</v>
      </c>
      <c r="N43" s="104">
        <f t="shared" si="12"/>
        <v>0</v>
      </c>
      <c r="O43" s="104">
        <f t="shared" si="12"/>
        <v>0</v>
      </c>
      <c r="P43" s="104">
        <f t="shared" si="12"/>
        <v>0</v>
      </c>
      <c r="Q43" s="104">
        <f t="shared" si="12"/>
        <v>0</v>
      </c>
      <c r="R43" s="104">
        <f t="shared" si="12"/>
        <v>0</v>
      </c>
      <c r="S43" s="104">
        <f t="shared" si="12"/>
        <v>0</v>
      </c>
      <c r="T43" s="104">
        <f t="shared" si="12"/>
        <v>0</v>
      </c>
      <c r="U43" s="104">
        <f t="shared" si="12"/>
        <v>0</v>
      </c>
      <c r="V43" s="104">
        <f t="shared" si="12"/>
        <v>0</v>
      </c>
      <c r="W43" s="104">
        <f t="shared" si="12"/>
        <v>0</v>
      </c>
      <c r="X43" s="104">
        <f t="shared" si="12"/>
        <v>0</v>
      </c>
      <c r="Y43" s="104">
        <f t="shared" si="12"/>
        <v>0</v>
      </c>
      <c r="Z43" s="104">
        <f t="shared" si="12"/>
        <v>0</v>
      </c>
      <c r="AA43" s="104">
        <f t="shared" si="12"/>
        <v>0</v>
      </c>
      <c r="AB43" s="104">
        <f t="shared" si="12"/>
        <v>0</v>
      </c>
      <c r="AC43" s="104">
        <f t="shared" si="12"/>
        <v>0</v>
      </c>
      <c r="AD43" s="104">
        <f t="shared" si="12"/>
        <v>0</v>
      </c>
      <c r="AE43" s="104">
        <f t="shared" si="12"/>
        <v>0</v>
      </c>
      <c r="AF43" s="1100"/>
      <c r="AG43" s="99"/>
      <c r="AH43" s="677"/>
      <c r="AI43" s="677"/>
      <c r="AJ43" s="677"/>
      <c r="AK43" s="677"/>
    </row>
    <row r="44" spans="1:37" ht="75" x14ac:dyDescent="0.3">
      <c r="A44" s="105" t="s">
        <v>173</v>
      </c>
      <c r="B44" s="106"/>
      <c r="C44" s="107"/>
      <c r="D44" s="107"/>
      <c r="E44" s="107"/>
      <c r="F44" s="107"/>
      <c r="G44" s="107"/>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96" t="s">
        <v>694</v>
      </c>
      <c r="AG44" s="99"/>
      <c r="AH44" s="677"/>
      <c r="AI44" s="677"/>
      <c r="AJ44" s="677"/>
      <c r="AK44" s="677"/>
    </row>
    <row r="45" spans="1:37" x14ac:dyDescent="0.3">
      <c r="A45" s="109" t="s">
        <v>31</v>
      </c>
      <c r="B45" s="727">
        <f>B47+B48+B46+B50</f>
        <v>982.6</v>
      </c>
      <c r="C45" s="591">
        <f>C47+C48+C46+C50</f>
        <v>982.6</v>
      </c>
      <c r="D45" s="732">
        <f>D47+D48+D46+D50</f>
        <v>982.55800000000011</v>
      </c>
      <c r="E45" s="727">
        <f>E47+E48+E46+E50</f>
        <v>982.56000000000006</v>
      </c>
      <c r="F45" s="110">
        <f>IFERROR(E45/B45*100,0)</f>
        <v>99.99592916751476</v>
      </c>
      <c r="G45" s="110">
        <f>IFERROR(E45/C45*100,0)</f>
        <v>99.99592916751476</v>
      </c>
      <c r="H45" s="110">
        <f t="shared" ref="H45:AE45" si="13">H47+H48+H46+H50</f>
        <v>0</v>
      </c>
      <c r="I45" s="110">
        <f t="shared" si="13"/>
        <v>0</v>
      </c>
      <c r="J45" s="110">
        <f t="shared" si="13"/>
        <v>200</v>
      </c>
      <c r="K45" s="110">
        <f t="shared" si="13"/>
        <v>197.02</v>
      </c>
      <c r="L45" s="110">
        <f t="shared" si="13"/>
        <v>250</v>
      </c>
      <c r="M45" s="110">
        <f t="shared" si="13"/>
        <v>250</v>
      </c>
      <c r="N45" s="110">
        <f t="shared" si="13"/>
        <v>0</v>
      </c>
      <c r="O45" s="110">
        <f t="shared" si="13"/>
        <v>2.98</v>
      </c>
      <c r="P45" s="110">
        <f t="shared" si="13"/>
        <v>0</v>
      </c>
      <c r="Q45" s="110">
        <f t="shared" si="13"/>
        <v>0</v>
      </c>
      <c r="R45" s="110">
        <f t="shared" si="13"/>
        <v>532.6</v>
      </c>
      <c r="S45" s="110">
        <f t="shared" si="13"/>
        <v>532.56000000000006</v>
      </c>
      <c r="T45" s="110">
        <f t="shared" si="13"/>
        <v>0</v>
      </c>
      <c r="U45" s="110">
        <f t="shared" si="13"/>
        <v>0</v>
      </c>
      <c r="V45" s="110">
        <f t="shared" si="13"/>
        <v>0</v>
      </c>
      <c r="W45" s="110">
        <f t="shared" si="13"/>
        <v>0</v>
      </c>
      <c r="X45" s="110">
        <f t="shared" si="13"/>
        <v>0</v>
      </c>
      <c r="Y45" s="110">
        <f t="shared" si="13"/>
        <v>0</v>
      </c>
      <c r="Z45" s="110">
        <f t="shared" si="13"/>
        <v>0</v>
      </c>
      <c r="AA45" s="110">
        <f t="shared" si="13"/>
        <v>0</v>
      </c>
      <c r="AB45" s="110">
        <f t="shared" si="13"/>
        <v>0</v>
      </c>
      <c r="AC45" s="110">
        <f t="shared" si="13"/>
        <v>0</v>
      </c>
      <c r="AD45" s="110">
        <f t="shared" si="13"/>
        <v>0</v>
      </c>
      <c r="AE45" s="110">
        <f t="shared" si="13"/>
        <v>0</v>
      </c>
      <c r="AF45" s="1100"/>
      <c r="AG45" s="99"/>
      <c r="AH45" s="677"/>
      <c r="AI45" s="677"/>
      <c r="AJ45" s="677"/>
      <c r="AK45" s="677"/>
    </row>
    <row r="46" spans="1:37" x14ac:dyDescent="0.3">
      <c r="A46" s="112" t="s">
        <v>169</v>
      </c>
      <c r="B46" s="729">
        <f>J46+L46+N46+P46+R46+T46+V46+X46+Z46+AB46+AD46+H46</f>
        <v>105.21</v>
      </c>
      <c r="C46" s="712">
        <f>H46+J46+L46+N46+P46+R46+T46+V46+X46+Z46+AB46+AD46</f>
        <v>105.21</v>
      </c>
      <c r="D46" s="731">
        <f>E46</f>
        <v>105.21</v>
      </c>
      <c r="E46" s="730">
        <f>SUM(I46,K46,M46,O46,Q46,S46,U46,W46,Y46,AA46,AC46,AE46)</f>
        <v>105.21</v>
      </c>
      <c r="F46" s="113">
        <f>IFERROR(E46/B46*100,0)</f>
        <v>100</v>
      </c>
      <c r="G46" s="113">
        <f>IFERROR(E46/C46*100,0)</f>
        <v>100</v>
      </c>
      <c r="H46" s="108"/>
      <c r="I46" s="108"/>
      <c r="J46" s="108"/>
      <c r="K46" s="108"/>
      <c r="L46" s="108"/>
      <c r="M46" s="108"/>
      <c r="N46" s="108"/>
      <c r="O46" s="108"/>
      <c r="P46" s="108"/>
      <c r="Q46" s="108">
        <v>0</v>
      </c>
      <c r="R46" s="108">
        <v>105.21</v>
      </c>
      <c r="S46" s="108">
        <v>105.21</v>
      </c>
      <c r="T46" s="108">
        <v>0</v>
      </c>
      <c r="U46" s="108">
        <v>0</v>
      </c>
      <c r="V46" s="108">
        <v>0</v>
      </c>
      <c r="W46" s="108">
        <v>0</v>
      </c>
      <c r="X46" s="108">
        <v>0</v>
      </c>
      <c r="Y46" s="108">
        <v>0</v>
      </c>
      <c r="Z46" s="108">
        <v>0</v>
      </c>
      <c r="AA46" s="108">
        <v>0</v>
      </c>
      <c r="AB46" s="108">
        <v>0</v>
      </c>
      <c r="AC46" s="108">
        <v>0</v>
      </c>
      <c r="AD46" s="108">
        <v>0</v>
      </c>
      <c r="AE46" s="108">
        <v>0</v>
      </c>
      <c r="AF46" s="1100"/>
      <c r="AG46" s="99"/>
      <c r="AH46" s="677"/>
      <c r="AI46" s="677"/>
      <c r="AJ46" s="677"/>
      <c r="AK46" s="677"/>
    </row>
    <row r="47" spans="1:37" x14ac:dyDescent="0.3">
      <c r="A47" s="593" t="s">
        <v>32</v>
      </c>
      <c r="B47" s="729">
        <f>J47+L47+N47+P47+R47+T47+V47+X47+Z47+AB47+AD47+H47</f>
        <v>128.59</v>
      </c>
      <c r="C47" s="712">
        <f>H47+J47+L47+N47+P47+R47+T47+V47+X47+Z47+AB47+AD47</f>
        <v>128.59</v>
      </c>
      <c r="D47" s="731">
        <f>E47</f>
        <v>128.59</v>
      </c>
      <c r="E47" s="730">
        <f>SUM(I47,K47,M47,O47,Q47,S47,U47,W47,Y47,AA47,AC47,AE47)</f>
        <v>128.59</v>
      </c>
      <c r="F47" s="113">
        <f>IFERROR(E47/B47*100,0)</f>
        <v>100</v>
      </c>
      <c r="G47" s="113">
        <f>IFERROR(E47/C47*100,0)</f>
        <v>100</v>
      </c>
      <c r="H47" s="108"/>
      <c r="I47" s="108"/>
      <c r="J47" s="108"/>
      <c r="K47" s="108"/>
      <c r="L47" s="108"/>
      <c r="M47" s="108"/>
      <c r="N47" s="108"/>
      <c r="O47" s="108"/>
      <c r="P47" s="108"/>
      <c r="Q47" s="108">
        <v>0</v>
      </c>
      <c r="R47" s="108">
        <v>128.59</v>
      </c>
      <c r="S47" s="108">
        <v>128.59</v>
      </c>
      <c r="T47" s="108">
        <v>0</v>
      </c>
      <c r="U47" s="108">
        <v>0</v>
      </c>
      <c r="V47" s="108">
        <v>0</v>
      </c>
      <c r="W47" s="108">
        <v>0</v>
      </c>
      <c r="X47" s="108">
        <v>0</v>
      </c>
      <c r="Y47" s="108">
        <v>0</v>
      </c>
      <c r="Z47" s="108">
        <v>0</v>
      </c>
      <c r="AA47" s="108">
        <v>0</v>
      </c>
      <c r="AB47" s="108">
        <v>0</v>
      </c>
      <c r="AC47" s="108">
        <v>0</v>
      </c>
      <c r="AD47" s="108">
        <v>0</v>
      </c>
      <c r="AE47" s="108">
        <v>0</v>
      </c>
      <c r="AF47" s="1100"/>
      <c r="AG47" s="99"/>
      <c r="AH47" s="677"/>
      <c r="AI47" s="677"/>
      <c r="AJ47" s="677"/>
      <c r="AK47" s="677"/>
    </row>
    <row r="48" spans="1:37" x14ac:dyDescent="0.3">
      <c r="A48" s="112" t="s">
        <v>33</v>
      </c>
      <c r="B48" s="729">
        <f>J48+L48+N48+P48+R48+T48+V48+X48+Z48+AB48+AD48+H48</f>
        <v>748.8</v>
      </c>
      <c r="C48" s="712">
        <f>H48+J48+L48+N48+P48+R48+T48+V48+X48+Z48+AB48+AD48</f>
        <v>748.8</v>
      </c>
      <c r="D48" s="731">
        <v>748.75800000000004</v>
      </c>
      <c r="E48" s="730">
        <f>SUM(I48,K48,M48,O48,Q48,S48,U48,W48,Y48,AA48,AC48,AE48)</f>
        <v>748.76</v>
      </c>
      <c r="F48" s="113">
        <f>IFERROR(E48/B48*100,0)</f>
        <v>99.994658119658126</v>
      </c>
      <c r="G48" s="113">
        <f>IFERROR(E48/C48*100,0)</f>
        <v>99.994658119658126</v>
      </c>
      <c r="H48" s="108">
        <v>0</v>
      </c>
      <c r="I48" s="108">
        <v>0</v>
      </c>
      <c r="J48" s="108">
        <v>200</v>
      </c>
      <c r="K48" s="108">
        <v>197.02</v>
      </c>
      <c r="L48" s="108">
        <v>250</v>
      </c>
      <c r="M48" s="108">
        <v>250</v>
      </c>
      <c r="N48" s="108">
        <v>0</v>
      </c>
      <c r="O48" s="108">
        <v>2.98</v>
      </c>
      <c r="P48" s="108">
        <v>0</v>
      </c>
      <c r="Q48" s="108">
        <v>0</v>
      </c>
      <c r="R48" s="108">
        <v>298.8</v>
      </c>
      <c r="S48" s="108">
        <v>298.76</v>
      </c>
      <c r="T48" s="108">
        <v>0</v>
      </c>
      <c r="U48" s="108">
        <v>0</v>
      </c>
      <c r="V48" s="108">
        <v>0</v>
      </c>
      <c r="W48" s="108">
        <v>0</v>
      </c>
      <c r="X48" s="108">
        <v>0</v>
      </c>
      <c r="Y48" s="108">
        <v>0</v>
      </c>
      <c r="Z48" s="108">
        <v>0</v>
      </c>
      <c r="AA48" s="108">
        <v>0</v>
      </c>
      <c r="AB48" s="108">
        <v>0</v>
      </c>
      <c r="AC48" s="108">
        <v>0</v>
      </c>
      <c r="AD48" s="108">
        <v>0</v>
      </c>
      <c r="AE48" s="108">
        <v>0</v>
      </c>
      <c r="AF48" s="1100"/>
      <c r="AG48" s="99"/>
      <c r="AH48" s="677"/>
      <c r="AI48" s="677"/>
      <c r="AJ48" s="677"/>
      <c r="AK48" s="677"/>
    </row>
    <row r="49" spans="1:37" ht="37.5" x14ac:dyDescent="0.3">
      <c r="A49" s="756" t="s">
        <v>174</v>
      </c>
      <c r="B49" s="116">
        <f>J49+L49+N49+P49+R49+T49+V49+X49+Z49+AB49+AD49+H49</f>
        <v>41.3</v>
      </c>
      <c r="C49" s="116">
        <f>H49+J49+L49+N49+P49+R49+T49+V49+X49+Z49+AB49+AD49</f>
        <v>41.3</v>
      </c>
      <c r="D49" s="116">
        <f>E49</f>
        <v>41.3</v>
      </c>
      <c r="E49" s="116">
        <f>SUM(I49,K49,M49,O49,Q49,S49,U49,W49,Y49,AA49,AC49,AE49)</f>
        <v>41.3</v>
      </c>
      <c r="F49" s="116">
        <f>IFERROR(E49/B49*100,0)</f>
        <v>100</v>
      </c>
      <c r="G49" s="116">
        <f>IFERROR(E49/C49*100,0)</f>
        <v>100</v>
      </c>
      <c r="H49" s="116">
        <v>0</v>
      </c>
      <c r="I49" s="116">
        <v>0</v>
      </c>
      <c r="J49" s="116">
        <v>0</v>
      </c>
      <c r="K49" s="116">
        <v>0</v>
      </c>
      <c r="L49" s="116">
        <v>0</v>
      </c>
      <c r="M49" s="116">
        <v>0</v>
      </c>
      <c r="N49" s="116">
        <v>0</v>
      </c>
      <c r="O49" s="116">
        <v>0</v>
      </c>
      <c r="P49" s="116">
        <v>0</v>
      </c>
      <c r="Q49" s="116">
        <v>0</v>
      </c>
      <c r="R49" s="116">
        <v>41.3</v>
      </c>
      <c r="S49" s="116">
        <v>41.3</v>
      </c>
      <c r="T49" s="116">
        <v>0</v>
      </c>
      <c r="U49" s="116">
        <v>0</v>
      </c>
      <c r="V49" s="116">
        <v>0</v>
      </c>
      <c r="W49" s="116">
        <v>0</v>
      </c>
      <c r="X49" s="116">
        <v>0</v>
      </c>
      <c r="Y49" s="116">
        <v>0</v>
      </c>
      <c r="Z49" s="116">
        <v>0</v>
      </c>
      <c r="AA49" s="116">
        <v>0</v>
      </c>
      <c r="AB49" s="116">
        <v>0</v>
      </c>
      <c r="AC49" s="116">
        <v>0</v>
      </c>
      <c r="AD49" s="116">
        <v>0</v>
      </c>
      <c r="AE49" s="116">
        <v>0</v>
      </c>
      <c r="AF49" s="1102"/>
      <c r="AG49" s="99"/>
      <c r="AH49" s="677"/>
      <c r="AI49" s="677"/>
      <c r="AJ49" s="677"/>
      <c r="AK49" s="677"/>
    </row>
    <row r="50" spans="1:37" x14ac:dyDescent="0.3">
      <c r="A50" s="112" t="s">
        <v>170</v>
      </c>
      <c r="B50" s="113"/>
      <c r="C50" s="114"/>
      <c r="D50" s="115"/>
      <c r="E50" s="114"/>
      <c r="F50" s="113"/>
      <c r="G50" s="113"/>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100"/>
      <c r="AG50" s="99"/>
      <c r="AH50" s="677"/>
      <c r="AI50" s="677"/>
      <c r="AJ50" s="677"/>
      <c r="AK50" s="677"/>
    </row>
    <row r="51" spans="1:37" ht="75" x14ac:dyDescent="0.3">
      <c r="A51" s="117" t="s">
        <v>175</v>
      </c>
      <c r="B51" s="727"/>
      <c r="C51" s="728"/>
      <c r="D51" s="728"/>
      <c r="E51" s="728"/>
      <c r="F51" s="118"/>
      <c r="G51" s="11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103" t="s">
        <v>502</v>
      </c>
      <c r="AG51" s="99"/>
      <c r="AH51" s="677"/>
      <c r="AI51" s="677"/>
      <c r="AJ51" s="677"/>
      <c r="AK51" s="677"/>
    </row>
    <row r="52" spans="1:37" x14ac:dyDescent="0.3">
      <c r="A52" s="109" t="s">
        <v>31</v>
      </c>
      <c r="B52" s="727">
        <f>B54+B55+B53+B56</f>
        <v>144.60000000000002</v>
      </c>
      <c r="C52" s="727">
        <f>C54+C55+C53+C56</f>
        <v>144.60000000000002</v>
      </c>
      <c r="D52" s="727">
        <f>D54+D55+D53+D56</f>
        <v>144.60000000000002</v>
      </c>
      <c r="E52" s="727">
        <f>E54+E55+E53+E56</f>
        <v>144.60000000000002</v>
      </c>
      <c r="F52" s="110">
        <f>IFERROR(E52/B52*100,0)</f>
        <v>100</v>
      </c>
      <c r="G52" s="110">
        <f>IFERROR(E52/C52*100,0)</f>
        <v>100</v>
      </c>
      <c r="H52" s="110">
        <f t="shared" ref="H52:AE52" si="14">H54+H55+H53+H56</f>
        <v>0</v>
      </c>
      <c r="I52" s="110">
        <f t="shared" si="14"/>
        <v>0</v>
      </c>
      <c r="J52" s="110">
        <f t="shared" si="14"/>
        <v>44.45</v>
      </c>
      <c r="K52" s="110">
        <f t="shared" si="14"/>
        <v>44.45</v>
      </c>
      <c r="L52" s="110">
        <f t="shared" si="14"/>
        <v>100.15</v>
      </c>
      <c r="M52" s="110">
        <f t="shared" si="14"/>
        <v>100.15</v>
      </c>
      <c r="N52" s="110">
        <f t="shared" si="14"/>
        <v>0</v>
      </c>
      <c r="O52" s="110">
        <f t="shared" si="14"/>
        <v>0</v>
      </c>
      <c r="P52" s="110">
        <f t="shared" si="14"/>
        <v>0</v>
      </c>
      <c r="Q52" s="110">
        <f t="shared" si="14"/>
        <v>0</v>
      </c>
      <c r="R52" s="110">
        <f t="shared" si="14"/>
        <v>0</v>
      </c>
      <c r="S52" s="110">
        <f t="shared" si="14"/>
        <v>0</v>
      </c>
      <c r="T52" s="110">
        <f t="shared" si="14"/>
        <v>0</v>
      </c>
      <c r="U52" s="110">
        <f t="shared" si="14"/>
        <v>0</v>
      </c>
      <c r="V52" s="110">
        <f t="shared" si="14"/>
        <v>0</v>
      </c>
      <c r="W52" s="110">
        <f t="shared" si="14"/>
        <v>0</v>
      </c>
      <c r="X52" s="110">
        <f t="shared" si="14"/>
        <v>0</v>
      </c>
      <c r="Y52" s="110">
        <f t="shared" si="14"/>
        <v>0</v>
      </c>
      <c r="Z52" s="110">
        <f t="shared" si="14"/>
        <v>0</v>
      </c>
      <c r="AA52" s="110">
        <f t="shared" si="14"/>
        <v>0</v>
      </c>
      <c r="AB52" s="110">
        <f t="shared" si="14"/>
        <v>0</v>
      </c>
      <c r="AC52" s="110">
        <f t="shared" si="14"/>
        <v>0</v>
      </c>
      <c r="AD52" s="110">
        <f t="shared" si="14"/>
        <v>0</v>
      </c>
      <c r="AE52" s="110">
        <f t="shared" si="14"/>
        <v>0</v>
      </c>
      <c r="AF52" s="1100"/>
      <c r="AG52" s="99"/>
      <c r="AH52" s="677"/>
      <c r="AI52" s="677"/>
      <c r="AJ52" s="677"/>
      <c r="AK52" s="677"/>
    </row>
    <row r="53" spans="1:37" x14ac:dyDescent="0.3">
      <c r="A53" s="112" t="s">
        <v>169</v>
      </c>
      <c r="B53" s="729"/>
      <c r="C53" s="730"/>
      <c r="D53" s="731"/>
      <c r="E53" s="730"/>
      <c r="F53" s="113"/>
      <c r="G53" s="113"/>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100"/>
      <c r="AG53" s="99"/>
      <c r="AH53" s="677"/>
      <c r="AI53" s="677"/>
      <c r="AJ53" s="677"/>
      <c r="AK53" s="677"/>
    </row>
    <row r="54" spans="1:37" x14ac:dyDescent="0.3">
      <c r="A54" s="112" t="s">
        <v>32</v>
      </c>
      <c r="B54" s="729"/>
      <c r="C54" s="730"/>
      <c r="D54" s="731"/>
      <c r="E54" s="730"/>
      <c r="F54" s="113"/>
      <c r="G54" s="113"/>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100"/>
      <c r="AG54" s="99"/>
      <c r="AH54" s="677"/>
      <c r="AI54" s="677"/>
      <c r="AJ54" s="677"/>
      <c r="AK54" s="677"/>
    </row>
    <row r="55" spans="1:37" x14ac:dyDescent="0.3">
      <c r="A55" s="112" t="s">
        <v>33</v>
      </c>
      <c r="B55" s="729">
        <f>J55+L55+N55+P55+R55+T55+V55+X55+Z55+AB55+AD55+H55</f>
        <v>144.60000000000002</v>
      </c>
      <c r="C55" s="730">
        <f>SUM(H55+N55+J55+L55)</f>
        <v>144.60000000000002</v>
      </c>
      <c r="D55" s="731">
        <f>E55</f>
        <v>144.60000000000002</v>
      </c>
      <c r="E55" s="730">
        <f>SUM(I55,K55,M55,O55,Q55,S55,U55,W55,Y55,AA55,AC55,AE55)</f>
        <v>144.60000000000002</v>
      </c>
      <c r="F55" s="113">
        <f>IFERROR(E55/B55*100,0)</f>
        <v>100</v>
      </c>
      <c r="G55" s="113">
        <f>IFERROR(E55/C55*100,0)</f>
        <v>100</v>
      </c>
      <c r="H55" s="108">
        <v>0</v>
      </c>
      <c r="I55" s="108">
        <v>0</v>
      </c>
      <c r="J55" s="108">
        <v>44.45</v>
      </c>
      <c r="K55" s="108">
        <v>44.45</v>
      </c>
      <c r="L55" s="108">
        <v>100.15</v>
      </c>
      <c r="M55" s="108">
        <v>100.15</v>
      </c>
      <c r="N55" s="108">
        <v>0</v>
      </c>
      <c r="O55" s="108">
        <v>0</v>
      </c>
      <c r="P55" s="108">
        <v>0</v>
      </c>
      <c r="Q55" s="108">
        <v>0</v>
      </c>
      <c r="R55" s="108">
        <v>0</v>
      </c>
      <c r="S55" s="108">
        <v>0</v>
      </c>
      <c r="T55" s="108">
        <v>0</v>
      </c>
      <c r="U55" s="108">
        <v>0</v>
      </c>
      <c r="V55" s="108">
        <v>0</v>
      </c>
      <c r="W55" s="108">
        <v>0</v>
      </c>
      <c r="X55" s="108">
        <v>0</v>
      </c>
      <c r="Y55" s="108">
        <v>0</v>
      </c>
      <c r="Z55" s="108">
        <v>0</v>
      </c>
      <c r="AA55" s="108">
        <v>0</v>
      </c>
      <c r="AB55" s="108">
        <v>0</v>
      </c>
      <c r="AC55" s="108">
        <v>0</v>
      </c>
      <c r="AD55" s="108">
        <v>0</v>
      </c>
      <c r="AE55" s="108">
        <v>0</v>
      </c>
      <c r="AF55" s="1100"/>
      <c r="AG55" s="99"/>
      <c r="AH55" s="677"/>
      <c r="AI55" s="677"/>
      <c r="AJ55" s="677"/>
      <c r="AK55" s="677"/>
    </row>
    <row r="56" spans="1:37" x14ac:dyDescent="0.3">
      <c r="A56" s="112" t="s">
        <v>170</v>
      </c>
      <c r="B56" s="729"/>
      <c r="C56" s="730"/>
      <c r="D56" s="731"/>
      <c r="E56" s="730"/>
      <c r="F56" s="113"/>
      <c r="G56" s="113"/>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100"/>
      <c r="AG56" s="99"/>
      <c r="AH56" s="677"/>
      <c r="AI56" s="677"/>
      <c r="AJ56" s="677"/>
      <c r="AK56" s="677"/>
    </row>
    <row r="57" spans="1:37" ht="262.5" x14ac:dyDescent="0.3">
      <c r="A57" s="119" t="s">
        <v>176</v>
      </c>
      <c r="B57" s="727"/>
      <c r="C57" s="728"/>
      <c r="D57" s="728"/>
      <c r="E57" s="728"/>
      <c r="F57" s="118"/>
      <c r="G57" s="11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98" t="s">
        <v>715</v>
      </c>
      <c r="AG57" s="99"/>
      <c r="AH57" s="677"/>
      <c r="AI57" s="677"/>
      <c r="AJ57" s="677"/>
      <c r="AK57" s="677"/>
    </row>
    <row r="58" spans="1:37" x14ac:dyDescent="0.3">
      <c r="A58" s="109" t="s">
        <v>31</v>
      </c>
      <c r="B58" s="727">
        <f>B60+B61+B59+B62</f>
        <v>75053.422000000006</v>
      </c>
      <c r="C58" s="591">
        <f>C60+C61+C59+C62</f>
        <v>75053.422000000006</v>
      </c>
      <c r="D58" s="591">
        <f>D60+D61+D59+D62</f>
        <v>74664.100000000006</v>
      </c>
      <c r="E58" s="591">
        <f>E60+E61+E59+E62</f>
        <v>74436.796159999998</v>
      </c>
      <c r="F58" s="110">
        <f>IFERROR(E58/B58*100,0)</f>
        <v>99.178417421127037</v>
      </c>
      <c r="G58" s="110">
        <f>IFERROR(E58/C58*100,0)</f>
        <v>99.178417421127037</v>
      </c>
      <c r="H58" s="727">
        <f t="shared" ref="H58:AE58" si="15">H60+H61+H59+H62</f>
        <v>2224.6999999999998</v>
      </c>
      <c r="I58" s="727">
        <f>I60+I61+I59+I62</f>
        <v>1357.8</v>
      </c>
      <c r="J58" s="727">
        <f t="shared" si="15"/>
        <v>6227.22</v>
      </c>
      <c r="K58" s="727">
        <f t="shared" si="15"/>
        <v>4111.75</v>
      </c>
      <c r="L58" s="727">
        <f t="shared" si="15"/>
        <v>5770</v>
      </c>
      <c r="M58" s="110">
        <f t="shared" si="15"/>
        <v>4217.8100000000004</v>
      </c>
      <c r="N58" s="110">
        <f t="shared" si="15"/>
        <v>6064.2</v>
      </c>
      <c r="O58" s="110">
        <f t="shared" si="15"/>
        <v>4395.1000000000004</v>
      </c>
      <c r="P58" s="110">
        <f t="shared" si="15"/>
        <v>7706.1</v>
      </c>
      <c r="Q58" s="110">
        <f t="shared" si="15"/>
        <v>7519.1661599999998</v>
      </c>
      <c r="R58" s="110">
        <f t="shared" si="15"/>
        <v>6589.5</v>
      </c>
      <c r="S58" s="110">
        <f t="shared" si="15"/>
        <v>7584.85</v>
      </c>
      <c r="T58" s="110">
        <f t="shared" si="15"/>
        <v>7939.51</v>
      </c>
      <c r="U58" s="110">
        <f t="shared" si="15"/>
        <v>7347.34</v>
      </c>
      <c r="V58" s="110">
        <f t="shared" si="15"/>
        <v>4973.7700000000004</v>
      </c>
      <c r="W58" s="110">
        <f t="shared" si="15"/>
        <v>6490.63</v>
      </c>
      <c r="X58" s="110">
        <f t="shared" si="15"/>
        <v>5357.23</v>
      </c>
      <c r="Y58" s="110">
        <f t="shared" si="15"/>
        <v>4598.8900000000003</v>
      </c>
      <c r="Z58" s="110">
        <f t="shared" si="15"/>
        <v>8772.0920000000006</v>
      </c>
      <c r="AA58" s="110">
        <f t="shared" si="15"/>
        <v>10105.23</v>
      </c>
      <c r="AB58" s="110">
        <f t="shared" si="15"/>
        <v>4277.4399999999996</v>
      </c>
      <c r="AC58" s="110">
        <f t="shared" si="15"/>
        <v>4507.12</v>
      </c>
      <c r="AD58" s="110">
        <f t="shared" si="15"/>
        <v>9151.66</v>
      </c>
      <c r="AE58" s="110">
        <f t="shared" si="15"/>
        <v>12201.11</v>
      </c>
      <c r="AF58" s="1100"/>
      <c r="AG58" s="99"/>
      <c r="AH58" s="677"/>
      <c r="AI58" s="677"/>
      <c r="AJ58" s="677"/>
      <c r="AK58" s="677"/>
    </row>
    <row r="59" spans="1:37" x14ac:dyDescent="0.3">
      <c r="A59" s="112" t="s">
        <v>169</v>
      </c>
      <c r="B59" s="729"/>
      <c r="C59" s="712"/>
      <c r="D59" s="715"/>
      <c r="E59" s="712"/>
      <c r="F59" s="113"/>
      <c r="G59" s="113"/>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100"/>
      <c r="AG59" s="99"/>
      <c r="AH59" s="677"/>
      <c r="AI59" s="677"/>
      <c r="AJ59" s="677"/>
      <c r="AK59" s="677"/>
    </row>
    <row r="60" spans="1:37" x14ac:dyDescent="0.3">
      <c r="A60" s="112" t="s">
        <v>32</v>
      </c>
      <c r="B60" s="729"/>
      <c r="C60" s="712"/>
      <c r="D60" s="715"/>
      <c r="E60" s="712"/>
      <c r="F60" s="113"/>
      <c r="G60" s="113"/>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100"/>
      <c r="AG60" s="99"/>
      <c r="AH60" s="677"/>
      <c r="AI60" s="677"/>
      <c r="AJ60" s="677"/>
      <c r="AK60" s="677"/>
    </row>
    <row r="61" spans="1:37" x14ac:dyDescent="0.3">
      <c r="A61" s="112" t="s">
        <v>33</v>
      </c>
      <c r="B61" s="729">
        <f>J61+L61+N61+P61+R61+T61+V61+X61+Z61+AB61+AD61+H61</f>
        <v>75053.422000000006</v>
      </c>
      <c r="C61" s="712">
        <f>H61+J61+L61+N61+P61+R61+T61+V61+X61+Z61+AB61+AD61</f>
        <v>75053.422000000006</v>
      </c>
      <c r="D61" s="715">
        <v>74664.100000000006</v>
      </c>
      <c r="E61" s="712">
        <f>SUM(I61,K61,M61,O61,Q61,S61,U61,W61,Y61,AA61,AC61,AE61)</f>
        <v>74436.796159999998</v>
      </c>
      <c r="F61" s="113">
        <f>IFERROR(E61/B61*100,0)</f>
        <v>99.178417421127037</v>
      </c>
      <c r="G61" s="113">
        <f>IFERROR(E61/C61*100,0)</f>
        <v>99.178417421127037</v>
      </c>
      <c r="H61" s="108">
        <v>2224.6999999999998</v>
      </c>
      <c r="I61" s="108">
        <v>1357.8</v>
      </c>
      <c r="J61" s="108">
        <v>6227.22</v>
      </c>
      <c r="K61" s="108">
        <v>4111.75</v>
      </c>
      <c r="L61" s="108">
        <v>5770</v>
      </c>
      <c r="M61" s="108">
        <v>4217.8100000000004</v>
      </c>
      <c r="N61" s="108">
        <v>6064.2</v>
      </c>
      <c r="O61" s="108">
        <v>4395.1000000000004</v>
      </c>
      <c r="P61" s="499">
        <v>7706.1</v>
      </c>
      <c r="Q61" s="108">
        <v>7519.1661599999998</v>
      </c>
      <c r="R61" s="108">
        <v>6589.5</v>
      </c>
      <c r="S61" s="108">
        <v>7584.85</v>
      </c>
      <c r="T61" s="108">
        <v>7939.51</v>
      </c>
      <c r="U61" s="108">
        <v>7347.34</v>
      </c>
      <c r="V61" s="108">
        <v>4973.7700000000004</v>
      </c>
      <c r="W61" s="108">
        <v>6490.63</v>
      </c>
      <c r="X61" s="108">
        <v>5357.23</v>
      </c>
      <c r="Y61" s="108">
        <v>4598.8900000000003</v>
      </c>
      <c r="Z61" s="108">
        <v>8772.0920000000006</v>
      </c>
      <c r="AA61" s="108">
        <v>10105.23</v>
      </c>
      <c r="AB61" s="108">
        <v>4277.4399999999996</v>
      </c>
      <c r="AC61" s="108">
        <v>4507.12</v>
      </c>
      <c r="AD61" s="108">
        <v>9151.66</v>
      </c>
      <c r="AE61" s="108">
        <v>12201.11</v>
      </c>
      <c r="AF61" s="1100"/>
      <c r="AG61" s="99"/>
      <c r="AH61" s="677"/>
      <c r="AI61" s="677"/>
      <c r="AJ61" s="677"/>
      <c r="AK61" s="677"/>
    </row>
    <row r="62" spans="1:37" x14ac:dyDescent="0.3">
      <c r="A62" s="112" t="s">
        <v>170</v>
      </c>
      <c r="B62" s="113"/>
      <c r="C62" s="114"/>
      <c r="D62" s="115"/>
      <c r="E62" s="114"/>
      <c r="F62" s="113"/>
      <c r="G62" s="113"/>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100"/>
      <c r="AG62" s="99"/>
      <c r="AH62" s="677"/>
      <c r="AI62" s="677"/>
      <c r="AJ62" s="677"/>
      <c r="AK62" s="677"/>
    </row>
    <row r="63" spans="1:37" ht="112.5" x14ac:dyDescent="0.3">
      <c r="A63" s="86" t="s">
        <v>177</v>
      </c>
      <c r="B63" s="113"/>
      <c r="C63" s="120"/>
      <c r="D63" s="120"/>
      <c r="E63" s="120"/>
      <c r="F63" s="120"/>
      <c r="G63" s="120"/>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96" t="s">
        <v>695</v>
      </c>
      <c r="AG63" s="99"/>
      <c r="AH63" s="677"/>
      <c r="AI63" s="677"/>
      <c r="AJ63" s="677"/>
      <c r="AK63" s="677"/>
    </row>
    <row r="64" spans="1:37" ht="37.5" x14ac:dyDescent="0.3">
      <c r="A64" s="11" t="s">
        <v>31</v>
      </c>
      <c r="B64" s="727">
        <f>B66+B67+B65+B69</f>
        <v>277.7</v>
      </c>
      <c r="C64" s="591">
        <f>C66+C67+C65+C69</f>
        <v>277.7</v>
      </c>
      <c r="D64" s="732">
        <f>D66+D67+D65+D69</f>
        <v>277.7</v>
      </c>
      <c r="E64" s="110">
        <f>E66+E67+E65+E69</f>
        <v>277.7</v>
      </c>
      <c r="F64" s="110">
        <f>IFERROR(E64/B64*100,0)</f>
        <v>100</v>
      </c>
      <c r="G64" s="110">
        <f>IFERROR(E64/C64*100,0)</f>
        <v>100</v>
      </c>
      <c r="H64" s="110">
        <f t="shared" ref="H64:AE64" si="16">H66+H67+H65+H69</f>
        <v>0</v>
      </c>
      <c r="I64" s="110">
        <f t="shared" si="16"/>
        <v>0</v>
      </c>
      <c r="J64" s="110">
        <f t="shared" si="16"/>
        <v>0</v>
      </c>
      <c r="K64" s="110">
        <f t="shared" si="16"/>
        <v>0</v>
      </c>
      <c r="L64" s="110">
        <f t="shared" si="16"/>
        <v>9.4</v>
      </c>
      <c r="M64" s="110">
        <f t="shared" si="16"/>
        <v>9.4</v>
      </c>
      <c r="N64" s="110">
        <f t="shared" si="16"/>
        <v>12.7</v>
      </c>
      <c r="O64" s="110">
        <f t="shared" si="16"/>
        <v>12.7</v>
      </c>
      <c r="P64" s="110">
        <f t="shared" si="16"/>
        <v>82.7</v>
      </c>
      <c r="Q64" s="110">
        <f t="shared" si="16"/>
        <v>82.7</v>
      </c>
      <c r="R64" s="110">
        <f t="shared" si="16"/>
        <v>12.7</v>
      </c>
      <c r="S64" s="110">
        <f>S66+S67+S65+S69</f>
        <v>12.7</v>
      </c>
      <c r="T64" s="110">
        <f t="shared" si="16"/>
        <v>12.7</v>
      </c>
      <c r="U64" s="110">
        <f t="shared" si="16"/>
        <v>12.7</v>
      </c>
      <c r="V64" s="110">
        <f t="shared" si="16"/>
        <v>12.7</v>
      </c>
      <c r="W64" s="110">
        <f t="shared" si="16"/>
        <v>12.7</v>
      </c>
      <c r="X64" s="110">
        <f t="shared" si="16"/>
        <v>96.7</v>
      </c>
      <c r="Y64" s="110">
        <f t="shared" si="16"/>
        <v>96.7</v>
      </c>
      <c r="Z64" s="110">
        <f t="shared" si="16"/>
        <v>12.7</v>
      </c>
      <c r="AA64" s="110">
        <f t="shared" si="16"/>
        <v>12.7</v>
      </c>
      <c r="AB64" s="110">
        <f t="shared" si="16"/>
        <v>12.7</v>
      </c>
      <c r="AC64" s="110">
        <f t="shared" si="16"/>
        <v>12.7</v>
      </c>
      <c r="AD64" s="110">
        <f t="shared" si="16"/>
        <v>12.7</v>
      </c>
      <c r="AE64" s="110">
        <f t="shared" si="16"/>
        <v>12.7</v>
      </c>
      <c r="AF64" s="1096" t="s">
        <v>576</v>
      </c>
      <c r="AG64" s="99"/>
      <c r="AH64" s="677"/>
      <c r="AI64" s="677"/>
      <c r="AJ64" s="677"/>
      <c r="AK64" s="677"/>
    </row>
    <row r="65" spans="1:37" x14ac:dyDescent="0.3">
      <c r="A65" s="7" t="s">
        <v>169</v>
      </c>
      <c r="B65" s="729"/>
      <c r="C65" s="712"/>
      <c r="D65" s="731"/>
      <c r="E65" s="114"/>
      <c r="F65" s="113"/>
      <c r="G65" s="113"/>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100"/>
      <c r="AG65" s="99"/>
      <c r="AH65" s="677"/>
      <c r="AI65" s="677"/>
      <c r="AJ65" s="677"/>
      <c r="AK65" s="677"/>
    </row>
    <row r="66" spans="1:37" ht="75" x14ac:dyDescent="0.3">
      <c r="A66" s="640" t="s">
        <v>32</v>
      </c>
      <c r="B66" s="729">
        <f>J66+L66+N66+P66+R66+T66+V66+X66+Z66+AB66+AD66+H66</f>
        <v>236</v>
      </c>
      <c r="C66" s="712">
        <f>H66+J66+L66+N66+P66+R66+T66+V66+X66+Z66+AB66+AD66</f>
        <v>236</v>
      </c>
      <c r="D66" s="731">
        <f>E66</f>
        <v>236</v>
      </c>
      <c r="E66" s="114">
        <f>SUM(I66,K66,M66,O66,Q66,S66,U66,W66,Y66,AA66,AC66,AE66)</f>
        <v>236</v>
      </c>
      <c r="F66" s="113">
        <f>IFERROR(E66/B66*100,0)</f>
        <v>100</v>
      </c>
      <c r="G66" s="113">
        <f>IFERROR(E66/C66*100,0)</f>
        <v>100</v>
      </c>
      <c r="H66" s="108"/>
      <c r="I66" s="108"/>
      <c r="J66" s="108"/>
      <c r="K66" s="108"/>
      <c r="L66" s="108"/>
      <c r="M66" s="108"/>
      <c r="N66" s="108">
        <v>9.1</v>
      </c>
      <c r="O66" s="108">
        <v>9.1</v>
      </c>
      <c r="P66" s="108">
        <v>71.5</v>
      </c>
      <c r="Q66" s="108">
        <v>71.5</v>
      </c>
      <c r="R66" s="108">
        <v>12</v>
      </c>
      <c r="S66" s="108">
        <v>12</v>
      </c>
      <c r="T66" s="108">
        <v>12</v>
      </c>
      <c r="U66" s="108">
        <v>12</v>
      </c>
      <c r="V66" s="108">
        <v>12</v>
      </c>
      <c r="W66" s="108">
        <v>12</v>
      </c>
      <c r="X66" s="108">
        <v>83.4</v>
      </c>
      <c r="Y66" s="108">
        <v>83.4</v>
      </c>
      <c r="Z66" s="108">
        <v>12</v>
      </c>
      <c r="AA66" s="108">
        <v>12</v>
      </c>
      <c r="AB66" s="108">
        <v>12</v>
      </c>
      <c r="AC66" s="108">
        <v>12</v>
      </c>
      <c r="AD66" s="108">
        <v>12</v>
      </c>
      <c r="AE66" s="108">
        <v>12</v>
      </c>
      <c r="AF66" s="1096" t="s">
        <v>696</v>
      </c>
      <c r="AG66" s="99"/>
      <c r="AH66" s="677"/>
      <c r="AI66" s="677"/>
      <c r="AJ66" s="677"/>
      <c r="AK66" s="677"/>
    </row>
    <row r="67" spans="1:37" x14ac:dyDescent="0.3">
      <c r="A67" s="7" t="s">
        <v>33</v>
      </c>
      <c r="B67" s="729">
        <f>J67+L67+N67+P67+R67+T67+V67+X67+Z67+AB67+AD67+H67</f>
        <v>41.7</v>
      </c>
      <c r="C67" s="712">
        <f>H67+J67+L67+N67+P67+R67+T67+V67+X67+Z67+AB67+AD67</f>
        <v>41.7</v>
      </c>
      <c r="D67" s="731">
        <f>E67</f>
        <v>41.7</v>
      </c>
      <c r="E67" s="114">
        <f>SUM(I67,K67,M67,O67,Q67,S67,U67,W67,Y67,AA67,AC67,AE67)</f>
        <v>41.7</v>
      </c>
      <c r="F67" s="113">
        <f>IFERROR(E67/B67*100,0)</f>
        <v>100</v>
      </c>
      <c r="G67" s="113">
        <f>IFERROR(E67/C67*100,0)</f>
        <v>100</v>
      </c>
      <c r="H67" s="108">
        <v>0</v>
      </c>
      <c r="I67" s="108">
        <v>0</v>
      </c>
      <c r="J67" s="108">
        <v>0</v>
      </c>
      <c r="K67" s="108">
        <v>0</v>
      </c>
      <c r="L67" s="108">
        <v>9.4</v>
      </c>
      <c r="M67" s="108">
        <v>9.4</v>
      </c>
      <c r="N67" s="108">
        <v>3.6</v>
      </c>
      <c r="O67" s="108">
        <v>3.6</v>
      </c>
      <c r="P67" s="108">
        <v>11.2</v>
      </c>
      <c r="Q67" s="108">
        <v>11.2</v>
      </c>
      <c r="R67" s="108">
        <v>0.7</v>
      </c>
      <c r="S67" s="108">
        <v>0.7</v>
      </c>
      <c r="T67" s="108">
        <v>0.7</v>
      </c>
      <c r="U67" s="108">
        <v>0.7</v>
      </c>
      <c r="V67" s="108">
        <v>0.7</v>
      </c>
      <c r="W67" s="108">
        <v>0.7</v>
      </c>
      <c r="X67" s="108">
        <v>13.3</v>
      </c>
      <c r="Y67" s="108">
        <v>13.3</v>
      </c>
      <c r="Z67" s="108">
        <v>0.7</v>
      </c>
      <c r="AA67" s="108">
        <v>0.7</v>
      </c>
      <c r="AB67" s="108">
        <v>0.7</v>
      </c>
      <c r="AC67" s="108">
        <v>0.7</v>
      </c>
      <c r="AD67" s="108">
        <v>0.7</v>
      </c>
      <c r="AE67" s="108">
        <v>0.7</v>
      </c>
      <c r="AF67" s="1100"/>
      <c r="AG67" s="99"/>
      <c r="AH67" s="677"/>
      <c r="AI67" s="677"/>
      <c r="AJ67" s="677"/>
      <c r="AK67" s="677"/>
    </row>
    <row r="68" spans="1:37" s="60" customFormat="1" ht="37.5" x14ac:dyDescent="0.3">
      <c r="A68" s="756" t="s">
        <v>174</v>
      </c>
      <c r="B68" s="116">
        <f>J68+L68+N68+P68+R68+T68+V68+X68+Z68+AB68+AD68+H68</f>
        <v>41.7</v>
      </c>
      <c r="C68" s="116">
        <f>H68+J68+L68+N68+P68+R68+T68+V68+X68+Z68+AB68+AD68</f>
        <v>41.7</v>
      </c>
      <c r="D68" s="116">
        <f>E68</f>
        <v>41.7</v>
      </c>
      <c r="E68" s="116">
        <f>SUM(I68,K68,M68,O68,Q68,S68,U68,W68,Y68,AA68,AC68,AE68)</f>
        <v>41.7</v>
      </c>
      <c r="F68" s="116">
        <f>IFERROR(E68/B68*100,0)</f>
        <v>100</v>
      </c>
      <c r="G68" s="116">
        <f>IFERROR(E68/C68*100,0)</f>
        <v>100</v>
      </c>
      <c r="H68" s="116"/>
      <c r="I68" s="116"/>
      <c r="J68" s="116"/>
      <c r="K68" s="116"/>
      <c r="L68" s="116">
        <v>9.4</v>
      </c>
      <c r="M68" s="116">
        <v>9.4</v>
      </c>
      <c r="N68" s="116">
        <v>3.6</v>
      </c>
      <c r="O68" s="116">
        <v>3.6</v>
      </c>
      <c r="P68" s="116">
        <v>11.2</v>
      </c>
      <c r="Q68" s="116">
        <v>11.2</v>
      </c>
      <c r="R68" s="116">
        <v>0.7</v>
      </c>
      <c r="S68" s="116">
        <v>0.7</v>
      </c>
      <c r="T68" s="116">
        <v>0.7</v>
      </c>
      <c r="U68" s="116">
        <v>0.7</v>
      </c>
      <c r="V68" s="116">
        <v>0.7</v>
      </c>
      <c r="W68" s="116">
        <v>0.7</v>
      </c>
      <c r="X68" s="116">
        <v>13.3</v>
      </c>
      <c r="Y68" s="116">
        <v>13.3</v>
      </c>
      <c r="Z68" s="116">
        <v>0.7</v>
      </c>
      <c r="AA68" s="116">
        <v>0.7</v>
      </c>
      <c r="AB68" s="116">
        <v>0.7</v>
      </c>
      <c r="AC68" s="116">
        <v>0.7</v>
      </c>
      <c r="AD68" s="116">
        <v>0.7</v>
      </c>
      <c r="AE68" s="116">
        <v>0.7</v>
      </c>
      <c r="AF68" s="1104"/>
      <c r="AG68" s="726"/>
      <c r="AH68" s="677"/>
      <c r="AI68" s="677"/>
      <c r="AJ68" s="677"/>
      <c r="AK68" s="677"/>
    </row>
    <row r="69" spans="1:37" x14ac:dyDescent="0.3">
      <c r="A69" s="7" t="s">
        <v>170</v>
      </c>
      <c r="B69" s="113"/>
      <c r="C69" s="114"/>
      <c r="D69" s="115"/>
      <c r="E69" s="114"/>
      <c r="F69" s="113"/>
      <c r="G69" s="113"/>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100"/>
      <c r="AG69" s="99"/>
      <c r="AH69" s="677"/>
      <c r="AI69" s="677"/>
      <c r="AJ69" s="677"/>
      <c r="AK69" s="677"/>
    </row>
    <row r="70" spans="1:37" ht="39.75" customHeight="1" x14ac:dyDescent="0.3">
      <c r="A70" s="119" t="s">
        <v>178</v>
      </c>
      <c r="B70" s="110"/>
      <c r="C70" s="118"/>
      <c r="D70" s="118"/>
      <c r="E70" s="118"/>
      <c r="F70" s="118"/>
      <c r="G70" s="11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709" t="s">
        <v>697</v>
      </c>
      <c r="AG70" s="99"/>
      <c r="AH70" s="677"/>
      <c r="AI70" s="677"/>
      <c r="AJ70" s="677"/>
      <c r="AK70" s="677"/>
    </row>
    <row r="71" spans="1:37" ht="37.5" x14ac:dyDescent="0.3">
      <c r="A71" s="109" t="s">
        <v>31</v>
      </c>
      <c r="B71" s="727">
        <f>B74+B73+B72+B75</f>
        <v>182.5</v>
      </c>
      <c r="C71" s="591">
        <f>C74+C73+C72+C75</f>
        <v>182.5</v>
      </c>
      <c r="D71" s="110">
        <f>D74+D73+D72+D75</f>
        <v>182.5</v>
      </c>
      <c r="E71" s="110">
        <f>E74+E73+E72+E75</f>
        <v>182.5</v>
      </c>
      <c r="F71" s="110">
        <f>IFERROR(E71/B71*100,0)</f>
        <v>100</v>
      </c>
      <c r="G71" s="110">
        <f>IFERROR(E71/C71*100,0)</f>
        <v>100</v>
      </c>
      <c r="H71" s="110">
        <f t="shared" ref="H71:U71" si="17">H74+H73+H72+H75</f>
        <v>0</v>
      </c>
      <c r="I71" s="110">
        <f t="shared" si="17"/>
        <v>0</v>
      </c>
      <c r="J71" s="110">
        <f t="shared" si="17"/>
        <v>11.65</v>
      </c>
      <c r="K71" s="110">
        <f t="shared" si="17"/>
        <v>11.65</v>
      </c>
      <c r="L71" s="110">
        <f t="shared" si="17"/>
        <v>11.65</v>
      </c>
      <c r="M71" s="110">
        <f t="shared" si="17"/>
        <v>11.65</v>
      </c>
      <c r="N71" s="110">
        <f t="shared" si="17"/>
        <v>11.65</v>
      </c>
      <c r="O71" s="110">
        <f t="shared" si="17"/>
        <v>11.65</v>
      </c>
      <c r="P71" s="110">
        <f t="shared" si="17"/>
        <v>54.35</v>
      </c>
      <c r="Q71" s="110">
        <f t="shared" si="17"/>
        <v>54.35</v>
      </c>
      <c r="R71" s="110">
        <f t="shared" si="17"/>
        <v>11.65</v>
      </c>
      <c r="S71" s="110">
        <f t="shared" si="17"/>
        <v>11.65</v>
      </c>
      <c r="T71" s="110">
        <f t="shared" si="17"/>
        <v>11.65</v>
      </c>
      <c r="U71" s="110">
        <f t="shared" si="17"/>
        <v>11.65</v>
      </c>
      <c r="V71" s="110">
        <f t="shared" ref="V71:AE71" si="18">V73+V74+V72+V75</f>
        <v>11.65</v>
      </c>
      <c r="W71" s="110">
        <f t="shared" si="18"/>
        <v>11.65</v>
      </c>
      <c r="X71" s="110">
        <f t="shared" si="18"/>
        <v>11.65</v>
      </c>
      <c r="Y71" s="110">
        <f t="shared" si="18"/>
        <v>11.65</v>
      </c>
      <c r="Z71" s="110">
        <f t="shared" si="18"/>
        <v>11.65</v>
      </c>
      <c r="AA71" s="110">
        <f t="shared" si="18"/>
        <v>11.65</v>
      </c>
      <c r="AB71" s="110">
        <f t="shared" si="18"/>
        <v>11.65</v>
      </c>
      <c r="AC71" s="110">
        <f t="shared" si="18"/>
        <v>11.65</v>
      </c>
      <c r="AD71" s="110">
        <f t="shared" si="18"/>
        <v>23.299999999999997</v>
      </c>
      <c r="AE71" s="110">
        <f t="shared" si="18"/>
        <v>23.299999999999997</v>
      </c>
      <c r="AF71" s="709" t="s">
        <v>575</v>
      </c>
      <c r="AG71" s="99"/>
      <c r="AH71" s="677"/>
      <c r="AI71" s="677"/>
      <c r="AJ71" s="677"/>
      <c r="AK71" s="677"/>
    </row>
    <row r="72" spans="1:37" x14ac:dyDescent="0.3">
      <c r="A72" s="112" t="s">
        <v>169</v>
      </c>
      <c r="B72" s="729"/>
      <c r="C72" s="712"/>
      <c r="D72" s="115"/>
      <c r="E72" s="114"/>
      <c r="F72" s="113"/>
      <c r="G72" s="113"/>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100"/>
      <c r="AG72" s="99"/>
      <c r="AH72" s="677"/>
      <c r="AI72" s="677"/>
      <c r="AJ72" s="677"/>
      <c r="AK72" s="677"/>
    </row>
    <row r="73" spans="1:37" x14ac:dyDescent="0.3">
      <c r="A73" s="593" t="s">
        <v>32</v>
      </c>
      <c r="B73" s="729">
        <f>J73+L73+N73+P73+R73+T73+V73+X73+Z73+AB73+AD73+H73</f>
        <v>155.1</v>
      </c>
      <c r="C73" s="712">
        <f>H73+J73+L73+N73+P73+R73+T73+V73+X73+Z73+AB73+AD73</f>
        <v>155.1</v>
      </c>
      <c r="D73" s="115">
        <f>E73</f>
        <v>155.1</v>
      </c>
      <c r="E73" s="114">
        <f>SUM(I73,K73,M73,O73,Q73,S73,U73,W73,Y73,AA73,AC73,AE73)</f>
        <v>155.1</v>
      </c>
      <c r="F73" s="594">
        <f t="shared" ref="F73:F74" si="19">IFERROR(E73/B73*100,0)</f>
        <v>100</v>
      </c>
      <c r="G73" s="594">
        <f t="shared" ref="G73:G76" si="20">IFERROR(E73/C73*100,0)</f>
        <v>100</v>
      </c>
      <c r="H73" s="499"/>
      <c r="I73" s="108"/>
      <c r="J73" s="108">
        <v>0</v>
      </c>
      <c r="K73" s="108">
        <v>0</v>
      </c>
      <c r="L73" s="108">
        <v>10.8</v>
      </c>
      <c r="M73" s="108">
        <v>10.8</v>
      </c>
      <c r="N73" s="108">
        <v>10.8</v>
      </c>
      <c r="O73" s="108">
        <v>10.8</v>
      </c>
      <c r="P73" s="108">
        <v>47.07</v>
      </c>
      <c r="Q73" s="108">
        <v>47.07</v>
      </c>
      <c r="R73" s="108">
        <v>10.8</v>
      </c>
      <c r="S73" s="108">
        <v>10.8</v>
      </c>
      <c r="T73" s="108">
        <v>10.8</v>
      </c>
      <c r="U73" s="108">
        <v>10.8</v>
      </c>
      <c r="V73" s="108">
        <v>10.8</v>
      </c>
      <c r="W73" s="108">
        <v>10.8</v>
      </c>
      <c r="X73" s="108">
        <v>10.8</v>
      </c>
      <c r="Y73" s="108">
        <v>10.8</v>
      </c>
      <c r="Z73" s="108">
        <v>10.8</v>
      </c>
      <c r="AA73" s="108">
        <v>10.8</v>
      </c>
      <c r="AB73" s="108">
        <v>10.8</v>
      </c>
      <c r="AC73" s="108">
        <v>10.8</v>
      </c>
      <c r="AD73" s="108">
        <v>21.63</v>
      </c>
      <c r="AE73" s="108">
        <v>21.63</v>
      </c>
      <c r="AF73" s="1100"/>
      <c r="AG73" s="99"/>
      <c r="AH73" s="677"/>
      <c r="AI73" s="677"/>
      <c r="AJ73" s="677"/>
      <c r="AK73" s="677"/>
    </row>
    <row r="74" spans="1:37" x14ac:dyDescent="0.3">
      <c r="A74" s="112" t="s">
        <v>33</v>
      </c>
      <c r="B74" s="729">
        <f>J74+L74+N74+P74+R74+T74+V74+X74+Z74+AB74+AD74+H74</f>
        <v>27.400000000000006</v>
      </c>
      <c r="C74" s="712">
        <f>H74+J74+L74+N74+P74+R74+T74+V74+X74+Z74+AB74+AD74</f>
        <v>27.400000000000006</v>
      </c>
      <c r="D74" s="115">
        <f>E74</f>
        <v>27.400000000000006</v>
      </c>
      <c r="E74" s="114">
        <f>SUM(I74,K74,M74,O74,Q74,S74,U74,W74,Y74,AA74,AC74,AE74)</f>
        <v>27.400000000000006</v>
      </c>
      <c r="F74" s="594">
        <f t="shared" si="19"/>
        <v>100</v>
      </c>
      <c r="G74" s="594">
        <f t="shared" si="20"/>
        <v>100</v>
      </c>
      <c r="H74" s="499">
        <v>0</v>
      </c>
      <c r="I74" s="108">
        <v>0</v>
      </c>
      <c r="J74" s="108">
        <v>11.65</v>
      </c>
      <c r="K74" s="108">
        <v>11.65</v>
      </c>
      <c r="L74" s="108">
        <v>0.85</v>
      </c>
      <c r="M74" s="108">
        <v>0.85</v>
      </c>
      <c r="N74" s="108">
        <v>0.85</v>
      </c>
      <c r="O74" s="108">
        <v>0.85</v>
      </c>
      <c r="P74" s="108">
        <v>7.28</v>
      </c>
      <c r="Q74" s="108">
        <v>7.28</v>
      </c>
      <c r="R74" s="108">
        <v>0.85</v>
      </c>
      <c r="S74" s="108">
        <v>0.85</v>
      </c>
      <c r="T74" s="108">
        <v>0.85</v>
      </c>
      <c r="U74" s="108">
        <v>0.85</v>
      </c>
      <c r="V74" s="108">
        <v>0.85</v>
      </c>
      <c r="W74" s="108">
        <v>0.85</v>
      </c>
      <c r="X74" s="108">
        <v>0.85</v>
      </c>
      <c r="Y74" s="108">
        <v>0.85</v>
      </c>
      <c r="Z74" s="108">
        <v>0.85</v>
      </c>
      <c r="AA74" s="108">
        <v>0.85</v>
      </c>
      <c r="AB74" s="108">
        <v>0.85</v>
      </c>
      <c r="AC74" s="108">
        <v>0.85</v>
      </c>
      <c r="AD74" s="108">
        <v>1.67</v>
      </c>
      <c r="AE74" s="108">
        <v>1.67</v>
      </c>
      <c r="AF74" s="1100"/>
      <c r="AG74" s="99"/>
      <c r="AH74" s="677"/>
      <c r="AI74" s="677"/>
      <c r="AJ74" s="677"/>
      <c r="AK74" s="677"/>
    </row>
    <row r="75" spans="1:37" x14ac:dyDescent="0.3">
      <c r="A75" s="112" t="s">
        <v>170</v>
      </c>
      <c r="B75" s="113"/>
      <c r="C75" s="712"/>
      <c r="D75" s="115"/>
      <c r="E75" s="114"/>
      <c r="F75" s="594"/>
      <c r="G75" s="594"/>
      <c r="H75" s="499"/>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100"/>
      <c r="AG75" s="99"/>
      <c r="AH75" s="677"/>
      <c r="AI75" s="677"/>
      <c r="AJ75" s="677"/>
      <c r="AK75" s="677"/>
    </row>
    <row r="76" spans="1:37" ht="37.5" x14ac:dyDescent="0.3">
      <c r="A76" s="755" t="s">
        <v>174</v>
      </c>
      <c r="B76" s="116">
        <f>H76+J76+L76+N76+P76+R76+T76+V76+X76+Z76+AB76+AD76</f>
        <v>27.400000000000006</v>
      </c>
      <c r="C76" s="116">
        <f>H76+J76+L76+N76+P76+R76+T76+V76+X76+Z76+AB76+AD76</f>
        <v>27.400000000000006</v>
      </c>
      <c r="D76" s="116">
        <f>E76</f>
        <v>27.400000000000006</v>
      </c>
      <c r="E76" s="116">
        <f>I76+K76+M76+O76+Q76+S76+U76+W76+Y76+AA76+AC76+AE76</f>
        <v>27.400000000000006</v>
      </c>
      <c r="F76" s="1120">
        <f>IFERROR(E76/B76*100,0)</f>
        <v>100</v>
      </c>
      <c r="G76" s="1120">
        <f t="shared" si="20"/>
        <v>100</v>
      </c>
      <c r="H76" s="116">
        <v>0</v>
      </c>
      <c r="I76" s="116">
        <v>0</v>
      </c>
      <c r="J76" s="116">
        <v>11.65</v>
      </c>
      <c r="K76" s="116">
        <v>11.65</v>
      </c>
      <c r="L76" s="116">
        <v>0.85</v>
      </c>
      <c r="M76" s="116">
        <v>0.85</v>
      </c>
      <c r="N76" s="116">
        <v>0.85</v>
      </c>
      <c r="O76" s="116">
        <v>0.85</v>
      </c>
      <c r="P76" s="116">
        <v>7.28</v>
      </c>
      <c r="Q76" s="116">
        <v>7.28</v>
      </c>
      <c r="R76" s="116">
        <v>0.85</v>
      </c>
      <c r="S76" s="116">
        <v>0.85</v>
      </c>
      <c r="T76" s="116">
        <v>0.85</v>
      </c>
      <c r="U76" s="116">
        <v>0.85</v>
      </c>
      <c r="V76" s="116">
        <v>0.85</v>
      </c>
      <c r="W76" s="116">
        <v>0.85</v>
      </c>
      <c r="X76" s="116">
        <v>0.85</v>
      </c>
      <c r="Y76" s="116">
        <v>0.85</v>
      </c>
      <c r="Z76" s="116">
        <v>0.85</v>
      </c>
      <c r="AA76" s="116">
        <v>0.85</v>
      </c>
      <c r="AB76" s="116">
        <v>0.85</v>
      </c>
      <c r="AC76" s="116">
        <v>0.85</v>
      </c>
      <c r="AD76" s="116">
        <v>1.67</v>
      </c>
      <c r="AE76" s="116">
        <v>1.67</v>
      </c>
      <c r="AF76" s="1102"/>
      <c r="AG76" s="99"/>
      <c r="AH76" s="677"/>
      <c r="AI76" s="677"/>
      <c r="AJ76" s="677"/>
      <c r="AK76" s="677"/>
    </row>
    <row r="77" spans="1:37" x14ac:dyDescent="0.3">
      <c r="A77" s="121" t="s">
        <v>179</v>
      </c>
      <c r="B77" s="101"/>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105"/>
      <c r="AG77" s="99"/>
      <c r="AH77" s="677"/>
      <c r="AI77" s="677"/>
      <c r="AJ77" s="677"/>
      <c r="AK77" s="677"/>
    </row>
    <row r="78" spans="1:37" x14ac:dyDescent="0.3">
      <c r="A78" s="100" t="s">
        <v>31</v>
      </c>
      <c r="B78" s="101">
        <f>B79+B80+B81</f>
        <v>73652.800000000003</v>
      </c>
      <c r="C78" s="101">
        <f>C79+C80+C81</f>
        <v>73652.800000000003</v>
      </c>
      <c r="D78" s="101">
        <f>D79+D80+D81</f>
        <v>73652.800000000003</v>
      </c>
      <c r="E78" s="101">
        <f>E79+E80+E81</f>
        <v>72280.315000000002</v>
      </c>
      <c r="F78" s="102">
        <f>E78/B78*100</f>
        <v>98.136547422501252</v>
      </c>
      <c r="G78" s="102">
        <f>E78/C78*100</f>
        <v>98.136547422501252</v>
      </c>
      <c r="H78" s="101">
        <f>H79+H80+H81</f>
        <v>4455.3</v>
      </c>
      <c r="I78" s="101">
        <f t="shared" ref="I78:AE78" si="21">I79+I80+I81</f>
        <v>1704.55</v>
      </c>
      <c r="J78" s="101">
        <f t="shared" si="21"/>
        <v>5432.6</v>
      </c>
      <c r="K78" s="101">
        <f t="shared" si="21"/>
        <v>4745.9340000000002</v>
      </c>
      <c r="L78" s="101">
        <f t="shared" si="21"/>
        <v>5719.1</v>
      </c>
      <c r="M78" s="101">
        <f t="shared" si="21"/>
        <v>4342.8149999999996</v>
      </c>
      <c r="N78" s="101">
        <f t="shared" si="21"/>
        <v>6524.0599999999995</v>
      </c>
      <c r="O78" s="101">
        <f t="shared" si="21"/>
        <v>5519.4000000000005</v>
      </c>
      <c r="P78" s="101">
        <f t="shared" si="21"/>
        <v>5928.9</v>
      </c>
      <c r="Q78" s="101">
        <f t="shared" si="21"/>
        <v>6750.3420000000006</v>
      </c>
      <c r="R78" s="101">
        <f t="shared" si="21"/>
        <v>6768.2</v>
      </c>
      <c r="S78" s="101">
        <f t="shared" si="21"/>
        <v>6201.018</v>
      </c>
      <c r="T78" s="101">
        <f t="shared" si="21"/>
        <v>7220.2</v>
      </c>
      <c r="U78" s="101">
        <f t="shared" si="21"/>
        <v>7005.3490000000002</v>
      </c>
      <c r="V78" s="101">
        <f t="shared" si="21"/>
        <v>6677.84</v>
      </c>
      <c r="W78" s="101">
        <f t="shared" si="21"/>
        <v>5707.0709999999999</v>
      </c>
      <c r="X78" s="101">
        <f t="shared" si="21"/>
        <v>6066.4</v>
      </c>
      <c r="Y78" s="101">
        <f t="shared" si="21"/>
        <v>4202.16</v>
      </c>
      <c r="Z78" s="101">
        <f t="shared" si="21"/>
        <v>7581.7</v>
      </c>
      <c r="AA78" s="101">
        <f t="shared" si="21"/>
        <v>8994.9869999999992</v>
      </c>
      <c r="AB78" s="101">
        <f t="shared" si="21"/>
        <v>5947.9</v>
      </c>
      <c r="AC78" s="101">
        <f t="shared" si="21"/>
        <v>5988.67</v>
      </c>
      <c r="AD78" s="101">
        <f t="shared" si="21"/>
        <v>5330.6</v>
      </c>
      <c r="AE78" s="101">
        <f t="shared" si="21"/>
        <v>11118.019</v>
      </c>
      <c r="AF78" s="1100"/>
      <c r="AG78" s="99"/>
      <c r="AH78" s="677"/>
      <c r="AI78" s="677"/>
      <c r="AJ78" s="677"/>
      <c r="AK78" s="677"/>
    </row>
    <row r="79" spans="1:37" x14ac:dyDescent="0.3">
      <c r="A79" s="103" t="s">
        <v>169</v>
      </c>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100"/>
      <c r="AG79" s="99"/>
      <c r="AH79" s="677"/>
      <c r="AI79" s="677"/>
      <c r="AJ79" s="677"/>
      <c r="AK79" s="677"/>
    </row>
    <row r="80" spans="1:37" x14ac:dyDescent="0.3">
      <c r="A80" s="103" t="s">
        <v>32</v>
      </c>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100"/>
      <c r="AG80" s="99"/>
      <c r="AH80" s="677"/>
      <c r="AI80" s="677"/>
      <c r="AJ80" s="677"/>
      <c r="AK80" s="677"/>
    </row>
    <row r="81" spans="1:37" x14ac:dyDescent="0.3">
      <c r="A81" s="103" t="s">
        <v>33</v>
      </c>
      <c r="B81" s="104">
        <f>B87+B93+B99+B105+B111</f>
        <v>73652.800000000003</v>
      </c>
      <c r="C81" s="104">
        <f>C87+C93+C99+C105+C111</f>
        <v>73652.800000000003</v>
      </c>
      <c r="D81" s="104">
        <f>D87+D93+D99+D105+D111</f>
        <v>73652.800000000003</v>
      </c>
      <c r="E81" s="104">
        <f>E87+E93+E99+E105+E111</f>
        <v>72280.315000000002</v>
      </c>
      <c r="F81" s="104">
        <f>E81/B81*100</f>
        <v>98.136547422501252</v>
      </c>
      <c r="G81" s="104">
        <f>IFERROR(E81/C81*100,0)</f>
        <v>98.136547422501252</v>
      </c>
      <c r="H81" s="104">
        <f>H87+H93+H99+H105+H111</f>
        <v>4455.3</v>
      </c>
      <c r="I81" s="104">
        <f t="shared" ref="I81:AE81" si="22">I87+I93+I99+I105+I111</f>
        <v>1704.55</v>
      </c>
      <c r="J81" s="104">
        <f t="shared" si="22"/>
        <v>5432.6</v>
      </c>
      <c r="K81" s="104">
        <f t="shared" si="22"/>
        <v>4745.9340000000002</v>
      </c>
      <c r="L81" s="104">
        <f t="shared" si="22"/>
        <v>5719.1</v>
      </c>
      <c r="M81" s="104">
        <f t="shared" si="22"/>
        <v>4342.8149999999996</v>
      </c>
      <c r="N81" s="104">
        <f t="shared" si="22"/>
        <v>6524.0599999999995</v>
      </c>
      <c r="O81" s="104">
        <f t="shared" si="22"/>
        <v>5519.4000000000005</v>
      </c>
      <c r="P81" s="104">
        <f t="shared" si="22"/>
        <v>5928.9</v>
      </c>
      <c r="Q81" s="104">
        <f t="shared" si="22"/>
        <v>6750.3420000000006</v>
      </c>
      <c r="R81" s="104">
        <f t="shared" si="22"/>
        <v>6768.2</v>
      </c>
      <c r="S81" s="104">
        <f t="shared" si="22"/>
        <v>6201.018</v>
      </c>
      <c r="T81" s="104">
        <f t="shared" si="22"/>
        <v>7220.2</v>
      </c>
      <c r="U81" s="104">
        <f t="shared" si="22"/>
        <v>7005.3490000000002</v>
      </c>
      <c r="V81" s="104">
        <f t="shared" si="22"/>
        <v>6677.84</v>
      </c>
      <c r="W81" s="104">
        <f t="shared" si="22"/>
        <v>5707.0709999999999</v>
      </c>
      <c r="X81" s="104">
        <f t="shared" si="22"/>
        <v>6066.4</v>
      </c>
      <c r="Y81" s="104">
        <f t="shared" si="22"/>
        <v>4202.16</v>
      </c>
      <c r="Z81" s="104">
        <f t="shared" si="22"/>
        <v>7581.7</v>
      </c>
      <c r="AA81" s="104">
        <f t="shared" si="22"/>
        <v>8994.9869999999992</v>
      </c>
      <c r="AB81" s="104">
        <f t="shared" si="22"/>
        <v>5947.9</v>
      </c>
      <c r="AC81" s="104">
        <f t="shared" si="22"/>
        <v>5988.67</v>
      </c>
      <c r="AD81" s="104">
        <f t="shared" si="22"/>
        <v>5330.6</v>
      </c>
      <c r="AE81" s="104">
        <f t="shared" si="22"/>
        <v>11118.019</v>
      </c>
      <c r="AF81" s="1105"/>
      <c r="AG81" s="99"/>
      <c r="AH81" s="677"/>
      <c r="AI81" s="677"/>
      <c r="AJ81" s="677"/>
      <c r="AK81" s="677"/>
    </row>
    <row r="82" spans="1:37" x14ac:dyDescent="0.3">
      <c r="A82" s="103" t="s">
        <v>170</v>
      </c>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100"/>
      <c r="AG82" s="99"/>
      <c r="AH82" s="677"/>
      <c r="AI82" s="677"/>
      <c r="AJ82" s="677"/>
      <c r="AK82" s="677"/>
    </row>
    <row r="83" spans="1:37" ht="56.25" x14ac:dyDescent="0.3">
      <c r="A83" s="105" t="s">
        <v>180</v>
      </c>
      <c r="B83" s="106"/>
      <c r="C83" s="107"/>
      <c r="D83" s="107"/>
      <c r="E83" s="107"/>
      <c r="F83" s="107"/>
      <c r="G83" s="107"/>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880" t="s">
        <v>706</v>
      </c>
      <c r="AG83" s="99"/>
      <c r="AH83" s="677"/>
      <c r="AI83" s="677"/>
      <c r="AJ83" s="677"/>
      <c r="AK83" s="677"/>
    </row>
    <row r="84" spans="1:37" x14ac:dyDescent="0.3">
      <c r="A84" s="123" t="s">
        <v>31</v>
      </c>
      <c r="B84" s="591">
        <f>B86+B87+B85+B88</f>
        <v>314.7</v>
      </c>
      <c r="C84" s="591">
        <f>C86+C87+C85+C88</f>
        <v>314.7</v>
      </c>
      <c r="D84" s="110">
        <f>D86+D87+D85+D88</f>
        <v>314.7</v>
      </c>
      <c r="E84" s="110">
        <f>E86+E87+E85+E88</f>
        <v>314.7</v>
      </c>
      <c r="F84" s="110">
        <f>IFERROR(E84/B84*100,0)</f>
        <v>100</v>
      </c>
      <c r="G84" s="110">
        <f>IFERROR(E84/C84*100,0)</f>
        <v>100</v>
      </c>
      <c r="H84" s="110">
        <f t="shared" ref="H84:AE84" si="23">H86+H87+H85+H88</f>
        <v>0</v>
      </c>
      <c r="I84" s="110">
        <f t="shared" si="23"/>
        <v>0</v>
      </c>
      <c r="J84" s="110">
        <f t="shared" si="23"/>
        <v>0</v>
      </c>
      <c r="K84" s="110">
        <f t="shared" si="23"/>
        <v>0</v>
      </c>
      <c r="L84" s="110">
        <f t="shared" si="23"/>
        <v>0</v>
      </c>
      <c r="M84" s="110">
        <f t="shared" si="23"/>
        <v>0</v>
      </c>
      <c r="N84" s="110">
        <f t="shared" si="23"/>
        <v>0</v>
      </c>
      <c r="O84" s="110">
        <f t="shared" si="23"/>
        <v>0</v>
      </c>
      <c r="P84" s="110">
        <f t="shared" si="23"/>
        <v>0</v>
      </c>
      <c r="Q84" s="110">
        <f t="shared" si="23"/>
        <v>0</v>
      </c>
      <c r="R84" s="110">
        <f t="shared" si="23"/>
        <v>0</v>
      </c>
      <c r="S84" s="110">
        <f t="shared" si="23"/>
        <v>0</v>
      </c>
      <c r="T84" s="110">
        <f t="shared" si="23"/>
        <v>0</v>
      </c>
      <c r="U84" s="110">
        <f t="shared" si="23"/>
        <v>0</v>
      </c>
      <c r="V84" s="110">
        <f t="shared" si="23"/>
        <v>314.7</v>
      </c>
      <c r="W84" s="110">
        <f t="shared" si="23"/>
        <v>314.7</v>
      </c>
      <c r="X84" s="110">
        <f t="shared" si="23"/>
        <v>0</v>
      </c>
      <c r="Y84" s="110">
        <f t="shared" si="23"/>
        <v>0</v>
      </c>
      <c r="Z84" s="110">
        <f t="shared" si="23"/>
        <v>0</v>
      </c>
      <c r="AA84" s="110">
        <f t="shared" si="23"/>
        <v>0</v>
      </c>
      <c r="AB84" s="110">
        <f t="shared" si="23"/>
        <v>0</v>
      </c>
      <c r="AC84" s="110">
        <f t="shared" si="23"/>
        <v>0</v>
      </c>
      <c r="AD84" s="110">
        <f t="shared" si="23"/>
        <v>0</v>
      </c>
      <c r="AE84" s="110">
        <f t="shared" si="23"/>
        <v>0</v>
      </c>
      <c r="AF84" s="1111"/>
      <c r="AG84" s="99"/>
      <c r="AH84" s="677"/>
      <c r="AI84" s="677"/>
      <c r="AJ84" s="677"/>
      <c r="AK84" s="677"/>
    </row>
    <row r="85" spans="1:37" x14ac:dyDescent="0.3">
      <c r="A85" s="124" t="s">
        <v>169</v>
      </c>
      <c r="B85" s="594"/>
      <c r="C85" s="712"/>
      <c r="D85" s="115"/>
      <c r="E85" s="114"/>
      <c r="F85" s="113"/>
      <c r="G85" s="113"/>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111"/>
      <c r="AG85" s="99"/>
      <c r="AH85" s="677"/>
      <c r="AI85" s="677"/>
      <c r="AJ85" s="677"/>
      <c r="AK85" s="677"/>
    </row>
    <row r="86" spans="1:37" x14ac:dyDescent="0.3">
      <c r="A86" s="124" t="s">
        <v>32</v>
      </c>
      <c r="B86" s="594"/>
      <c r="C86" s="712"/>
      <c r="D86" s="115"/>
      <c r="E86" s="114"/>
      <c r="F86" s="113"/>
      <c r="G86" s="113"/>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111"/>
      <c r="AG86" s="99"/>
      <c r="AH86" s="677"/>
      <c r="AI86" s="677"/>
      <c r="AJ86" s="677"/>
      <c r="AK86" s="677"/>
    </row>
    <row r="87" spans="1:37" x14ac:dyDescent="0.3">
      <c r="A87" s="112" t="s">
        <v>33</v>
      </c>
      <c r="B87" s="594">
        <f>J87+L87+N87+P87+R87+T87+V87+X87+Z87+AB87+AD87+H87</f>
        <v>314.7</v>
      </c>
      <c r="C87" s="712">
        <f>H87+J87+L87+N87+P87+R87+T87+V87+X87+Z87+AB87+AD87</f>
        <v>314.7</v>
      </c>
      <c r="D87" s="115">
        <f>E87</f>
        <v>314.7</v>
      </c>
      <c r="E87" s="114">
        <f>SUM(I87,K87,M87,O87,Q87,S87,U87,W87,Y87,AA87,AC87,AE87)</f>
        <v>314.7</v>
      </c>
      <c r="F87" s="113">
        <f>IFERROR(E87/B87*100,0)</f>
        <v>100</v>
      </c>
      <c r="G87" s="113">
        <f>IFERROR(E87/C87*100,0)</f>
        <v>100</v>
      </c>
      <c r="H87" s="108">
        <v>0</v>
      </c>
      <c r="I87" s="108">
        <v>0</v>
      </c>
      <c r="J87" s="108">
        <v>0</v>
      </c>
      <c r="K87" s="108">
        <v>0</v>
      </c>
      <c r="L87" s="108">
        <v>0</v>
      </c>
      <c r="M87" s="108">
        <v>0</v>
      </c>
      <c r="N87" s="108">
        <v>0</v>
      </c>
      <c r="O87" s="108">
        <v>0</v>
      </c>
      <c r="P87" s="108">
        <v>0</v>
      </c>
      <c r="Q87" s="108">
        <v>0</v>
      </c>
      <c r="R87" s="108">
        <v>0</v>
      </c>
      <c r="S87" s="108">
        <v>0</v>
      </c>
      <c r="T87" s="108">
        <v>0</v>
      </c>
      <c r="U87" s="108">
        <v>0</v>
      </c>
      <c r="V87" s="108">
        <v>314.7</v>
      </c>
      <c r="W87" s="108">
        <v>314.7</v>
      </c>
      <c r="X87" s="108">
        <v>0</v>
      </c>
      <c r="Y87" s="108">
        <v>0</v>
      </c>
      <c r="Z87" s="108">
        <v>0</v>
      </c>
      <c r="AA87" s="108">
        <v>0</v>
      </c>
      <c r="AB87" s="108">
        <v>0</v>
      </c>
      <c r="AC87" s="108">
        <v>0</v>
      </c>
      <c r="AD87" s="108">
        <v>0</v>
      </c>
      <c r="AE87" s="108">
        <v>0</v>
      </c>
      <c r="AF87" s="1111"/>
      <c r="AG87" s="99"/>
      <c r="AH87" s="677"/>
      <c r="AI87" s="677"/>
      <c r="AJ87" s="677"/>
      <c r="AK87" s="677"/>
    </row>
    <row r="88" spans="1:37" x14ac:dyDescent="0.3">
      <c r="A88" s="112" t="s">
        <v>170</v>
      </c>
      <c r="B88" s="113"/>
      <c r="C88" s="114"/>
      <c r="D88" s="115"/>
      <c r="E88" s="114"/>
      <c r="F88" s="113"/>
      <c r="G88" s="113"/>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111"/>
      <c r="AG88" s="99"/>
      <c r="AH88" s="677"/>
      <c r="AI88" s="677"/>
      <c r="AJ88" s="677"/>
      <c r="AK88" s="677"/>
    </row>
    <row r="89" spans="1:37" ht="37.5" x14ac:dyDescent="0.3">
      <c r="A89" s="119" t="s">
        <v>181</v>
      </c>
      <c r="B89" s="110"/>
      <c r="C89" s="118"/>
      <c r="D89" s="118"/>
      <c r="E89" s="118"/>
      <c r="F89" s="118"/>
      <c r="G89" s="11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69" t="s">
        <v>707</v>
      </c>
      <c r="AG89" s="99"/>
      <c r="AH89" s="677"/>
      <c r="AI89" s="677"/>
      <c r="AJ89" s="677"/>
      <c r="AK89" s="677"/>
    </row>
    <row r="90" spans="1:37" x14ac:dyDescent="0.3">
      <c r="A90" s="109" t="s">
        <v>31</v>
      </c>
      <c r="B90" s="591">
        <f>B92+B93+B91+B94</f>
        <v>66</v>
      </c>
      <c r="C90" s="591">
        <f>C92+C93+C91+C94</f>
        <v>66</v>
      </c>
      <c r="D90" s="110">
        <f>D92+D93+D91+D94</f>
        <v>66</v>
      </c>
      <c r="E90" s="110">
        <f>E92+E93+E91+E94</f>
        <v>66</v>
      </c>
      <c r="F90" s="110">
        <f>IFERROR(E90/B90*100,0)</f>
        <v>100</v>
      </c>
      <c r="G90" s="110">
        <f>IFERROR(E90/C90*100,0)</f>
        <v>100</v>
      </c>
      <c r="H90" s="110">
        <f t="shared" ref="H90:AE90" si="24">H92+H93+H91+H94</f>
        <v>0</v>
      </c>
      <c r="I90" s="110">
        <f t="shared" si="24"/>
        <v>0</v>
      </c>
      <c r="J90" s="110">
        <f t="shared" si="24"/>
        <v>0</v>
      </c>
      <c r="K90" s="110">
        <f t="shared" si="24"/>
        <v>0</v>
      </c>
      <c r="L90" s="110">
        <f t="shared" si="24"/>
        <v>0</v>
      </c>
      <c r="M90" s="110">
        <f t="shared" si="24"/>
        <v>0</v>
      </c>
      <c r="N90" s="110">
        <f t="shared" si="24"/>
        <v>0</v>
      </c>
      <c r="O90" s="110">
        <f t="shared" si="24"/>
        <v>0</v>
      </c>
      <c r="P90" s="110">
        <f t="shared" si="24"/>
        <v>66</v>
      </c>
      <c r="Q90" s="110">
        <f t="shared" si="24"/>
        <v>66</v>
      </c>
      <c r="R90" s="110">
        <f t="shared" si="24"/>
        <v>0</v>
      </c>
      <c r="S90" s="110">
        <f t="shared" si="24"/>
        <v>0</v>
      </c>
      <c r="T90" s="110">
        <f t="shared" si="24"/>
        <v>0</v>
      </c>
      <c r="U90" s="110">
        <f t="shared" si="24"/>
        <v>0</v>
      </c>
      <c r="V90" s="110">
        <f t="shared" si="24"/>
        <v>0</v>
      </c>
      <c r="W90" s="110">
        <f t="shared" si="24"/>
        <v>0</v>
      </c>
      <c r="X90" s="110">
        <f t="shared" si="24"/>
        <v>0</v>
      </c>
      <c r="Y90" s="110">
        <f t="shared" si="24"/>
        <v>0</v>
      </c>
      <c r="Z90" s="110">
        <f t="shared" si="24"/>
        <v>0</v>
      </c>
      <c r="AA90" s="110">
        <f t="shared" si="24"/>
        <v>0</v>
      </c>
      <c r="AB90" s="110">
        <f t="shared" si="24"/>
        <v>0</v>
      </c>
      <c r="AC90" s="110">
        <f t="shared" si="24"/>
        <v>0</v>
      </c>
      <c r="AD90" s="110">
        <f t="shared" si="24"/>
        <v>0</v>
      </c>
      <c r="AE90" s="110">
        <f t="shared" si="24"/>
        <v>0</v>
      </c>
      <c r="AF90" s="1100"/>
      <c r="AG90" s="99"/>
      <c r="AH90" s="677"/>
      <c r="AI90" s="677"/>
      <c r="AJ90" s="677"/>
      <c r="AK90" s="677"/>
    </row>
    <row r="91" spans="1:37" x14ac:dyDescent="0.3">
      <c r="A91" s="112" t="s">
        <v>169</v>
      </c>
      <c r="B91" s="594"/>
      <c r="C91" s="712"/>
      <c r="D91" s="115"/>
      <c r="E91" s="114"/>
      <c r="F91" s="113"/>
      <c r="G91" s="113"/>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100"/>
      <c r="AG91" s="99"/>
      <c r="AH91" s="677"/>
      <c r="AI91" s="677"/>
      <c r="AJ91" s="677"/>
      <c r="AK91" s="677"/>
    </row>
    <row r="92" spans="1:37" x14ac:dyDescent="0.3">
      <c r="A92" s="112" t="s">
        <v>32</v>
      </c>
      <c r="B92" s="594"/>
      <c r="C92" s="712"/>
      <c r="D92" s="115"/>
      <c r="E92" s="114"/>
      <c r="F92" s="113"/>
      <c r="G92" s="113"/>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100"/>
      <c r="AG92" s="99"/>
      <c r="AH92" s="677"/>
      <c r="AI92" s="677"/>
      <c r="AJ92" s="677"/>
      <c r="AK92" s="677"/>
    </row>
    <row r="93" spans="1:37" x14ac:dyDescent="0.3">
      <c r="A93" s="112" t="s">
        <v>33</v>
      </c>
      <c r="B93" s="594">
        <f>J93+L93+N93+P93+R93+T93+V93+X93+Z93+AB93+AD93+H93</f>
        <v>66</v>
      </c>
      <c r="C93" s="712">
        <f>H93+J93+L93+N93+P93+R93+T93+V93+X93+Z93+AB93+AD93</f>
        <v>66</v>
      </c>
      <c r="D93" s="115">
        <f>E93</f>
        <v>66</v>
      </c>
      <c r="E93" s="114">
        <f>SUM(I93,K93,M93,O93,Q93,S93,U93,W93,Y93,AA93,AC93,AE93)</f>
        <v>66</v>
      </c>
      <c r="F93" s="113">
        <f>IFERROR(E93/B93*100,0)</f>
        <v>100</v>
      </c>
      <c r="G93" s="113">
        <f>IFERROR(E93/C93*100,0)</f>
        <v>100</v>
      </c>
      <c r="H93" s="108">
        <v>0</v>
      </c>
      <c r="I93" s="108">
        <v>0</v>
      </c>
      <c r="J93" s="108">
        <v>0</v>
      </c>
      <c r="K93" s="108">
        <v>0</v>
      </c>
      <c r="L93" s="108">
        <v>0</v>
      </c>
      <c r="M93" s="108">
        <v>0</v>
      </c>
      <c r="N93" s="108">
        <v>0</v>
      </c>
      <c r="O93" s="108">
        <v>0</v>
      </c>
      <c r="P93" s="108">
        <v>66</v>
      </c>
      <c r="Q93" s="108">
        <v>66</v>
      </c>
      <c r="R93" s="108">
        <v>0</v>
      </c>
      <c r="S93" s="108">
        <v>0</v>
      </c>
      <c r="T93" s="108">
        <v>0</v>
      </c>
      <c r="U93" s="108">
        <v>0</v>
      </c>
      <c r="V93" s="108">
        <v>0</v>
      </c>
      <c r="W93" s="108">
        <v>0</v>
      </c>
      <c r="X93" s="108">
        <v>0</v>
      </c>
      <c r="Y93" s="108">
        <v>0</v>
      </c>
      <c r="Z93" s="108">
        <v>0</v>
      </c>
      <c r="AA93" s="108">
        <v>0</v>
      </c>
      <c r="AB93" s="108">
        <v>0</v>
      </c>
      <c r="AC93" s="108">
        <v>0</v>
      </c>
      <c r="AD93" s="108"/>
      <c r="AE93" s="108"/>
      <c r="AF93" s="1100"/>
      <c r="AG93" s="99"/>
      <c r="AH93" s="677"/>
      <c r="AI93" s="677"/>
      <c r="AJ93" s="677"/>
      <c r="AK93" s="677"/>
    </row>
    <row r="94" spans="1:37" x14ac:dyDescent="0.3">
      <c r="A94" s="112" t="s">
        <v>170</v>
      </c>
      <c r="B94" s="594"/>
      <c r="C94" s="712"/>
      <c r="D94" s="115"/>
      <c r="E94" s="114"/>
      <c r="F94" s="113"/>
      <c r="G94" s="113"/>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100"/>
      <c r="AG94" s="99"/>
      <c r="AH94" s="677"/>
      <c r="AI94" s="677"/>
      <c r="AJ94" s="677"/>
      <c r="AK94" s="677"/>
    </row>
    <row r="95" spans="1:37" ht="150" x14ac:dyDescent="0.3">
      <c r="A95" s="119" t="s">
        <v>182</v>
      </c>
      <c r="B95" s="591"/>
      <c r="C95" s="597"/>
      <c r="D95" s="118"/>
      <c r="E95" s="118"/>
      <c r="F95" s="118"/>
      <c r="G95" s="11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116" t="s">
        <v>708</v>
      </c>
      <c r="AG95" s="99"/>
      <c r="AH95" s="677"/>
      <c r="AI95" s="677"/>
      <c r="AJ95" s="677"/>
      <c r="AK95" s="677"/>
    </row>
    <row r="96" spans="1:37" x14ac:dyDescent="0.3">
      <c r="A96" s="109" t="s">
        <v>31</v>
      </c>
      <c r="B96" s="591">
        <f>B98+B99+B97+B100</f>
        <v>500</v>
      </c>
      <c r="C96" s="591">
        <f>C98+C99+C97+C100</f>
        <v>500</v>
      </c>
      <c r="D96" s="110">
        <f>D98+D99+D97+D100</f>
        <v>500</v>
      </c>
      <c r="E96" s="110">
        <f>E98+E99+E97+E100</f>
        <v>500</v>
      </c>
      <c r="F96" s="110">
        <f>IFERROR(E96/B96*100,0)</f>
        <v>100</v>
      </c>
      <c r="G96" s="110">
        <f>IFERROR(E96/C96*100,0)</f>
        <v>100</v>
      </c>
      <c r="H96" s="110">
        <f t="shared" ref="H96:AE96" si="25">H98+H99+H97+H100</f>
        <v>0</v>
      </c>
      <c r="I96" s="110">
        <f t="shared" si="25"/>
        <v>0</v>
      </c>
      <c r="J96" s="110">
        <f t="shared" si="25"/>
        <v>0</v>
      </c>
      <c r="K96" s="110">
        <f t="shared" si="25"/>
        <v>0</v>
      </c>
      <c r="L96" s="110">
        <f t="shared" si="25"/>
        <v>169</v>
      </c>
      <c r="M96" s="110">
        <f t="shared" si="25"/>
        <v>109</v>
      </c>
      <c r="N96" s="110">
        <f t="shared" si="25"/>
        <v>176.6</v>
      </c>
      <c r="O96" s="110">
        <f t="shared" si="25"/>
        <v>176.56</v>
      </c>
      <c r="P96" s="110">
        <f t="shared" si="25"/>
        <v>0</v>
      </c>
      <c r="Q96" s="110">
        <f t="shared" si="25"/>
        <v>60</v>
      </c>
      <c r="R96" s="110">
        <f t="shared" si="25"/>
        <v>0</v>
      </c>
      <c r="S96" s="110">
        <f t="shared" si="25"/>
        <v>0</v>
      </c>
      <c r="T96" s="110">
        <f t="shared" si="25"/>
        <v>0</v>
      </c>
      <c r="U96" s="110">
        <f t="shared" si="25"/>
        <v>0</v>
      </c>
      <c r="V96" s="110">
        <f t="shared" si="25"/>
        <v>154.4</v>
      </c>
      <c r="W96" s="110">
        <f t="shared" si="25"/>
        <v>83</v>
      </c>
      <c r="X96" s="110">
        <f t="shared" si="25"/>
        <v>0</v>
      </c>
      <c r="Y96" s="110">
        <f t="shared" si="25"/>
        <v>21.44</v>
      </c>
      <c r="Z96" s="110">
        <f t="shared" si="25"/>
        <v>0</v>
      </c>
      <c r="AA96" s="110">
        <f t="shared" si="25"/>
        <v>0</v>
      </c>
      <c r="AB96" s="110">
        <f t="shared" si="25"/>
        <v>0</v>
      </c>
      <c r="AC96" s="110">
        <f t="shared" si="25"/>
        <v>0</v>
      </c>
      <c r="AD96" s="110">
        <f t="shared" si="25"/>
        <v>0</v>
      </c>
      <c r="AE96" s="110">
        <f t="shared" si="25"/>
        <v>50</v>
      </c>
      <c r="AF96" s="1100"/>
      <c r="AG96" s="99"/>
      <c r="AH96" s="677"/>
      <c r="AI96" s="677"/>
      <c r="AJ96" s="677"/>
      <c r="AK96" s="677"/>
    </row>
    <row r="97" spans="1:39" x14ac:dyDescent="0.3">
      <c r="A97" s="112" t="s">
        <v>169</v>
      </c>
      <c r="B97" s="594"/>
      <c r="C97" s="712"/>
      <c r="D97" s="115"/>
      <c r="E97" s="114"/>
      <c r="F97" s="113"/>
      <c r="G97" s="113"/>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100"/>
      <c r="AG97" s="99"/>
      <c r="AH97" s="677"/>
      <c r="AI97" s="677"/>
      <c r="AJ97" s="677"/>
      <c r="AK97" s="677"/>
    </row>
    <row r="98" spans="1:39" x14ac:dyDescent="0.3">
      <c r="A98" s="112" t="s">
        <v>32</v>
      </c>
      <c r="B98" s="594"/>
      <c r="C98" s="712"/>
      <c r="D98" s="115"/>
      <c r="E98" s="114"/>
      <c r="F98" s="113"/>
      <c r="G98" s="113"/>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100"/>
      <c r="AG98" s="99"/>
      <c r="AH98" s="677"/>
      <c r="AI98" s="677"/>
      <c r="AJ98" s="677"/>
      <c r="AK98" s="677"/>
    </row>
    <row r="99" spans="1:39" x14ac:dyDescent="0.3">
      <c r="A99" s="112" t="s">
        <v>33</v>
      </c>
      <c r="B99" s="594">
        <f>J99+L99+N99+P99+R99+T99+V99+X99+Z99+AB99+AD99+H99</f>
        <v>500</v>
      </c>
      <c r="C99" s="712">
        <f>H99+J99+L99+N99+P99+R99+T99+V99+X99+Z99+AB99+AD99</f>
        <v>500</v>
      </c>
      <c r="D99" s="115">
        <f>E99</f>
        <v>500</v>
      </c>
      <c r="E99" s="114">
        <f>SUM(I99,K99,M99,O99,Q99,S99,U99,W99,Y99,AA99,AC99,AE99)</f>
        <v>500</v>
      </c>
      <c r="F99" s="113">
        <f>IFERROR(E99/B99*100,0)</f>
        <v>100</v>
      </c>
      <c r="G99" s="113">
        <f>IFERROR(E99/C99*100,0)</f>
        <v>100</v>
      </c>
      <c r="H99" s="108">
        <v>0</v>
      </c>
      <c r="I99" s="108">
        <v>0</v>
      </c>
      <c r="J99" s="108">
        <v>0</v>
      </c>
      <c r="K99" s="108">
        <v>0</v>
      </c>
      <c r="L99" s="108">
        <v>169</v>
      </c>
      <c r="M99" s="108">
        <v>109</v>
      </c>
      <c r="N99" s="108">
        <v>176.6</v>
      </c>
      <c r="O99" s="108">
        <v>176.56</v>
      </c>
      <c r="P99" s="108">
        <v>0</v>
      </c>
      <c r="Q99" s="108">
        <v>60</v>
      </c>
      <c r="R99" s="108">
        <v>0</v>
      </c>
      <c r="S99" s="108">
        <v>0</v>
      </c>
      <c r="T99" s="108">
        <v>0</v>
      </c>
      <c r="U99" s="108">
        <v>0</v>
      </c>
      <c r="V99" s="108">
        <v>154.4</v>
      </c>
      <c r="W99" s="108">
        <v>83</v>
      </c>
      <c r="X99" s="108">
        <v>0</v>
      </c>
      <c r="Y99" s="108">
        <v>21.44</v>
      </c>
      <c r="Z99" s="108">
        <v>0</v>
      </c>
      <c r="AA99" s="108">
        <v>0</v>
      </c>
      <c r="AB99" s="108">
        <v>0</v>
      </c>
      <c r="AC99" s="108">
        <v>0</v>
      </c>
      <c r="AD99" s="108">
        <v>0</v>
      </c>
      <c r="AE99" s="108">
        <v>50</v>
      </c>
      <c r="AF99" s="1100"/>
      <c r="AG99" s="99"/>
      <c r="AH99" s="677"/>
      <c r="AI99" s="677"/>
      <c r="AJ99" s="677"/>
      <c r="AK99" s="677"/>
    </row>
    <row r="100" spans="1:39" x14ac:dyDescent="0.3">
      <c r="A100" s="112" t="s">
        <v>170</v>
      </c>
      <c r="B100" s="729"/>
      <c r="C100" s="730"/>
      <c r="D100" s="115"/>
      <c r="E100" s="114"/>
      <c r="F100" s="113"/>
      <c r="G100" s="113"/>
      <c r="H100" s="108"/>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100"/>
      <c r="AG100" s="99"/>
      <c r="AH100" s="677"/>
      <c r="AI100" s="677"/>
      <c r="AJ100" s="677"/>
      <c r="AK100" s="677"/>
    </row>
    <row r="101" spans="1:39" ht="112.5" x14ac:dyDescent="0.3">
      <c r="A101" s="119" t="s">
        <v>183</v>
      </c>
      <c r="B101" s="729"/>
      <c r="C101" s="729"/>
      <c r="D101" s="120"/>
      <c r="E101" s="120"/>
      <c r="F101" s="120"/>
      <c r="G101" s="120"/>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880" t="s">
        <v>709</v>
      </c>
      <c r="AG101" s="99"/>
      <c r="AH101" s="677"/>
      <c r="AI101" s="677"/>
      <c r="AJ101" s="677"/>
      <c r="AK101" s="677"/>
    </row>
    <row r="102" spans="1:39" x14ac:dyDescent="0.3">
      <c r="A102" s="109" t="s">
        <v>31</v>
      </c>
      <c r="B102" s="727">
        <f>B104+B105+B103+B106</f>
        <v>443.8</v>
      </c>
      <c r="C102" s="727">
        <f>C104+C105+C103+C106</f>
        <v>443.8</v>
      </c>
      <c r="D102" s="110">
        <f>D104+D105+D103+D106</f>
        <v>443.8</v>
      </c>
      <c r="E102" s="110">
        <f>E104+E105+E103+E106</f>
        <v>443.8</v>
      </c>
      <c r="F102" s="110">
        <f>IFERROR(E102/B102*100,0)</f>
        <v>100</v>
      </c>
      <c r="G102" s="110">
        <f>IFERROR(E102/C102*100,0)</f>
        <v>100</v>
      </c>
      <c r="H102" s="110">
        <f t="shared" ref="H102:AE102" si="26">H104+H105+H103+H106</f>
        <v>0</v>
      </c>
      <c r="I102" s="110">
        <f t="shared" si="26"/>
        <v>0</v>
      </c>
      <c r="J102" s="110">
        <f t="shared" si="26"/>
        <v>0</v>
      </c>
      <c r="K102" s="110">
        <f t="shared" si="26"/>
        <v>0</v>
      </c>
      <c r="L102" s="110">
        <f t="shared" si="26"/>
        <v>0</v>
      </c>
      <c r="M102" s="110">
        <f t="shared" si="26"/>
        <v>0</v>
      </c>
      <c r="N102" s="110">
        <f t="shared" si="26"/>
        <v>443.8</v>
      </c>
      <c r="O102" s="110">
        <f t="shared" si="26"/>
        <v>300</v>
      </c>
      <c r="P102" s="110">
        <f t="shared" si="26"/>
        <v>0</v>
      </c>
      <c r="Q102" s="110">
        <f t="shared" si="26"/>
        <v>137.898</v>
      </c>
      <c r="R102" s="110">
        <f t="shared" si="26"/>
        <v>0</v>
      </c>
      <c r="S102" s="110">
        <f t="shared" si="26"/>
        <v>0</v>
      </c>
      <c r="T102" s="110">
        <f t="shared" si="26"/>
        <v>0</v>
      </c>
      <c r="U102" s="110">
        <f t="shared" si="26"/>
        <v>0</v>
      </c>
      <c r="V102" s="110">
        <f t="shared" si="26"/>
        <v>0</v>
      </c>
      <c r="W102" s="110">
        <f t="shared" si="26"/>
        <v>0</v>
      </c>
      <c r="X102" s="110">
        <f t="shared" si="26"/>
        <v>0</v>
      </c>
      <c r="Y102" s="110">
        <f t="shared" si="26"/>
        <v>0</v>
      </c>
      <c r="Z102" s="110">
        <f t="shared" si="26"/>
        <v>0</v>
      </c>
      <c r="AA102" s="110">
        <f t="shared" si="26"/>
        <v>0</v>
      </c>
      <c r="AB102" s="110">
        <f t="shared" si="26"/>
        <v>0</v>
      </c>
      <c r="AC102" s="110">
        <f t="shared" si="26"/>
        <v>5.9020000000000001</v>
      </c>
      <c r="AD102" s="110">
        <f t="shared" si="26"/>
        <v>0</v>
      </c>
      <c r="AE102" s="110">
        <f t="shared" si="26"/>
        <v>0</v>
      </c>
      <c r="AF102" s="1100"/>
      <c r="AG102" s="99"/>
      <c r="AH102" s="677"/>
      <c r="AI102" s="677"/>
      <c r="AJ102" s="677"/>
      <c r="AK102" s="677"/>
    </row>
    <row r="103" spans="1:39" x14ac:dyDescent="0.3">
      <c r="A103" s="112" t="s">
        <v>169</v>
      </c>
      <c r="B103" s="113"/>
      <c r="C103" s="114"/>
      <c r="D103" s="115"/>
      <c r="E103" s="114"/>
      <c r="F103" s="113"/>
      <c r="G103" s="113"/>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100"/>
      <c r="AG103" s="99"/>
      <c r="AH103" s="677"/>
      <c r="AI103" s="677"/>
      <c r="AJ103" s="677"/>
      <c r="AK103" s="677"/>
    </row>
    <row r="104" spans="1:39" x14ac:dyDescent="0.3">
      <c r="A104" s="112" t="s">
        <v>32</v>
      </c>
      <c r="B104" s="113"/>
      <c r="C104" s="114"/>
      <c r="D104" s="115"/>
      <c r="E104" s="114"/>
      <c r="F104" s="113"/>
      <c r="G104" s="113"/>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100"/>
      <c r="AG104" s="99"/>
      <c r="AH104" s="677"/>
      <c r="AI104" s="677"/>
      <c r="AJ104" s="677"/>
      <c r="AK104" s="677"/>
    </row>
    <row r="105" spans="1:39" x14ac:dyDescent="0.3">
      <c r="A105" s="112" t="s">
        <v>33</v>
      </c>
      <c r="B105" s="113">
        <f>J105+L105+N105+P105+R105+T105+V105+X105+Z105+AB105+AD105+H105</f>
        <v>443.8</v>
      </c>
      <c r="C105" s="114">
        <f>SUM(H105+N105)</f>
        <v>443.8</v>
      </c>
      <c r="D105" s="715">
        <v>443.8</v>
      </c>
      <c r="E105" s="712">
        <f>SUM(I105,K105,M105,O105,Q105,S105,U105,W105,Y105,AA105,AC105,AE105)</f>
        <v>443.8</v>
      </c>
      <c r="F105" s="113">
        <f>IFERROR(E105/B105*100,0)</f>
        <v>100</v>
      </c>
      <c r="G105" s="113">
        <f>IFERROR(E105/C105*100,0)</f>
        <v>100</v>
      </c>
      <c r="H105" s="108">
        <v>0</v>
      </c>
      <c r="I105" s="108">
        <v>0</v>
      </c>
      <c r="J105" s="108">
        <v>0</v>
      </c>
      <c r="K105" s="108">
        <v>0</v>
      </c>
      <c r="L105" s="108">
        <v>0</v>
      </c>
      <c r="M105" s="108">
        <v>0</v>
      </c>
      <c r="N105" s="108">
        <v>443.8</v>
      </c>
      <c r="O105" s="108">
        <v>300</v>
      </c>
      <c r="P105" s="108">
        <v>0</v>
      </c>
      <c r="Q105" s="108">
        <v>137.898</v>
      </c>
      <c r="R105" s="108">
        <v>0</v>
      </c>
      <c r="S105" s="108">
        <v>0</v>
      </c>
      <c r="T105" s="108">
        <v>0</v>
      </c>
      <c r="U105" s="108">
        <v>0</v>
      </c>
      <c r="V105" s="108">
        <v>0</v>
      </c>
      <c r="W105" s="108">
        <v>0</v>
      </c>
      <c r="X105" s="108">
        <v>0</v>
      </c>
      <c r="Y105" s="108">
        <v>0</v>
      </c>
      <c r="Z105" s="108">
        <v>0</v>
      </c>
      <c r="AA105" s="108">
        <v>0</v>
      </c>
      <c r="AB105" s="108">
        <v>0</v>
      </c>
      <c r="AC105" s="108">
        <v>5.9020000000000001</v>
      </c>
      <c r="AD105" s="108">
        <v>0</v>
      </c>
      <c r="AE105" s="108">
        <v>0</v>
      </c>
      <c r="AF105" s="1100"/>
      <c r="AG105" s="99"/>
      <c r="AH105" s="677"/>
      <c r="AI105" s="677"/>
      <c r="AJ105" s="677"/>
      <c r="AK105" s="677"/>
    </row>
    <row r="106" spans="1:39" x14ac:dyDescent="0.3">
      <c r="A106" s="112" t="s">
        <v>170</v>
      </c>
      <c r="B106" s="113"/>
      <c r="C106" s="114"/>
      <c r="D106" s="115"/>
      <c r="E106" s="114"/>
      <c r="F106" s="113"/>
      <c r="G106" s="113"/>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100"/>
      <c r="AG106" s="99"/>
      <c r="AH106" s="677"/>
      <c r="AI106" s="677"/>
      <c r="AJ106" s="677"/>
      <c r="AK106" s="677"/>
    </row>
    <row r="107" spans="1:39" ht="243.75" x14ac:dyDescent="0.3">
      <c r="A107" s="119" t="s">
        <v>184</v>
      </c>
      <c r="B107" s="591"/>
      <c r="C107" s="597"/>
      <c r="D107" s="118"/>
      <c r="E107" s="118"/>
      <c r="F107" s="118"/>
      <c r="G107" s="118"/>
      <c r="H107" s="108"/>
      <c r="I107" s="108"/>
      <c r="J107" s="108"/>
      <c r="K107" s="108"/>
      <c r="L107" s="108"/>
      <c r="M107" s="108"/>
      <c r="N107" s="108"/>
      <c r="O107" s="108"/>
      <c r="P107" s="108"/>
      <c r="Q107" s="108"/>
      <c r="R107" s="108"/>
      <c r="S107" s="108"/>
      <c r="T107" s="108"/>
      <c r="U107" s="108"/>
      <c r="V107" s="108"/>
      <c r="W107" s="108"/>
      <c r="X107" s="108"/>
      <c r="Y107" s="108"/>
      <c r="Z107" s="108"/>
      <c r="AA107" s="108"/>
      <c r="AB107" s="108"/>
      <c r="AC107" s="108"/>
      <c r="AD107" s="108"/>
      <c r="AE107" s="108"/>
      <c r="AF107" s="1103" t="s">
        <v>713</v>
      </c>
      <c r="AG107" s="99"/>
      <c r="AH107" s="677"/>
      <c r="AI107" s="677"/>
      <c r="AJ107" s="677"/>
      <c r="AK107" s="677"/>
      <c r="AM107" s="1114">
        <f>1372.486+138.813+293.412+53.426+10.479+15.409+851.356+9.591</f>
        <v>2744.9720000000002</v>
      </c>
    </row>
    <row r="108" spans="1:39" x14ac:dyDescent="0.3">
      <c r="A108" s="109" t="s">
        <v>31</v>
      </c>
      <c r="B108" s="591">
        <f>B110+B111+B109+B112</f>
        <v>72328.3</v>
      </c>
      <c r="C108" s="591">
        <f>C110+C111+C109+C112</f>
        <v>72328.3</v>
      </c>
      <c r="D108" s="110">
        <f>D110+D111+D109+D112</f>
        <v>72328.3</v>
      </c>
      <c r="E108" s="110">
        <f>E110+E111+E109+E112</f>
        <v>70955.815000000002</v>
      </c>
      <c r="F108" s="110">
        <f>IFERROR(E108/B108*100,0)</f>
        <v>98.102423256180487</v>
      </c>
      <c r="G108" s="110">
        <f>IFERROR(E108/C108*100,0)</f>
        <v>98.102423256180487</v>
      </c>
      <c r="H108" s="110">
        <f t="shared" ref="H108:AE108" si="27">H110+H111+H109+H112</f>
        <v>4455.3</v>
      </c>
      <c r="I108" s="110">
        <f t="shared" si="27"/>
        <v>1704.55</v>
      </c>
      <c r="J108" s="110">
        <f t="shared" si="27"/>
        <v>5432.6</v>
      </c>
      <c r="K108" s="110">
        <f t="shared" si="27"/>
        <v>4745.9340000000002</v>
      </c>
      <c r="L108" s="110">
        <f t="shared" si="27"/>
        <v>5550.1</v>
      </c>
      <c r="M108" s="110">
        <f t="shared" si="27"/>
        <v>4233.8149999999996</v>
      </c>
      <c r="N108" s="110">
        <f t="shared" si="27"/>
        <v>5903.66</v>
      </c>
      <c r="O108" s="110">
        <f t="shared" si="27"/>
        <v>5042.84</v>
      </c>
      <c r="P108" s="110">
        <f t="shared" si="27"/>
        <v>5862.9</v>
      </c>
      <c r="Q108" s="110">
        <f t="shared" si="27"/>
        <v>6486.4440000000004</v>
      </c>
      <c r="R108" s="110">
        <f t="shared" si="27"/>
        <v>6768.2</v>
      </c>
      <c r="S108" s="110">
        <f t="shared" si="27"/>
        <v>6201.018</v>
      </c>
      <c r="T108" s="110">
        <f t="shared" si="27"/>
        <v>7220.2</v>
      </c>
      <c r="U108" s="110">
        <f t="shared" si="27"/>
        <v>7005.3490000000002</v>
      </c>
      <c r="V108" s="110">
        <f t="shared" si="27"/>
        <v>6208.74</v>
      </c>
      <c r="W108" s="110">
        <f t="shared" si="27"/>
        <v>5309.3710000000001</v>
      </c>
      <c r="X108" s="110">
        <f t="shared" si="27"/>
        <v>6066.4</v>
      </c>
      <c r="Y108" s="110">
        <f t="shared" si="27"/>
        <v>4180.72</v>
      </c>
      <c r="Z108" s="110">
        <f t="shared" si="27"/>
        <v>7581.7</v>
      </c>
      <c r="AA108" s="110">
        <f t="shared" si="27"/>
        <v>8994.9869999999992</v>
      </c>
      <c r="AB108" s="110">
        <f t="shared" si="27"/>
        <v>5947.9</v>
      </c>
      <c r="AC108" s="110">
        <f t="shared" si="27"/>
        <v>5982.768</v>
      </c>
      <c r="AD108" s="110">
        <f t="shared" si="27"/>
        <v>5330.6</v>
      </c>
      <c r="AE108" s="110">
        <f t="shared" si="27"/>
        <v>11068.019</v>
      </c>
      <c r="AF108" s="1100"/>
      <c r="AG108" s="99"/>
      <c r="AH108" s="677"/>
      <c r="AI108" s="677"/>
      <c r="AJ108" s="677"/>
      <c r="AK108" s="677"/>
    </row>
    <row r="109" spans="1:39" x14ac:dyDescent="0.3">
      <c r="A109" s="112" t="s">
        <v>169</v>
      </c>
      <c r="B109" s="113"/>
      <c r="C109" s="114"/>
      <c r="D109" s="115"/>
      <c r="E109" s="114"/>
      <c r="F109" s="113"/>
      <c r="G109" s="113"/>
      <c r="H109" s="108"/>
      <c r="I109" s="108"/>
      <c r="J109" s="108"/>
      <c r="K109" s="108"/>
      <c r="L109" s="108"/>
      <c r="M109" s="108"/>
      <c r="N109" s="108"/>
      <c r="O109" s="108"/>
      <c r="P109" s="108"/>
      <c r="Q109" s="108"/>
      <c r="R109" s="108"/>
      <c r="S109" s="108"/>
      <c r="T109" s="108"/>
      <c r="U109" s="108"/>
      <c r="V109" s="108"/>
      <c r="W109" s="108"/>
      <c r="X109" s="108"/>
      <c r="Y109" s="108"/>
      <c r="Z109" s="108"/>
      <c r="AA109" s="108"/>
      <c r="AB109" s="108"/>
      <c r="AC109" s="108"/>
      <c r="AD109" s="108"/>
      <c r="AE109" s="108"/>
      <c r="AF109" s="1100"/>
      <c r="AG109" s="99"/>
      <c r="AH109" s="677"/>
      <c r="AI109" s="677"/>
      <c r="AJ109" s="677"/>
      <c r="AK109" s="677"/>
    </row>
    <row r="110" spans="1:39" x14ac:dyDescent="0.3">
      <c r="A110" s="112" t="s">
        <v>32</v>
      </c>
      <c r="B110" s="113"/>
      <c r="C110" s="114"/>
      <c r="D110" s="115"/>
      <c r="E110" s="114"/>
      <c r="F110" s="113"/>
      <c r="G110" s="113"/>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100"/>
      <c r="AG110" s="99"/>
      <c r="AH110" s="677"/>
      <c r="AI110" s="677"/>
      <c r="AJ110" s="677"/>
      <c r="AK110" s="677"/>
    </row>
    <row r="111" spans="1:39" x14ac:dyDescent="0.3">
      <c r="A111" s="112" t="s">
        <v>33</v>
      </c>
      <c r="B111" s="113">
        <f>J111+L111+N111+P111+R111+T111+V111+X111+Z111+AB111+AD111+H111</f>
        <v>72328.3</v>
      </c>
      <c r="C111" s="712">
        <f>H111+J111+L111+N111+P111+R111+T111+V111+X111+Z111+AB111+AD111</f>
        <v>72328.3</v>
      </c>
      <c r="D111" s="715">
        <v>72328.3</v>
      </c>
      <c r="E111" s="712">
        <f>SUM(I111,K111,M111,O111,Q111,S111,U111,W111,Y111,AA111,AC111,AE111)</f>
        <v>70955.815000000002</v>
      </c>
      <c r="F111" s="113">
        <f>IFERROR(E111/B111*100,0)</f>
        <v>98.102423256180487</v>
      </c>
      <c r="G111" s="113">
        <f>IFERROR(E111/C111*100,0)</f>
        <v>98.102423256180487</v>
      </c>
      <c r="H111" s="108">
        <v>4455.3</v>
      </c>
      <c r="I111" s="108">
        <v>1704.55</v>
      </c>
      <c r="J111" s="108">
        <v>5432.6</v>
      </c>
      <c r="K111" s="674">
        <v>4745.9340000000002</v>
      </c>
      <c r="L111" s="108">
        <v>5550.1</v>
      </c>
      <c r="M111" s="108">
        <v>4233.8149999999996</v>
      </c>
      <c r="N111" s="108">
        <v>5903.66</v>
      </c>
      <c r="O111" s="108">
        <v>5042.84</v>
      </c>
      <c r="P111" s="108">
        <v>5862.9</v>
      </c>
      <c r="Q111" s="781">
        <v>6486.4440000000004</v>
      </c>
      <c r="R111" s="108">
        <v>6768.2</v>
      </c>
      <c r="S111" s="108">
        <v>6201.018</v>
      </c>
      <c r="T111" s="108">
        <v>7220.2</v>
      </c>
      <c r="U111" s="108">
        <v>7005.3490000000002</v>
      </c>
      <c r="V111" s="108">
        <v>6208.74</v>
      </c>
      <c r="W111" s="108">
        <v>5309.3710000000001</v>
      </c>
      <c r="X111" s="108">
        <v>6066.4</v>
      </c>
      <c r="Y111" s="108">
        <v>4180.72</v>
      </c>
      <c r="Z111" s="108">
        <v>7581.7</v>
      </c>
      <c r="AA111" s="108">
        <v>8994.9869999999992</v>
      </c>
      <c r="AB111" s="108">
        <v>5947.9</v>
      </c>
      <c r="AC111" s="108">
        <v>5982.768</v>
      </c>
      <c r="AD111" s="108">
        <v>5330.6</v>
      </c>
      <c r="AE111" s="108">
        <v>11068.019</v>
      </c>
      <c r="AF111" s="1100"/>
      <c r="AG111" s="99"/>
      <c r="AH111" s="677"/>
      <c r="AI111" s="677"/>
      <c r="AJ111" s="677"/>
      <c r="AK111" s="677"/>
    </row>
    <row r="112" spans="1:39" x14ac:dyDescent="0.3">
      <c r="A112" s="112" t="s">
        <v>170</v>
      </c>
      <c r="B112" s="113"/>
      <c r="C112" s="114"/>
      <c r="D112" s="115"/>
      <c r="E112" s="114"/>
      <c r="F112" s="113"/>
      <c r="G112" s="113"/>
      <c r="H112" s="108"/>
      <c r="I112" s="108"/>
      <c r="J112" s="108"/>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100"/>
      <c r="AG112" s="99"/>
      <c r="AH112" s="677"/>
      <c r="AI112" s="677"/>
      <c r="AJ112" s="677"/>
      <c r="AK112" s="677"/>
    </row>
    <row r="113" spans="1:37" ht="56.25" x14ac:dyDescent="0.3">
      <c r="A113" s="121" t="s">
        <v>185</v>
      </c>
      <c r="B113" s="101"/>
      <c r="C113" s="122"/>
      <c r="D113" s="122"/>
      <c r="E113" s="122"/>
      <c r="F113" s="122"/>
      <c r="G113" s="122"/>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100"/>
      <c r="AG113" s="99"/>
      <c r="AH113" s="677"/>
      <c r="AI113" s="677"/>
      <c r="AJ113" s="677"/>
      <c r="AK113" s="677"/>
    </row>
    <row r="114" spans="1:37" x14ac:dyDescent="0.3">
      <c r="A114" s="125" t="s">
        <v>31</v>
      </c>
      <c r="B114" s="101">
        <f>B115+B116+B117+B118</f>
        <v>25505.075000000001</v>
      </c>
      <c r="C114" s="101">
        <f>C115+C116+C117</f>
        <v>25399.795000000002</v>
      </c>
      <c r="D114" s="101">
        <f>D115+D116+D117</f>
        <v>25256.44</v>
      </c>
      <c r="E114" s="101">
        <f>E115+E116+E117</f>
        <v>25256.437000000002</v>
      </c>
      <c r="F114" s="102">
        <f>IFERROR(E114/B114*100,0)</f>
        <v>99.025143035258679</v>
      </c>
      <c r="G114" s="102">
        <f>IFERROR(E114/C114*100,0)</f>
        <v>99.435593869950523</v>
      </c>
      <c r="H114" s="101">
        <f>H115+H116+H117+H118</f>
        <v>0</v>
      </c>
      <c r="I114" s="101">
        <f t="shared" ref="I114:AE114" si="28">I115+I116+I117+I118</f>
        <v>0</v>
      </c>
      <c r="J114" s="101">
        <f t="shared" si="28"/>
        <v>2745.02</v>
      </c>
      <c r="K114" s="101">
        <f t="shared" si="28"/>
        <v>72</v>
      </c>
      <c r="L114" s="101">
        <f t="shared" si="28"/>
        <v>1174.94</v>
      </c>
      <c r="M114" s="101">
        <f t="shared" si="28"/>
        <v>1577.99</v>
      </c>
      <c r="N114" s="101">
        <f t="shared" si="28"/>
        <v>1011.8</v>
      </c>
      <c r="O114" s="101">
        <f t="shared" si="28"/>
        <v>1089.1300000000001</v>
      </c>
      <c r="P114" s="101">
        <f t="shared" si="28"/>
        <v>15817</v>
      </c>
      <c r="Q114" s="101">
        <f t="shared" si="28"/>
        <v>99.9</v>
      </c>
      <c r="R114" s="101">
        <f t="shared" si="28"/>
        <v>153.1</v>
      </c>
      <c r="S114" s="101">
        <f t="shared" si="28"/>
        <v>1090.04</v>
      </c>
      <c r="T114" s="101">
        <f t="shared" si="28"/>
        <v>0</v>
      </c>
      <c r="U114" s="101">
        <f t="shared" si="28"/>
        <v>16748.5</v>
      </c>
      <c r="V114" s="101">
        <f t="shared" si="28"/>
        <v>30.87</v>
      </c>
      <c r="W114" s="101">
        <f t="shared" si="28"/>
        <v>183.87</v>
      </c>
      <c r="X114" s="101">
        <f t="shared" si="28"/>
        <v>132.80500000000001</v>
      </c>
      <c r="Y114" s="101">
        <f t="shared" si="28"/>
        <v>0</v>
      </c>
      <c r="Z114" s="101">
        <f t="shared" si="28"/>
        <v>136</v>
      </c>
      <c r="AA114" s="101">
        <f t="shared" si="28"/>
        <v>27.524999999999999</v>
      </c>
      <c r="AB114" s="101">
        <f t="shared" si="28"/>
        <v>35</v>
      </c>
      <c r="AC114" s="101">
        <f t="shared" si="28"/>
        <v>69</v>
      </c>
      <c r="AD114" s="101">
        <f t="shared" si="28"/>
        <v>4268.54</v>
      </c>
      <c r="AE114" s="101">
        <f t="shared" si="28"/>
        <v>4403.7619999999997</v>
      </c>
      <c r="AF114" s="1100"/>
      <c r="AG114" s="99"/>
      <c r="AH114" s="677"/>
      <c r="AI114" s="677"/>
      <c r="AJ114" s="677"/>
      <c r="AK114" s="677"/>
    </row>
    <row r="115" spans="1:37" x14ac:dyDescent="0.3">
      <c r="A115" s="126" t="s">
        <v>169</v>
      </c>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100"/>
      <c r="AG115" s="99"/>
      <c r="AH115" s="677"/>
      <c r="AI115" s="677"/>
      <c r="AJ115" s="677"/>
      <c r="AK115" s="677"/>
    </row>
    <row r="116" spans="1:37" x14ac:dyDescent="0.3">
      <c r="A116" s="126" t="s">
        <v>32</v>
      </c>
      <c r="B116" s="104">
        <f>B122+B128+B134</f>
        <v>0</v>
      </c>
      <c r="C116" s="104">
        <f>C122</f>
        <v>0</v>
      </c>
      <c r="D116" s="104">
        <f>D122</f>
        <v>0</v>
      </c>
      <c r="E116" s="104">
        <f>E122+E128+E134</f>
        <v>0</v>
      </c>
      <c r="F116" s="104">
        <f>IFERROR(E116/B116*100,0)</f>
        <v>0</v>
      </c>
      <c r="G116" s="104">
        <f>IFERROR(E116/C116*100,0)</f>
        <v>0</v>
      </c>
      <c r="H116" s="104">
        <v>0</v>
      </c>
      <c r="I116" s="104">
        <v>0</v>
      </c>
      <c r="J116" s="104">
        <v>0</v>
      </c>
      <c r="K116" s="104">
        <v>0</v>
      </c>
      <c r="L116" s="104">
        <v>0</v>
      </c>
      <c r="M116" s="104">
        <v>0</v>
      </c>
      <c r="N116" s="104">
        <v>0</v>
      </c>
      <c r="O116" s="104">
        <v>0</v>
      </c>
      <c r="P116" s="104">
        <v>0</v>
      </c>
      <c r="Q116" s="104">
        <v>0</v>
      </c>
      <c r="R116" s="104">
        <v>0</v>
      </c>
      <c r="S116" s="104">
        <v>0</v>
      </c>
      <c r="T116" s="104">
        <v>0</v>
      </c>
      <c r="U116" s="104">
        <v>0</v>
      </c>
      <c r="V116" s="104">
        <v>0</v>
      </c>
      <c r="W116" s="104">
        <v>0</v>
      </c>
      <c r="X116" s="104">
        <v>0</v>
      </c>
      <c r="Y116" s="104">
        <v>0</v>
      </c>
      <c r="Z116" s="104">
        <v>0</v>
      </c>
      <c r="AA116" s="104">
        <v>0</v>
      </c>
      <c r="AB116" s="104">
        <v>0</v>
      </c>
      <c r="AC116" s="104">
        <v>0</v>
      </c>
      <c r="AD116" s="104">
        <v>0</v>
      </c>
      <c r="AE116" s="104">
        <v>0</v>
      </c>
      <c r="AF116" s="1100"/>
      <c r="AG116" s="99"/>
      <c r="AH116" s="677"/>
      <c r="AI116" s="677"/>
      <c r="AJ116" s="677"/>
      <c r="AK116" s="677"/>
    </row>
    <row r="117" spans="1:37" x14ac:dyDescent="0.3">
      <c r="A117" s="126" t="s">
        <v>33</v>
      </c>
      <c r="B117" s="104">
        <f>B123+B129+B135</f>
        <v>25399.795000000002</v>
      </c>
      <c r="C117" s="104">
        <f>C123+C129+C135</f>
        <v>25399.795000000002</v>
      </c>
      <c r="D117" s="104">
        <f>D123+D129+D135</f>
        <v>25256.44</v>
      </c>
      <c r="E117" s="104">
        <f>E123+E129+E135</f>
        <v>25256.437000000002</v>
      </c>
      <c r="F117" s="104">
        <f>IFERROR(E117/B117*100,0)</f>
        <v>99.435593869950523</v>
      </c>
      <c r="G117" s="104">
        <f>IFERROR(E117/C117*100,0)</f>
        <v>99.435593869950523</v>
      </c>
      <c r="H117" s="104">
        <f>H123+H129+H135</f>
        <v>0</v>
      </c>
      <c r="I117" s="104">
        <f t="shared" ref="I117:AE117" si="29">I123+I129+I135</f>
        <v>0</v>
      </c>
      <c r="J117" s="104">
        <f t="shared" si="29"/>
        <v>2745.02</v>
      </c>
      <c r="K117" s="104">
        <f t="shared" si="29"/>
        <v>72</v>
      </c>
      <c r="L117" s="104">
        <f t="shared" si="29"/>
        <v>1174.94</v>
      </c>
      <c r="M117" s="104">
        <f t="shared" si="29"/>
        <v>1577.99</v>
      </c>
      <c r="N117" s="104">
        <f t="shared" si="29"/>
        <v>1011.8</v>
      </c>
      <c r="O117" s="104">
        <f t="shared" si="29"/>
        <v>1089.1300000000001</v>
      </c>
      <c r="P117" s="104">
        <f t="shared" si="29"/>
        <v>15817</v>
      </c>
      <c r="Q117" s="104">
        <f t="shared" si="29"/>
        <v>99.9</v>
      </c>
      <c r="R117" s="104">
        <f t="shared" si="29"/>
        <v>153.1</v>
      </c>
      <c r="S117" s="104">
        <f t="shared" si="29"/>
        <v>1090.04</v>
      </c>
      <c r="T117" s="104">
        <f t="shared" si="29"/>
        <v>0</v>
      </c>
      <c r="U117" s="104">
        <f t="shared" si="29"/>
        <v>16748.5</v>
      </c>
      <c r="V117" s="104">
        <f t="shared" si="29"/>
        <v>30.87</v>
      </c>
      <c r="W117" s="104">
        <f t="shared" si="29"/>
        <v>183.87</v>
      </c>
      <c r="X117" s="104">
        <f t="shared" si="29"/>
        <v>27.524999999999999</v>
      </c>
      <c r="Y117" s="104">
        <f t="shared" si="29"/>
        <v>0</v>
      </c>
      <c r="Z117" s="104">
        <f t="shared" si="29"/>
        <v>136</v>
      </c>
      <c r="AA117" s="104">
        <f t="shared" si="29"/>
        <v>27.524999999999999</v>
      </c>
      <c r="AB117" s="104">
        <f t="shared" si="29"/>
        <v>35</v>
      </c>
      <c r="AC117" s="104">
        <f t="shared" si="29"/>
        <v>69</v>
      </c>
      <c r="AD117" s="104">
        <f t="shared" si="29"/>
        <v>4268.54</v>
      </c>
      <c r="AE117" s="104">
        <f t="shared" si="29"/>
        <v>4298.482</v>
      </c>
      <c r="AF117" s="1100"/>
      <c r="AG117" s="99"/>
      <c r="AH117" s="677"/>
      <c r="AI117" s="677"/>
      <c r="AJ117" s="677"/>
      <c r="AK117" s="677"/>
    </row>
    <row r="118" spans="1:37" x14ac:dyDescent="0.3">
      <c r="A118" s="126" t="s">
        <v>170</v>
      </c>
      <c r="B118" s="104">
        <f>B124+B130+B136</f>
        <v>105.28</v>
      </c>
      <c r="C118" s="104">
        <f>C124+C130+C136</f>
        <v>105.28</v>
      </c>
      <c r="D118" s="104">
        <f>D124+D130+D136</f>
        <v>105.28</v>
      </c>
      <c r="E118" s="104">
        <f>E124+E130+E136</f>
        <v>105.28</v>
      </c>
      <c r="F118" s="104">
        <f>IFERROR(E118/B118*100,0)</f>
        <v>100</v>
      </c>
      <c r="G118" s="104">
        <f>IFERROR(E118/C118*100,0)</f>
        <v>100</v>
      </c>
      <c r="H118" s="104">
        <v>0</v>
      </c>
      <c r="I118" s="104">
        <v>0</v>
      </c>
      <c r="J118" s="104">
        <v>0</v>
      </c>
      <c r="K118" s="104">
        <v>0</v>
      </c>
      <c r="L118" s="104">
        <v>0</v>
      </c>
      <c r="M118" s="104">
        <v>0</v>
      </c>
      <c r="N118" s="104">
        <v>0</v>
      </c>
      <c r="O118" s="104">
        <v>0</v>
      </c>
      <c r="P118" s="104">
        <v>0</v>
      </c>
      <c r="Q118" s="104">
        <v>0</v>
      </c>
      <c r="R118" s="104">
        <v>0</v>
      </c>
      <c r="S118" s="104">
        <v>0</v>
      </c>
      <c r="T118" s="104">
        <v>0</v>
      </c>
      <c r="U118" s="104">
        <v>0</v>
      </c>
      <c r="V118" s="104">
        <v>0</v>
      </c>
      <c r="W118" s="104">
        <v>0</v>
      </c>
      <c r="X118" s="104">
        <v>105.28</v>
      </c>
      <c r="Y118" s="104">
        <v>0</v>
      </c>
      <c r="Z118" s="104">
        <v>0</v>
      </c>
      <c r="AA118" s="104">
        <v>0</v>
      </c>
      <c r="AB118" s="104">
        <v>0</v>
      </c>
      <c r="AC118" s="104">
        <v>0</v>
      </c>
      <c r="AD118" s="104">
        <v>0</v>
      </c>
      <c r="AE118" s="104">
        <v>105.28</v>
      </c>
      <c r="AF118" s="1100"/>
      <c r="AG118" s="99"/>
      <c r="AH118" s="677"/>
      <c r="AI118" s="677"/>
      <c r="AJ118" s="677"/>
      <c r="AK118" s="677"/>
    </row>
    <row r="119" spans="1:37" ht="56.25" x14ac:dyDescent="0.3">
      <c r="A119" s="105" t="s">
        <v>186</v>
      </c>
      <c r="B119" s="127"/>
      <c r="C119" s="128"/>
      <c r="D119" s="128"/>
      <c r="E119" s="128"/>
      <c r="F119" s="128"/>
      <c r="G119" s="12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100"/>
      <c r="AG119" s="99"/>
      <c r="AH119" s="677"/>
      <c r="AI119" s="677"/>
      <c r="AJ119" s="677"/>
      <c r="AK119" s="677"/>
    </row>
    <row r="120" spans="1:37" ht="168.75" x14ac:dyDescent="0.3">
      <c r="A120" s="109" t="s">
        <v>31</v>
      </c>
      <c r="B120" s="727">
        <f>B122+B123+B121+B124</f>
        <v>22649.075000000001</v>
      </c>
      <c r="C120" s="591">
        <f>C122+C123+C121+C124</f>
        <v>22649.075000000001</v>
      </c>
      <c r="D120" s="591">
        <f>D122+D123+D121+D124</f>
        <v>22505.719999999998</v>
      </c>
      <c r="E120" s="110">
        <f>E122+E123+E121+E124</f>
        <v>22505.717000000001</v>
      </c>
      <c r="F120" s="110">
        <f>IFERROR(E120/B120*100,0)</f>
        <v>99.367046998608117</v>
      </c>
      <c r="G120" s="110">
        <f>IFERROR(E120/C120*100,0)</f>
        <v>99.367046998608117</v>
      </c>
      <c r="H120" s="110">
        <f t="shared" ref="H120:U120" si="30">H122+H123+H121+H124</f>
        <v>0</v>
      </c>
      <c r="I120" s="110">
        <f t="shared" si="30"/>
        <v>0</v>
      </c>
      <c r="J120" s="110">
        <f t="shared" si="30"/>
        <v>220.02</v>
      </c>
      <c r="K120" s="110">
        <f t="shared" si="30"/>
        <v>72</v>
      </c>
      <c r="L120" s="110">
        <f t="shared" si="30"/>
        <v>1174.94</v>
      </c>
      <c r="M120" s="110">
        <f t="shared" si="30"/>
        <v>315.49</v>
      </c>
      <c r="N120" s="110">
        <f t="shared" si="30"/>
        <v>1011.8</v>
      </c>
      <c r="O120" s="110">
        <f t="shared" si="30"/>
        <v>1089.1300000000001</v>
      </c>
      <c r="P120" s="110">
        <f t="shared" si="30"/>
        <v>15486</v>
      </c>
      <c r="Q120" s="110">
        <f t="shared" si="30"/>
        <v>99.9</v>
      </c>
      <c r="R120" s="110">
        <f t="shared" si="30"/>
        <v>153.1</v>
      </c>
      <c r="S120" s="110">
        <f t="shared" si="30"/>
        <v>759.04</v>
      </c>
      <c r="T120" s="110">
        <f t="shared" si="30"/>
        <v>0</v>
      </c>
      <c r="U120" s="110">
        <f t="shared" si="30"/>
        <v>15486</v>
      </c>
      <c r="V120" s="110">
        <f>V123</f>
        <v>30.87</v>
      </c>
      <c r="W120" s="110">
        <f>W122+W123+W121+W124</f>
        <v>183.87</v>
      </c>
      <c r="X120" s="110">
        <f t="shared" ref="X120:AE120" si="31">X122+X123+X121+X124</f>
        <v>132.80500000000001</v>
      </c>
      <c r="Y120" s="110">
        <f t="shared" si="31"/>
        <v>0</v>
      </c>
      <c r="Z120" s="110">
        <f t="shared" si="31"/>
        <v>136</v>
      </c>
      <c r="AA120" s="110">
        <f t="shared" si="31"/>
        <v>27.524999999999999</v>
      </c>
      <c r="AB120" s="110">
        <f t="shared" si="31"/>
        <v>35</v>
      </c>
      <c r="AC120" s="110">
        <f t="shared" si="31"/>
        <v>69</v>
      </c>
      <c r="AD120" s="110">
        <f t="shared" si="31"/>
        <v>4268.54</v>
      </c>
      <c r="AE120" s="110">
        <f t="shared" si="31"/>
        <v>4403.7619999999997</v>
      </c>
      <c r="AF120" s="1106" t="s">
        <v>700</v>
      </c>
      <c r="AG120" s="99"/>
      <c r="AH120" s="677"/>
      <c r="AI120" s="677"/>
      <c r="AJ120" s="677"/>
      <c r="AK120" s="677"/>
    </row>
    <row r="121" spans="1:37" x14ac:dyDescent="0.3">
      <c r="A121" s="112" t="s">
        <v>169</v>
      </c>
      <c r="B121" s="113"/>
      <c r="C121" s="712"/>
      <c r="D121" s="715"/>
      <c r="E121" s="114"/>
      <c r="F121" s="113"/>
      <c r="G121" s="113"/>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107"/>
      <c r="AG121" s="99"/>
      <c r="AH121" s="677"/>
      <c r="AI121" s="677"/>
      <c r="AJ121" s="677"/>
      <c r="AK121" s="677"/>
    </row>
    <row r="122" spans="1:37" x14ac:dyDescent="0.3">
      <c r="A122" s="112" t="s">
        <v>32</v>
      </c>
      <c r="B122" s="113">
        <f>J122+L122+N122+P122+R122+T122+V122+X122+Z122+AB122+AD122+H122</f>
        <v>0</v>
      </c>
      <c r="C122" s="712">
        <f>H122+J122+L122+N122+P122+R122+T122+V122+X122+Z122+AB122+AD122</f>
        <v>0</v>
      </c>
      <c r="D122" s="715">
        <v>0</v>
      </c>
      <c r="E122" s="114">
        <f>SUM(I122,K122,M122,O122,Q122,S122,U122,W122,Y122,AA122,AC122,AE122)</f>
        <v>0</v>
      </c>
      <c r="F122" s="113">
        <f>IFERROR(E122/B122*100,0)</f>
        <v>0</v>
      </c>
      <c r="G122" s="113">
        <f>IFERROR(E122/C122*100,0)</f>
        <v>0</v>
      </c>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107"/>
      <c r="AG122" s="99"/>
      <c r="AH122" s="677"/>
      <c r="AI122" s="677"/>
      <c r="AJ122" s="677"/>
      <c r="AK122" s="677"/>
    </row>
    <row r="123" spans="1:37" x14ac:dyDescent="0.3">
      <c r="A123" s="112" t="s">
        <v>33</v>
      </c>
      <c r="B123" s="113">
        <f>J123+L123+N123+P123+R123+T123+V123+X123+Z123+AB123+AD123+H123</f>
        <v>22543.795000000002</v>
      </c>
      <c r="C123" s="712">
        <f>H123+J123+L123+N123+P123+R123+T123+V123+X123+Z123+AB123+AD123</f>
        <v>22543.795000000002</v>
      </c>
      <c r="D123" s="715">
        <v>22400.44</v>
      </c>
      <c r="E123" s="114">
        <f>SUM(I123,K123,M123,O123,Q123,S123,U123,W123,Y123,AA123,AC123,AE123)</f>
        <v>22400.437000000002</v>
      </c>
      <c r="F123" s="113">
        <f>IFERROR(E123/B123*100,0)</f>
        <v>99.364091094689243</v>
      </c>
      <c r="G123" s="113">
        <f>IFERROR(E123/C123*100,0)</f>
        <v>99.364091094689243</v>
      </c>
      <c r="H123" s="108">
        <v>0</v>
      </c>
      <c r="I123" s="108">
        <v>0</v>
      </c>
      <c r="J123" s="108">
        <v>220.02</v>
      </c>
      <c r="K123" s="108">
        <v>72</v>
      </c>
      <c r="L123" s="108">
        <v>1174.94</v>
      </c>
      <c r="M123" s="108">
        <v>315.49</v>
      </c>
      <c r="N123" s="108">
        <v>1011.8</v>
      </c>
      <c r="O123" s="108">
        <v>1089.1300000000001</v>
      </c>
      <c r="P123" s="108">
        <v>15486</v>
      </c>
      <c r="Q123" s="108">
        <v>99.9</v>
      </c>
      <c r="R123" s="108">
        <v>153.1</v>
      </c>
      <c r="S123" s="108">
        <v>759.04</v>
      </c>
      <c r="T123" s="108">
        <v>0</v>
      </c>
      <c r="U123" s="108">
        <v>15486</v>
      </c>
      <c r="V123" s="108">
        <v>30.87</v>
      </c>
      <c r="W123" s="108">
        <v>183.87</v>
      </c>
      <c r="X123" s="108">
        <v>27.524999999999999</v>
      </c>
      <c r="Y123" s="108">
        <v>0</v>
      </c>
      <c r="Z123" s="108">
        <v>136</v>
      </c>
      <c r="AA123" s="108">
        <v>27.524999999999999</v>
      </c>
      <c r="AB123" s="108">
        <v>35</v>
      </c>
      <c r="AC123" s="108">
        <v>69</v>
      </c>
      <c r="AD123" s="1085">
        <f>4069.3+199.24</f>
        <v>4268.54</v>
      </c>
      <c r="AE123" s="1085">
        <v>4298.482</v>
      </c>
      <c r="AF123" s="1108"/>
      <c r="AG123" s="99"/>
      <c r="AH123" s="677"/>
      <c r="AI123" s="677"/>
      <c r="AJ123" s="677"/>
      <c r="AK123" s="677"/>
    </row>
    <row r="124" spans="1:37" x14ac:dyDescent="0.3">
      <c r="A124" s="119" t="s">
        <v>170</v>
      </c>
      <c r="B124" s="113">
        <f>J124+L124+N124+P124+R124+T124+V124+X124+Z124+AB124+AD124+H124</f>
        <v>105.28</v>
      </c>
      <c r="C124" s="712">
        <f>H124+J124+L124+N124+P124+R124+T124+V124+X124+Z124+AB124+AD124</f>
        <v>105.28</v>
      </c>
      <c r="D124" s="715">
        <f>E124</f>
        <v>105.28</v>
      </c>
      <c r="E124" s="114">
        <f>SUM(I124,K124,M124,O124,Q124,S124,U124,W124,Y124,AA124,AC124,AE124)</f>
        <v>105.28</v>
      </c>
      <c r="F124" s="113">
        <f>IFERROR(E124/B124*100,0)</f>
        <v>100</v>
      </c>
      <c r="G124" s="113">
        <f>IFERROR(E124/C124*100,0)</f>
        <v>100</v>
      </c>
      <c r="H124" s="108">
        <v>0</v>
      </c>
      <c r="I124" s="108">
        <v>0</v>
      </c>
      <c r="J124" s="108">
        <v>0</v>
      </c>
      <c r="K124" s="108">
        <v>0</v>
      </c>
      <c r="L124" s="108">
        <v>0</v>
      </c>
      <c r="M124" s="108">
        <v>0</v>
      </c>
      <c r="N124" s="108">
        <v>0</v>
      </c>
      <c r="O124" s="108">
        <v>0</v>
      </c>
      <c r="P124" s="108">
        <v>0</v>
      </c>
      <c r="Q124" s="108">
        <v>0</v>
      </c>
      <c r="R124" s="108">
        <v>0</v>
      </c>
      <c r="S124" s="108">
        <v>0</v>
      </c>
      <c r="T124" s="108">
        <v>0</v>
      </c>
      <c r="U124" s="108">
        <v>0</v>
      </c>
      <c r="V124" s="108">
        <v>0</v>
      </c>
      <c r="W124" s="499">
        <v>0</v>
      </c>
      <c r="X124" s="499">
        <v>105.28</v>
      </c>
      <c r="Y124" s="499">
        <v>0</v>
      </c>
      <c r="Z124" s="499">
        <v>0</v>
      </c>
      <c r="AA124" s="499">
        <v>0</v>
      </c>
      <c r="AB124" s="499">
        <v>0</v>
      </c>
      <c r="AC124" s="499">
        <v>0</v>
      </c>
      <c r="AD124" s="499">
        <v>0</v>
      </c>
      <c r="AE124" s="499">
        <v>105.28</v>
      </c>
      <c r="AF124" s="1109"/>
      <c r="AG124" s="99"/>
      <c r="AH124" s="677"/>
      <c r="AI124" s="677"/>
      <c r="AJ124" s="677"/>
      <c r="AK124" s="677"/>
    </row>
    <row r="125" spans="1:37" ht="56.25" x14ac:dyDescent="0.3">
      <c r="A125" s="124" t="s">
        <v>187</v>
      </c>
      <c r="B125" s="127"/>
      <c r="C125" s="128"/>
      <c r="D125" s="128"/>
      <c r="E125" s="128"/>
      <c r="F125" s="128"/>
      <c r="G125" s="128"/>
      <c r="H125" s="108"/>
      <c r="I125" s="108"/>
      <c r="J125" s="108"/>
      <c r="K125" s="108"/>
      <c r="L125" s="108"/>
      <c r="M125" s="108"/>
      <c r="N125" s="108"/>
      <c r="O125" s="108"/>
      <c r="P125" s="108"/>
      <c r="Q125" s="108"/>
      <c r="R125" s="108"/>
      <c r="S125" s="108"/>
      <c r="T125" s="108"/>
      <c r="U125" s="108"/>
      <c r="V125" s="108"/>
      <c r="W125" s="499"/>
      <c r="X125" s="499"/>
      <c r="Y125" s="499"/>
      <c r="Z125" s="499"/>
      <c r="AA125" s="499"/>
      <c r="AB125" s="499"/>
      <c r="AC125" s="499"/>
      <c r="AD125" s="499"/>
      <c r="AE125" s="499"/>
      <c r="AF125" s="1103"/>
      <c r="AG125" s="99"/>
      <c r="AH125" s="677"/>
      <c r="AI125" s="677"/>
      <c r="AJ125" s="677"/>
      <c r="AK125" s="677"/>
    </row>
    <row r="126" spans="1:37" x14ac:dyDescent="0.3">
      <c r="A126" s="109" t="s">
        <v>31</v>
      </c>
      <c r="B126" s="727">
        <f>B128+B129+B127+B130</f>
        <v>2525</v>
      </c>
      <c r="C126" s="727">
        <f>C128+C129+C127+C130</f>
        <v>2525</v>
      </c>
      <c r="D126" s="110">
        <f>D128+D129+D127+D130</f>
        <v>2525</v>
      </c>
      <c r="E126" s="110">
        <f>E128+E129+E127+E130</f>
        <v>2525</v>
      </c>
      <c r="F126" s="110">
        <f>IFERROR(E126/B126*100,0)</f>
        <v>100</v>
      </c>
      <c r="G126" s="110">
        <f>IFERROR(E126/C126*100,0)</f>
        <v>100</v>
      </c>
      <c r="H126" s="110">
        <f t="shared" ref="H126:AE126" si="32">H128+H129+H127+H130</f>
        <v>0</v>
      </c>
      <c r="I126" s="110">
        <f t="shared" si="32"/>
        <v>0</v>
      </c>
      <c r="J126" s="110">
        <f t="shared" si="32"/>
        <v>2525</v>
      </c>
      <c r="K126" s="110">
        <f t="shared" si="32"/>
        <v>0</v>
      </c>
      <c r="L126" s="110">
        <f t="shared" si="32"/>
        <v>0</v>
      </c>
      <c r="M126" s="110">
        <f t="shared" si="32"/>
        <v>1262.5</v>
      </c>
      <c r="N126" s="110">
        <f t="shared" si="32"/>
        <v>0</v>
      </c>
      <c r="O126" s="110">
        <f t="shared" si="32"/>
        <v>0</v>
      </c>
      <c r="P126" s="110">
        <f t="shared" si="32"/>
        <v>0</v>
      </c>
      <c r="Q126" s="110">
        <f t="shared" si="32"/>
        <v>0</v>
      </c>
      <c r="R126" s="110">
        <f t="shared" si="32"/>
        <v>0</v>
      </c>
      <c r="S126" s="110">
        <f t="shared" si="32"/>
        <v>0</v>
      </c>
      <c r="T126" s="110">
        <f t="shared" si="32"/>
        <v>0</v>
      </c>
      <c r="U126" s="110">
        <f t="shared" si="32"/>
        <v>1262.5</v>
      </c>
      <c r="V126" s="110">
        <f t="shared" si="32"/>
        <v>0</v>
      </c>
      <c r="W126" s="110">
        <f t="shared" si="32"/>
        <v>0</v>
      </c>
      <c r="X126" s="110">
        <f t="shared" si="32"/>
        <v>0</v>
      </c>
      <c r="Y126" s="110">
        <f t="shared" si="32"/>
        <v>0</v>
      </c>
      <c r="Z126" s="110">
        <f t="shared" si="32"/>
        <v>0</v>
      </c>
      <c r="AA126" s="110">
        <f t="shared" si="32"/>
        <v>0</v>
      </c>
      <c r="AB126" s="110">
        <f t="shared" si="32"/>
        <v>0</v>
      </c>
      <c r="AC126" s="110">
        <f t="shared" si="32"/>
        <v>0</v>
      </c>
      <c r="AD126" s="110">
        <f t="shared" si="32"/>
        <v>0</v>
      </c>
      <c r="AE126" s="110">
        <f t="shared" si="32"/>
        <v>0</v>
      </c>
      <c r="AF126" s="1100"/>
      <c r="AG126" s="99"/>
      <c r="AH126" s="677"/>
      <c r="AI126" s="677"/>
      <c r="AJ126" s="677"/>
      <c r="AK126" s="677"/>
    </row>
    <row r="127" spans="1:37" x14ac:dyDescent="0.3">
      <c r="A127" s="112" t="s">
        <v>169</v>
      </c>
      <c r="B127" s="113">
        <f>H127+J127+L127+N127+P127+R127+T127+V127+X127+Z127+AB127+AD127</f>
        <v>0</v>
      </c>
      <c r="C127" s="730">
        <f>SUM(H127)</f>
        <v>0</v>
      </c>
      <c r="D127" s="115">
        <f>E127</f>
        <v>0</v>
      </c>
      <c r="E127" s="114">
        <f>SUM(I127,K127,M127,O127,Q127,S127,U127,W127,Y127,AA127,AC127,AE127)</f>
        <v>0</v>
      </c>
      <c r="F127" s="113">
        <f>IFERROR(E127/B127*100,0)</f>
        <v>0</v>
      </c>
      <c r="G127" s="113">
        <f>IFERROR(E127/C127*100,0)</f>
        <v>0</v>
      </c>
      <c r="H127" s="108"/>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100"/>
      <c r="AG127" s="99"/>
      <c r="AH127" s="677"/>
      <c r="AI127" s="677"/>
      <c r="AJ127" s="677"/>
      <c r="AK127" s="677"/>
    </row>
    <row r="128" spans="1:37" x14ac:dyDescent="0.3">
      <c r="A128" s="112" t="s">
        <v>32</v>
      </c>
      <c r="B128" s="113">
        <f>J128+L128+N128+P128+R128+T128+V128+X128+Z128+AB128+AD128+H128</f>
        <v>0</v>
      </c>
      <c r="C128" s="730">
        <f>SUM(H128)</f>
        <v>0</v>
      </c>
      <c r="D128" s="115">
        <f>E128</f>
        <v>0</v>
      </c>
      <c r="E128" s="114">
        <f>SUM(I128,K128,M128,O128,Q128,S128,U128,W128,Y128,AA128,AC128,AE128)</f>
        <v>0</v>
      </c>
      <c r="F128" s="113">
        <f>IFERROR(E128/B128*100,0)</f>
        <v>0</v>
      </c>
      <c r="G128" s="113">
        <f>IFERROR(E128/C128*100,0)</f>
        <v>0</v>
      </c>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100"/>
      <c r="AG128" s="99"/>
      <c r="AH128" s="677"/>
      <c r="AI128" s="677"/>
      <c r="AJ128" s="677"/>
      <c r="AK128" s="677"/>
    </row>
    <row r="129" spans="1:37" x14ac:dyDescent="0.3">
      <c r="A129" s="112" t="s">
        <v>33</v>
      </c>
      <c r="B129" s="113">
        <f>J129+L129+N129+P129+R129+T129+V129+X129+Z129+AB129+AD129+H129</f>
        <v>2525</v>
      </c>
      <c r="C129" s="730">
        <f>SUM(H129+J129+L129)</f>
        <v>2525</v>
      </c>
      <c r="D129" s="115">
        <f>E129</f>
        <v>2525</v>
      </c>
      <c r="E129" s="114">
        <f>SUM(I129,K129,M129,O129,Q129,S129,U129,W129,Y129,AA129,AC129,AE129)</f>
        <v>2525</v>
      </c>
      <c r="F129" s="113">
        <f>IFERROR(E129/B129*100,0)</f>
        <v>100</v>
      </c>
      <c r="G129" s="113">
        <f>IFERROR(E129/C129*100,0)</f>
        <v>100</v>
      </c>
      <c r="H129" s="108">
        <v>0</v>
      </c>
      <c r="I129" s="108">
        <v>0</v>
      </c>
      <c r="J129" s="108">
        <v>2525</v>
      </c>
      <c r="K129" s="108">
        <v>0</v>
      </c>
      <c r="L129" s="108">
        <v>0</v>
      </c>
      <c r="M129" s="108">
        <v>1262.5</v>
      </c>
      <c r="N129" s="108">
        <v>0</v>
      </c>
      <c r="O129" s="108">
        <v>0</v>
      </c>
      <c r="P129" s="108">
        <v>0</v>
      </c>
      <c r="Q129" s="108">
        <v>0</v>
      </c>
      <c r="R129" s="108">
        <v>0</v>
      </c>
      <c r="S129" s="108">
        <v>0</v>
      </c>
      <c r="T129" s="108">
        <v>0</v>
      </c>
      <c r="U129" s="108">
        <v>1262.5</v>
      </c>
      <c r="V129" s="108">
        <v>0</v>
      </c>
      <c r="W129" s="108">
        <v>0</v>
      </c>
      <c r="X129" s="108">
        <v>0</v>
      </c>
      <c r="Y129" s="108">
        <v>0</v>
      </c>
      <c r="Z129" s="108">
        <v>0</v>
      </c>
      <c r="AA129" s="108">
        <v>0</v>
      </c>
      <c r="AB129" s="108">
        <v>0</v>
      </c>
      <c r="AC129" s="108">
        <v>0</v>
      </c>
      <c r="AD129" s="108">
        <v>0</v>
      </c>
      <c r="AE129" s="108">
        <v>0</v>
      </c>
      <c r="AF129" s="1100"/>
      <c r="AG129" s="99"/>
      <c r="AH129" s="677"/>
      <c r="AI129" s="677"/>
      <c r="AJ129" s="677"/>
      <c r="AK129" s="677"/>
    </row>
    <row r="130" spans="1:37" x14ac:dyDescent="0.3">
      <c r="A130" s="119" t="s">
        <v>170</v>
      </c>
      <c r="B130" s="113">
        <f>J130+L130+N130+P130+R130+T130+V130+X130+Z130+AB130+AD130+H130</f>
        <v>0</v>
      </c>
      <c r="C130" s="114">
        <f>SUM(H130)</f>
        <v>0</v>
      </c>
      <c r="D130" s="115">
        <f>E130</f>
        <v>0</v>
      </c>
      <c r="E130" s="114">
        <f>SUM(I130,K130,M130,O130,Q130,S130,U130,W130,Y130,AA130,AC130,AE130)</f>
        <v>0</v>
      </c>
      <c r="F130" s="113">
        <f>IFERROR(E130/B130*100,0)</f>
        <v>0</v>
      </c>
      <c r="G130" s="113">
        <f>IFERROR(E130/C130*100,0)</f>
        <v>0</v>
      </c>
      <c r="H130" s="108"/>
      <c r="I130" s="108"/>
      <c r="J130" s="108"/>
      <c r="K130" s="108">
        <v>0</v>
      </c>
      <c r="L130" s="108"/>
      <c r="M130" s="108"/>
      <c r="N130" s="108"/>
      <c r="O130" s="108"/>
      <c r="P130" s="108"/>
      <c r="Q130" s="108"/>
      <c r="R130" s="108"/>
      <c r="S130" s="108"/>
      <c r="T130" s="108"/>
      <c r="U130" s="108"/>
      <c r="V130" s="108"/>
      <c r="W130" s="108"/>
      <c r="X130" s="108"/>
      <c r="Y130" s="108"/>
      <c r="Z130" s="108"/>
      <c r="AA130" s="108"/>
      <c r="AB130" s="108"/>
      <c r="AC130" s="108"/>
      <c r="AD130" s="108"/>
      <c r="AE130" s="108"/>
      <c r="AF130" s="1100"/>
      <c r="AG130" s="99"/>
      <c r="AH130" s="677"/>
      <c r="AI130" s="677"/>
      <c r="AJ130" s="677"/>
      <c r="AK130" s="677"/>
    </row>
    <row r="131" spans="1:37" ht="56.25" x14ac:dyDescent="0.3">
      <c r="A131" s="119" t="s">
        <v>188</v>
      </c>
      <c r="B131" s="113"/>
      <c r="C131" s="120"/>
      <c r="D131" s="120"/>
      <c r="E131" s="120"/>
      <c r="F131" s="120"/>
      <c r="G131" s="120"/>
      <c r="H131" s="108"/>
      <c r="I131" s="108"/>
      <c r="J131" s="108"/>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709" t="s">
        <v>577</v>
      </c>
      <c r="AG131" s="99"/>
      <c r="AH131" s="677"/>
      <c r="AI131" s="677"/>
      <c r="AJ131" s="677"/>
      <c r="AK131" s="677"/>
    </row>
    <row r="132" spans="1:37" x14ac:dyDescent="0.3">
      <c r="A132" s="109" t="s">
        <v>31</v>
      </c>
      <c r="B132" s="727">
        <f>B134+B135+B133+B136</f>
        <v>331</v>
      </c>
      <c r="C132" s="591">
        <f>C134+C135+C133+C136</f>
        <v>331</v>
      </c>
      <c r="D132" s="727">
        <f>D134+D135+D133+D136</f>
        <v>331</v>
      </c>
      <c r="E132" s="110">
        <f>E134+E135+E133+E136</f>
        <v>331</v>
      </c>
      <c r="F132" s="110">
        <f>IFERROR(E132/B132*100,0)</f>
        <v>100</v>
      </c>
      <c r="G132" s="110">
        <f>IFERROR(E132/C132*100,0)</f>
        <v>100</v>
      </c>
      <c r="H132" s="110">
        <f t="shared" ref="H132:AE132" si="33">H134+H135+H133+H136</f>
        <v>0</v>
      </c>
      <c r="I132" s="110">
        <f t="shared" si="33"/>
        <v>0</v>
      </c>
      <c r="J132" s="110">
        <f t="shared" si="33"/>
        <v>0</v>
      </c>
      <c r="K132" s="110">
        <f t="shared" si="33"/>
        <v>0</v>
      </c>
      <c r="L132" s="110">
        <f t="shared" si="33"/>
        <v>0</v>
      </c>
      <c r="M132" s="110">
        <f t="shared" si="33"/>
        <v>0</v>
      </c>
      <c r="N132" s="110">
        <f t="shared" si="33"/>
        <v>0</v>
      </c>
      <c r="O132" s="110">
        <f t="shared" si="33"/>
        <v>0</v>
      </c>
      <c r="P132" s="110">
        <f t="shared" si="33"/>
        <v>331</v>
      </c>
      <c r="Q132" s="110">
        <f t="shared" si="33"/>
        <v>0</v>
      </c>
      <c r="R132" s="110">
        <f t="shared" si="33"/>
        <v>0</v>
      </c>
      <c r="S132" s="110">
        <f t="shared" si="33"/>
        <v>331</v>
      </c>
      <c r="T132" s="110">
        <f t="shared" si="33"/>
        <v>0</v>
      </c>
      <c r="U132" s="110">
        <f t="shared" si="33"/>
        <v>0</v>
      </c>
      <c r="V132" s="110">
        <f t="shared" si="33"/>
        <v>0</v>
      </c>
      <c r="W132" s="110">
        <f t="shared" si="33"/>
        <v>0</v>
      </c>
      <c r="X132" s="110">
        <f t="shared" si="33"/>
        <v>0</v>
      </c>
      <c r="Y132" s="110">
        <f t="shared" si="33"/>
        <v>0</v>
      </c>
      <c r="Z132" s="110">
        <f t="shared" si="33"/>
        <v>0</v>
      </c>
      <c r="AA132" s="110">
        <f t="shared" si="33"/>
        <v>0</v>
      </c>
      <c r="AB132" s="110">
        <f t="shared" si="33"/>
        <v>0</v>
      </c>
      <c r="AC132" s="110">
        <f t="shared" si="33"/>
        <v>0</v>
      </c>
      <c r="AD132" s="110">
        <f t="shared" si="33"/>
        <v>0</v>
      </c>
      <c r="AE132" s="110">
        <f t="shared" si="33"/>
        <v>0</v>
      </c>
      <c r="AF132" s="1100"/>
      <c r="AG132" s="99"/>
      <c r="AH132" s="677"/>
      <c r="AI132" s="677"/>
      <c r="AJ132" s="677"/>
      <c r="AK132" s="677"/>
    </row>
    <row r="133" spans="1:37" x14ac:dyDescent="0.3">
      <c r="A133" s="112" t="s">
        <v>169</v>
      </c>
      <c r="B133" s="113">
        <f>H133+J133+L133+N133+P133+R133+T133+V133+X133+Z133+AB133+AD133</f>
        <v>0</v>
      </c>
      <c r="C133" s="712">
        <f>SUM(H133)</f>
        <v>0</v>
      </c>
      <c r="D133" s="115">
        <f>E133</f>
        <v>0</v>
      </c>
      <c r="E133" s="114">
        <f>SUM(I133,K133,M133,O133,Q133,S133,U133,W133,Y133,AA133,AC133,AE133)</f>
        <v>0</v>
      </c>
      <c r="F133" s="113">
        <f>IFERROR(E133/B133*100,0)</f>
        <v>0</v>
      </c>
      <c r="G133" s="113">
        <f>IFERROR(E133/C133*100,0)</f>
        <v>0</v>
      </c>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100"/>
      <c r="AG133" s="99"/>
      <c r="AH133" s="677"/>
      <c r="AI133" s="677"/>
      <c r="AJ133" s="677"/>
      <c r="AK133" s="677"/>
    </row>
    <row r="134" spans="1:37" x14ac:dyDescent="0.3">
      <c r="A134" s="112" t="s">
        <v>32</v>
      </c>
      <c r="B134" s="113">
        <f>J134+L134+N134+P134+R134+T134+V134+X134+Z134+AB134+AD134+H134</f>
        <v>0</v>
      </c>
      <c r="C134" s="712">
        <f>SUM(H134)</f>
        <v>0</v>
      </c>
      <c r="D134" s="115">
        <f>E134</f>
        <v>0</v>
      </c>
      <c r="E134" s="114">
        <f>SUM(I134,K134,M134,O134,Q134,S134,U134,W134,Y134,AA134,AC134,AE134)</f>
        <v>0</v>
      </c>
      <c r="F134" s="113">
        <f>IFERROR(E134/B134*100,0)</f>
        <v>0</v>
      </c>
      <c r="G134" s="113">
        <f>IFERROR(E134/C134*100,0)</f>
        <v>0</v>
      </c>
      <c r="H134" s="108">
        <v>0</v>
      </c>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100"/>
      <c r="AG134" s="99"/>
      <c r="AH134" s="677"/>
      <c r="AI134" s="677"/>
      <c r="AJ134" s="677"/>
      <c r="AK134" s="677"/>
    </row>
    <row r="135" spans="1:37" x14ac:dyDescent="0.3">
      <c r="A135" s="112" t="s">
        <v>33</v>
      </c>
      <c r="B135" s="113">
        <f>J135+L135+N135+P135+R135+T135+V135+X135+Z135+AB135+AD135+H135</f>
        <v>331</v>
      </c>
      <c r="C135" s="712">
        <f>H135+J135+L135+N135+P135+R135+T135+V135+X135+Z135+AB135+AD135</f>
        <v>331</v>
      </c>
      <c r="D135" s="115">
        <f>E135</f>
        <v>331</v>
      </c>
      <c r="E135" s="114">
        <f>SUM(I135,K135,M135,O135,Q135,S135,U135,W135,Y135,AA135,AC135,AE135)</f>
        <v>331</v>
      </c>
      <c r="F135" s="113">
        <f>IFERROR(E135/B135*100,0)</f>
        <v>100</v>
      </c>
      <c r="G135" s="113">
        <f>IFERROR(E135/C135*100,0)</f>
        <v>100</v>
      </c>
      <c r="H135" s="108">
        <v>0</v>
      </c>
      <c r="I135" s="108">
        <v>0</v>
      </c>
      <c r="J135" s="108">
        <v>0</v>
      </c>
      <c r="K135" s="108">
        <v>0</v>
      </c>
      <c r="L135" s="108">
        <v>0</v>
      </c>
      <c r="M135" s="108">
        <v>0</v>
      </c>
      <c r="N135" s="108">
        <v>0</v>
      </c>
      <c r="O135" s="108">
        <v>0</v>
      </c>
      <c r="P135" s="108">
        <v>331</v>
      </c>
      <c r="Q135" s="108">
        <v>0</v>
      </c>
      <c r="R135" s="108">
        <v>0</v>
      </c>
      <c r="S135" s="108">
        <v>331</v>
      </c>
      <c r="T135" s="108">
        <v>0</v>
      </c>
      <c r="U135" s="108">
        <v>0</v>
      </c>
      <c r="V135" s="108">
        <v>0</v>
      </c>
      <c r="W135" s="108">
        <v>0</v>
      </c>
      <c r="X135" s="108">
        <v>0</v>
      </c>
      <c r="Y135" s="108">
        <v>0</v>
      </c>
      <c r="Z135" s="108">
        <v>0</v>
      </c>
      <c r="AA135" s="108">
        <v>0</v>
      </c>
      <c r="AB135" s="108">
        <v>0</v>
      </c>
      <c r="AC135" s="108">
        <v>0</v>
      </c>
      <c r="AD135" s="108">
        <v>0</v>
      </c>
      <c r="AE135" s="108">
        <v>0</v>
      </c>
      <c r="AF135" s="1100"/>
      <c r="AG135" s="99"/>
      <c r="AH135" s="677"/>
      <c r="AI135" s="677"/>
      <c r="AJ135" s="677"/>
      <c r="AK135" s="677"/>
    </row>
    <row r="136" spans="1:37" x14ac:dyDescent="0.3">
      <c r="A136" s="119" t="s">
        <v>170</v>
      </c>
      <c r="B136" s="113">
        <f>J136+L136+N136+P136+R136+T136+V136+X136+Z136+AB136+AD136+H136</f>
        <v>0</v>
      </c>
      <c r="C136" s="712">
        <f>SUM(H136)</f>
        <v>0</v>
      </c>
      <c r="D136" s="115">
        <f>E136</f>
        <v>0</v>
      </c>
      <c r="E136" s="114">
        <f>SUM(I136,K136,M136,O136,Q136,S136,U136,W136,Y136,AA136,AC136,AE136)</f>
        <v>0</v>
      </c>
      <c r="F136" s="113">
        <f>IFERROR(E136/B136*100,0)</f>
        <v>0</v>
      </c>
      <c r="G136" s="113">
        <f>IFERROR(E136/C136*100,0)</f>
        <v>0</v>
      </c>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100"/>
      <c r="AG136" s="99"/>
      <c r="AH136" s="677"/>
      <c r="AI136" s="677"/>
      <c r="AJ136" s="677"/>
      <c r="AK136" s="677"/>
    </row>
    <row r="137" spans="1:37" ht="37.5" x14ac:dyDescent="0.3">
      <c r="A137" s="121" t="s">
        <v>189</v>
      </c>
      <c r="B137" s="101"/>
      <c r="C137" s="122"/>
      <c r="D137" s="122"/>
      <c r="E137" s="122"/>
      <c r="F137" s="122"/>
      <c r="G137" s="122"/>
      <c r="H137" s="122"/>
      <c r="I137" s="122"/>
      <c r="J137" s="122"/>
      <c r="K137" s="122"/>
      <c r="L137" s="122"/>
      <c r="M137" s="122"/>
      <c r="N137" s="122"/>
      <c r="O137" s="122"/>
      <c r="P137" s="122"/>
      <c r="Q137" s="122"/>
      <c r="R137" s="122"/>
      <c r="S137" s="122"/>
      <c r="T137" s="122"/>
      <c r="U137" s="122"/>
      <c r="V137" s="122"/>
      <c r="W137" s="122"/>
      <c r="X137" s="122"/>
      <c r="Y137" s="122"/>
      <c r="Z137" s="122"/>
      <c r="AA137" s="122"/>
      <c r="AB137" s="122"/>
      <c r="AC137" s="122"/>
      <c r="AD137" s="122"/>
      <c r="AE137" s="122"/>
      <c r="AF137" s="1100"/>
      <c r="AG137" s="99"/>
      <c r="AH137" s="677"/>
      <c r="AI137" s="677"/>
      <c r="AJ137" s="677"/>
      <c r="AK137" s="677"/>
    </row>
    <row r="138" spans="1:37" x14ac:dyDescent="0.3">
      <c r="A138" s="125" t="s">
        <v>31</v>
      </c>
      <c r="B138" s="101">
        <f>B139+B140+B141+B142</f>
        <v>114599.798</v>
      </c>
      <c r="C138" s="101">
        <f>C139+C140+C141</f>
        <v>114599.79800000001</v>
      </c>
      <c r="D138" s="101">
        <f>D139+D140+D141</f>
        <v>112068.558</v>
      </c>
      <c r="E138" s="101">
        <f>E139+E140+E141</f>
        <v>107453.79999999999</v>
      </c>
      <c r="F138" s="101">
        <f>E138/B138*100</f>
        <v>93.764388659742664</v>
      </c>
      <c r="G138" s="101">
        <f>E138/C138*100</f>
        <v>93.76438865974265</v>
      </c>
      <c r="H138" s="101">
        <f>H139+H140+H141</f>
        <v>3705.29</v>
      </c>
      <c r="I138" s="101">
        <f t="shared" ref="I138:AE138" si="34">I139+I140+I141</f>
        <v>1612.47</v>
      </c>
      <c r="J138" s="101">
        <f t="shared" si="34"/>
        <v>8006.5599999999995</v>
      </c>
      <c r="K138" s="101">
        <f t="shared" si="34"/>
        <v>5898.18</v>
      </c>
      <c r="L138" s="101">
        <f t="shared" si="34"/>
        <v>6365.3459999999995</v>
      </c>
      <c r="M138" s="101">
        <f t="shared" si="34"/>
        <v>7687.46</v>
      </c>
      <c r="N138" s="101">
        <f t="shared" si="34"/>
        <v>9373.1649999999991</v>
      </c>
      <c r="O138" s="101">
        <f t="shared" si="34"/>
        <v>5778.16</v>
      </c>
      <c r="P138" s="101">
        <f t="shared" si="34"/>
        <v>10691.43</v>
      </c>
      <c r="Q138" s="101">
        <f t="shared" si="34"/>
        <v>7387.26</v>
      </c>
      <c r="R138" s="101">
        <f t="shared" si="34"/>
        <v>10552.17</v>
      </c>
      <c r="S138" s="101">
        <f t="shared" si="34"/>
        <v>18383.62</v>
      </c>
      <c r="T138" s="101">
        <f t="shared" si="34"/>
        <v>10644.611000000001</v>
      </c>
      <c r="U138" s="101">
        <f t="shared" si="34"/>
        <v>5556.95</v>
      </c>
      <c r="V138" s="101">
        <f t="shared" si="34"/>
        <v>8534.3719999999994</v>
      </c>
      <c r="W138" s="101">
        <f t="shared" si="34"/>
        <v>1830.55</v>
      </c>
      <c r="X138" s="101">
        <f t="shared" si="34"/>
        <v>5592.4549999999999</v>
      </c>
      <c r="Y138" s="101">
        <f t="shared" si="34"/>
        <v>9379.7199999999993</v>
      </c>
      <c r="Z138" s="101">
        <f t="shared" si="34"/>
        <v>13037.91</v>
      </c>
      <c r="AA138" s="101">
        <f t="shared" si="34"/>
        <v>14494.65</v>
      </c>
      <c r="AB138" s="101">
        <f t="shared" si="34"/>
        <v>12624.468999999999</v>
      </c>
      <c r="AC138" s="101">
        <f t="shared" si="34"/>
        <v>8061</v>
      </c>
      <c r="AD138" s="101">
        <f t="shared" si="34"/>
        <v>15472.02</v>
      </c>
      <c r="AE138" s="101">
        <f t="shared" si="34"/>
        <v>21383.78</v>
      </c>
      <c r="AF138" s="1100"/>
      <c r="AG138" s="99"/>
      <c r="AH138" s="677"/>
      <c r="AI138" s="677"/>
      <c r="AJ138" s="677"/>
      <c r="AK138" s="677"/>
    </row>
    <row r="139" spans="1:37" x14ac:dyDescent="0.3">
      <c r="A139" s="126" t="s">
        <v>169</v>
      </c>
      <c r="B139" s="104"/>
      <c r="C139" s="104"/>
      <c r="D139" s="104"/>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4"/>
      <c r="AA139" s="104"/>
      <c r="AB139" s="104"/>
      <c r="AC139" s="104"/>
      <c r="AD139" s="104"/>
      <c r="AE139" s="104"/>
      <c r="AF139" s="1100"/>
      <c r="AG139" s="99"/>
      <c r="AH139" s="677"/>
      <c r="AI139" s="677"/>
      <c r="AJ139" s="677"/>
      <c r="AK139" s="677"/>
    </row>
    <row r="140" spans="1:37" x14ac:dyDescent="0.3">
      <c r="A140" s="126" t="s">
        <v>32</v>
      </c>
      <c r="B140" s="104"/>
      <c r="C140" s="104"/>
      <c r="D140" s="104"/>
      <c r="E140" s="104"/>
      <c r="F140" s="104"/>
      <c r="G140" s="104"/>
      <c r="H140" s="104"/>
      <c r="I140" s="104"/>
      <c r="J140" s="104"/>
      <c r="K140" s="104"/>
      <c r="L140" s="104"/>
      <c r="M140" s="104"/>
      <c r="N140" s="104"/>
      <c r="O140" s="104"/>
      <c r="P140" s="104"/>
      <c r="Q140" s="104"/>
      <c r="R140" s="104"/>
      <c r="S140" s="104"/>
      <c r="T140" s="104"/>
      <c r="U140" s="104"/>
      <c r="V140" s="104"/>
      <c r="W140" s="104"/>
      <c r="X140" s="104"/>
      <c r="Y140" s="104"/>
      <c r="Z140" s="104"/>
      <c r="AA140" s="104"/>
      <c r="AB140" s="104"/>
      <c r="AC140" s="104"/>
      <c r="AD140" s="104"/>
      <c r="AE140" s="104"/>
      <c r="AF140" s="1100"/>
      <c r="AG140" s="99"/>
      <c r="AH140" s="677"/>
      <c r="AI140" s="677"/>
      <c r="AJ140" s="677"/>
      <c r="AK140" s="677"/>
    </row>
    <row r="141" spans="1:37" x14ac:dyDescent="0.3">
      <c r="A141" s="126" t="s">
        <v>33</v>
      </c>
      <c r="B141" s="104">
        <f>B147+B160+B166</f>
        <v>114599.798</v>
      </c>
      <c r="C141" s="104">
        <f>C147+C160+C166</f>
        <v>114599.79800000001</v>
      </c>
      <c r="D141" s="104">
        <f>D147+D160+D166</f>
        <v>112068.558</v>
      </c>
      <c r="E141" s="104">
        <f>E147+E160+E166</f>
        <v>107453.79999999999</v>
      </c>
      <c r="F141" s="104">
        <f>IFERROR(E141/B141*100,0)</f>
        <v>93.764388659742664</v>
      </c>
      <c r="G141" s="104">
        <f>IFERROR(E141/C141*100,0)</f>
        <v>93.76438865974265</v>
      </c>
      <c r="H141" s="104">
        <f>H147+H160+H166</f>
        <v>3705.29</v>
      </c>
      <c r="I141" s="104">
        <f t="shared" ref="I141:AE141" si="35">I147+I160+I166</f>
        <v>1612.47</v>
      </c>
      <c r="J141" s="104">
        <f t="shared" si="35"/>
        <v>8006.5599999999995</v>
      </c>
      <c r="K141" s="104">
        <f t="shared" si="35"/>
        <v>5898.18</v>
      </c>
      <c r="L141" s="104">
        <f t="shared" si="35"/>
        <v>6365.3459999999995</v>
      </c>
      <c r="M141" s="104">
        <f t="shared" si="35"/>
        <v>7687.46</v>
      </c>
      <c r="N141" s="104">
        <f>N147+N160+N166</f>
        <v>9373.1649999999991</v>
      </c>
      <c r="O141" s="104">
        <f t="shared" si="35"/>
        <v>5778.16</v>
      </c>
      <c r="P141" s="104">
        <f>P147+P160+P166</f>
        <v>10691.43</v>
      </c>
      <c r="Q141" s="104">
        <f t="shared" si="35"/>
        <v>7387.26</v>
      </c>
      <c r="R141" s="104">
        <f t="shared" si="35"/>
        <v>10552.17</v>
      </c>
      <c r="S141" s="104">
        <f t="shared" si="35"/>
        <v>18383.62</v>
      </c>
      <c r="T141" s="104">
        <f t="shared" si="35"/>
        <v>10644.611000000001</v>
      </c>
      <c r="U141" s="104">
        <f t="shared" si="35"/>
        <v>5556.95</v>
      </c>
      <c r="V141" s="104">
        <f t="shared" si="35"/>
        <v>8534.3719999999994</v>
      </c>
      <c r="W141" s="104">
        <f t="shared" si="35"/>
        <v>1830.55</v>
      </c>
      <c r="X141" s="104">
        <f t="shared" si="35"/>
        <v>5592.4549999999999</v>
      </c>
      <c r="Y141" s="104">
        <f t="shared" si="35"/>
        <v>9379.7199999999993</v>
      </c>
      <c r="Z141" s="104">
        <f t="shared" si="35"/>
        <v>13037.91</v>
      </c>
      <c r="AA141" s="104">
        <f t="shared" si="35"/>
        <v>14494.65</v>
      </c>
      <c r="AB141" s="104">
        <f t="shared" si="35"/>
        <v>12624.468999999999</v>
      </c>
      <c r="AC141" s="104">
        <f t="shared" si="35"/>
        <v>8061</v>
      </c>
      <c r="AD141" s="104">
        <f t="shared" si="35"/>
        <v>15472.02</v>
      </c>
      <c r="AE141" s="104">
        <f t="shared" si="35"/>
        <v>21383.78</v>
      </c>
      <c r="AF141" s="1100"/>
      <c r="AG141" s="99"/>
      <c r="AH141" s="677"/>
      <c r="AI141" s="677"/>
      <c r="AJ141" s="677"/>
      <c r="AK141" s="677"/>
    </row>
    <row r="142" spans="1:37" x14ac:dyDescent="0.3">
      <c r="A142" s="126" t="s">
        <v>170</v>
      </c>
      <c r="B142" s="104">
        <f>B148+B161+B167</f>
        <v>0</v>
      </c>
      <c r="C142" s="104"/>
      <c r="D142" s="104"/>
      <c r="E142" s="104"/>
      <c r="F142" s="104"/>
      <c r="G142" s="104"/>
      <c r="H142" s="104"/>
      <c r="I142" s="104"/>
      <c r="J142" s="104"/>
      <c r="K142" s="104"/>
      <c r="L142" s="104"/>
      <c r="M142" s="104"/>
      <c r="N142" s="104"/>
      <c r="O142" s="104"/>
      <c r="P142" s="104"/>
      <c r="Q142" s="104"/>
      <c r="R142" s="104"/>
      <c r="S142" s="104"/>
      <c r="T142" s="104"/>
      <c r="U142" s="104"/>
      <c r="V142" s="104"/>
      <c r="W142" s="104"/>
      <c r="X142" s="104"/>
      <c r="Y142" s="104"/>
      <c r="Z142" s="104"/>
      <c r="AA142" s="104"/>
      <c r="AB142" s="104"/>
      <c r="AC142" s="104"/>
      <c r="AD142" s="104"/>
      <c r="AE142" s="104"/>
      <c r="AF142" s="1100"/>
      <c r="AG142" s="99"/>
      <c r="AH142" s="677"/>
      <c r="AI142" s="677"/>
      <c r="AJ142" s="677"/>
      <c r="AK142" s="677"/>
    </row>
    <row r="143" spans="1:37" ht="112.5" x14ac:dyDescent="0.3">
      <c r="A143" s="105" t="s">
        <v>190</v>
      </c>
      <c r="B143" s="127"/>
      <c r="C143" s="128"/>
      <c r="D143" s="128"/>
      <c r="E143" s="128"/>
      <c r="F143" s="128"/>
      <c r="G143" s="128"/>
      <c r="H143" s="108"/>
      <c r="I143" s="108"/>
      <c r="J143" s="108"/>
      <c r="K143" s="108"/>
      <c r="L143" s="108"/>
      <c r="M143" s="108"/>
      <c r="N143" s="108"/>
      <c r="O143" s="108"/>
      <c r="P143" s="108"/>
      <c r="Q143" s="108"/>
      <c r="R143" s="108"/>
      <c r="S143" s="108"/>
      <c r="T143" s="108"/>
      <c r="U143" s="108"/>
      <c r="V143" s="108"/>
      <c r="W143" s="108"/>
      <c r="X143" s="108"/>
      <c r="Y143" s="108"/>
      <c r="Z143" s="108"/>
      <c r="AA143" s="108"/>
      <c r="AB143" s="108"/>
      <c r="AC143" s="108"/>
      <c r="AD143" s="108"/>
      <c r="AE143" s="108"/>
      <c r="AF143" s="709" t="s">
        <v>529</v>
      </c>
      <c r="AG143" s="99"/>
      <c r="AH143" s="677"/>
      <c r="AI143" s="677"/>
      <c r="AJ143" s="677"/>
      <c r="AK143" s="677"/>
    </row>
    <row r="144" spans="1:37" x14ac:dyDescent="0.3">
      <c r="A144" s="109" t="s">
        <v>31</v>
      </c>
      <c r="B144" s="727">
        <f>B146+B147+B145+B148</f>
        <v>114599.798</v>
      </c>
      <c r="C144" s="591">
        <f>C146+C147+C145+C148</f>
        <v>114599.79800000001</v>
      </c>
      <c r="D144" s="591">
        <f>D146+D147+D145+D148</f>
        <v>112068.558</v>
      </c>
      <c r="E144" s="110">
        <f>E146+E147+E145+E148</f>
        <v>107453.79999999999</v>
      </c>
      <c r="F144" s="110">
        <f>IFERROR(E144/B144*100,0)</f>
        <v>93.764388659742664</v>
      </c>
      <c r="G144" s="110">
        <f>IFERROR(E144/C144*100,0)</f>
        <v>93.76438865974265</v>
      </c>
      <c r="H144" s="110">
        <f t="shared" ref="H144:AE144" si="36">H146+H147+H145+H148</f>
        <v>3705.29</v>
      </c>
      <c r="I144" s="110">
        <f t="shared" si="36"/>
        <v>1612.47</v>
      </c>
      <c r="J144" s="110">
        <f t="shared" si="36"/>
        <v>8006.5599999999995</v>
      </c>
      <c r="K144" s="110">
        <f t="shared" si="36"/>
        <v>5898.18</v>
      </c>
      <c r="L144" s="110">
        <f t="shared" si="36"/>
        <v>6365.3459999999995</v>
      </c>
      <c r="M144" s="110">
        <f t="shared" si="36"/>
        <v>7687.46</v>
      </c>
      <c r="N144" s="110">
        <f t="shared" si="36"/>
        <v>9373.1649999999991</v>
      </c>
      <c r="O144" s="110">
        <f t="shared" si="36"/>
        <v>5778.16</v>
      </c>
      <c r="P144" s="110">
        <f t="shared" si="36"/>
        <v>10691.43</v>
      </c>
      <c r="Q144" s="110">
        <f t="shared" si="36"/>
        <v>7387.26</v>
      </c>
      <c r="R144" s="110">
        <f t="shared" si="36"/>
        <v>10552.17</v>
      </c>
      <c r="S144" s="110">
        <f t="shared" si="36"/>
        <v>18383.62</v>
      </c>
      <c r="T144" s="110">
        <f t="shared" si="36"/>
        <v>10644.611000000001</v>
      </c>
      <c r="U144" s="110">
        <f t="shared" si="36"/>
        <v>5556.95</v>
      </c>
      <c r="V144" s="110">
        <f t="shared" si="36"/>
        <v>8534.3719999999994</v>
      </c>
      <c r="W144" s="110">
        <f t="shared" si="36"/>
        <v>1830.55</v>
      </c>
      <c r="X144" s="110">
        <f t="shared" si="36"/>
        <v>5592.4549999999999</v>
      </c>
      <c r="Y144" s="110">
        <f t="shared" si="36"/>
        <v>9379.7199999999993</v>
      </c>
      <c r="Z144" s="110">
        <f t="shared" si="36"/>
        <v>13037.91</v>
      </c>
      <c r="AA144" s="110">
        <f t="shared" si="36"/>
        <v>14494.65</v>
      </c>
      <c r="AB144" s="110">
        <f t="shared" si="36"/>
        <v>12624.468999999999</v>
      </c>
      <c r="AC144" s="110">
        <f t="shared" si="36"/>
        <v>8061</v>
      </c>
      <c r="AD144" s="110">
        <f t="shared" si="36"/>
        <v>15472.02</v>
      </c>
      <c r="AE144" s="110">
        <f t="shared" si="36"/>
        <v>21383.78</v>
      </c>
      <c r="AF144" s="1100"/>
      <c r="AG144" s="99"/>
      <c r="AH144" s="677"/>
      <c r="AI144" s="677"/>
      <c r="AJ144" s="677"/>
      <c r="AK144" s="677"/>
    </row>
    <row r="145" spans="1:37" x14ac:dyDescent="0.3">
      <c r="A145" s="112" t="s">
        <v>169</v>
      </c>
      <c r="B145" s="113"/>
      <c r="C145" s="712"/>
      <c r="D145" s="715"/>
      <c r="E145" s="114"/>
      <c r="F145" s="113"/>
      <c r="G145" s="113"/>
      <c r="H145" s="108"/>
      <c r="I145" s="108"/>
      <c r="J145" s="108"/>
      <c r="K145" s="108"/>
      <c r="L145" s="108"/>
      <c r="M145" s="108"/>
      <c r="N145" s="108"/>
      <c r="O145" s="108"/>
      <c r="P145" s="108"/>
      <c r="Q145" s="108"/>
      <c r="R145" s="108"/>
      <c r="S145" s="108"/>
      <c r="T145" s="108"/>
      <c r="U145" s="108"/>
      <c r="V145" s="108"/>
      <c r="W145" s="108"/>
      <c r="X145" s="108"/>
      <c r="Y145" s="108"/>
      <c r="Z145" s="108"/>
      <c r="AA145" s="108"/>
      <c r="AB145" s="108"/>
      <c r="AC145" s="108"/>
      <c r="AD145" s="108"/>
      <c r="AE145" s="108"/>
      <c r="AF145" s="1100"/>
      <c r="AG145" s="99"/>
      <c r="AH145" s="677"/>
      <c r="AI145" s="677"/>
      <c r="AJ145" s="677"/>
      <c r="AK145" s="677"/>
    </row>
    <row r="146" spans="1:37" x14ac:dyDescent="0.3">
      <c r="A146" s="112" t="s">
        <v>32</v>
      </c>
      <c r="B146" s="113"/>
      <c r="C146" s="712"/>
      <c r="D146" s="715"/>
      <c r="E146" s="114"/>
      <c r="F146" s="113"/>
      <c r="G146" s="113"/>
      <c r="H146" s="108"/>
      <c r="I146" s="108"/>
      <c r="J146" s="108"/>
      <c r="K146" s="108"/>
      <c r="L146" s="108"/>
      <c r="M146" s="108"/>
      <c r="N146" s="108"/>
      <c r="O146" s="108"/>
      <c r="P146" s="108"/>
      <c r="Q146" s="108"/>
      <c r="R146" s="108"/>
      <c r="S146" s="108"/>
      <c r="T146" s="108"/>
      <c r="U146" s="108"/>
      <c r="V146" s="108"/>
      <c r="W146" s="108"/>
      <c r="X146" s="108"/>
      <c r="Y146" s="108"/>
      <c r="Z146" s="108"/>
      <c r="AA146" s="108"/>
      <c r="AB146" s="108"/>
      <c r="AC146" s="108"/>
      <c r="AD146" s="108"/>
      <c r="AE146" s="108"/>
      <c r="AF146" s="1100"/>
      <c r="AG146" s="99"/>
      <c r="AH146" s="677"/>
      <c r="AI146" s="677"/>
      <c r="AJ146" s="677"/>
      <c r="AK146" s="677"/>
    </row>
    <row r="147" spans="1:37" x14ac:dyDescent="0.3">
      <c r="A147" s="112" t="s">
        <v>33</v>
      </c>
      <c r="B147" s="113">
        <f>J147+L147+N147+P147+R147+T147+V147+X147+Z147+AB147+AD147+H147</f>
        <v>114599.798</v>
      </c>
      <c r="C147" s="712">
        <f>H147+J147+L147+N147+P147+R147+T147+V147+X147+Z147+AB147+AD147</f>
        <v>114599.79800000001</v>
      </c>
      <c r="D147" s="715">
        <v>112068.558</v>
      </c>
      <c r="E147" s="114">
        <f>SUM(I147,K147,M147,O147,Q147,S147,U147,W147,Y147,AA147,AC147,AE147)</f>
        <v>107453.79999999999</v>
      </c>
      <c r="F147" s="113">
        <f>IFERROR(E147/B147*100,0)</f>
        <v>93.764388659742664</v>
      </c>
      <c r="G147" s="113">
        <f>IFERROR(E147/C147*100,0)</f>
        <v>93.76438865974265</v>
      </c>
      <c r="H147" s="108">
        <f>1570.01+2135.28</f>
        <v>3705.29</v>
      </c>
      <c r="I147" s="499">
        <v>1612.47</v>
      </c>
      <c r="J147" s="108">
        <f>2798.56+5208</f>
        <v>8006.5599999999995</v>
      </c>
      <c r="K147" s="108">
        <v>5898.18</v>
      </c>
      <c r="L147" s="108">
        <v>6365.3459999999995</v>
      </c>
      <c r="M147" s="108">
        <v>7687.46</v>
      </c>
      <c r="N147" s="499">
        <f>2980.345+6392.82</f>
        <v>9373.1649999999991</v>
      </c>
      <c r="O147" s="106">
        <v>5778.16</v>
      </c>
      <c r="P147" s="108">
        <v>10691.43</v>
      </c>
      <c r="Q147" s="106">
        <v>7387.26</v>
      </c>
      <c r="R147" s="108">
        <f>2740.17+7812</f>
        <v>10552.17</v>
      </c>
      <c r="S147" s="108">
        <v>18383.62</v>
      </c>
      <c r="T147" s="108">
        <v>10644.611000000001</v>
      </c>
      <c r="U147" s="108">
        <v>5556.95</v>
      </c>
      <c r="V147" s="108">
        <v>8534.3719999999994</v>
      </c>
      <c r="W147" s="108">
        <v>1830.55</v>
      </c>
      <c r="X147" s="108">
        <v>5592.4549999999999</v>
      </c>
      <c r="Y147" s="108">
        <v>9379.7199999999993</v>
      </c>
      <c r="Z147" s="108">
        <v>13037.91</v>
      </c>
      <c r="AA147" s="108">
        <v>14494.65</v>
      </c>
      <c r="AB147" s="108">
        <v>12624.468999999999</v>
      </c>
      <c r="AC147" s="108">
        <v>8061</v>
      </c>
      <c r="AD147" s="108">
        <v>15472.02</v>
      </c>
      <c r="AE147" s="108">
        <v>21383.78</v>
      </c>
      <c r="AF147" s="1100"/>
      <c r="AG147" s="99"/>
      <c r="AH147" s="677"/>
      <c r="AI147" s="677"/>
      <c r="AJ147" s="677"/>
      <c r="AK147" s="677"/>
    </row>
    <row r="148" spans="1:37" x14ac:dyDescent="0.3">
      <c r="A148" s="119" t="s">
        <v>170</v>
      </c>
      <c r="B148" s="113"/>
      <c r="C148" s="712"/>
      <c r="D148" s="715"/>
      <c r="E148" s="114"/>
      <c r="F148" s="113"/>
      <c r="G148" s="113"/>
      <c r="H148" s="108"/>
      <c r="I148" s="108"/>
      <c r="J148" s="108"/>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100"/>
      <c r="AG148" s="99"/>
      <c r="AH148" s="677"/>
      <c r="AI148" s="677"/>
      <c r="AJ148" s="677"/>
      <c r="AK148" s="677"/>
    </row>
    <row r="149" spans="1:37" x14ac:dyDescent="0.3">
      <c r="A149" s="1163" t="s">
        <v>191</v>
      </c>
      <c r="B149" s="1164"/>
      <c r="C149" s="1164"/>
      <c r="D149" s="1164"/>
      <c r="E149" s="1164"/>
      <c r="F149" s="1164"/>
      <c r="G149" s="1164"/>
      <c r="H149" s="1164"/>
      <c r="I149" s="1164"/>
      <c r="J149" s="1164"/>
      <c r="K149" s="1164"/>
      <c r="L149" s="1164"/>
      <c r="M149" s="1164"/>
      <c r="N149" s="1164"/>
      <c r="O149" s="1164"/>
      <c r="P149" s="1164"/>
      <c r="Q149" s="1164"/>
      <c r="R149" s="1164"/>
      <c r="S149" s="1164"/>
      <c r="T149" s="1164"/>
      <c r="U149" s="1164"/>
      <c r="V149" s="1164"/>
      <c r="W149" s="1164"/>
      <c r="X149" s="1164"/>
      <c r="Y149" s="1164"/>
      <c r="Z149" s="1164"/>
      <c r="AA149" s="1164"/>
      <c r="AB149" s="1164"/>
      <c r="AC149" s="1164"/>
      <c r="AD149" s="1164"/>
      <c r="AE149" s="1164"/>
      <c r="AF149" s="1165"/>
      <c r="AG149" s="99"/>
      <c r="AH149" s="677"/>
      <c r="AI149" s="677"/>
      <c r="AJ149" s="677"/>
      <c r="AK149" s="677"/>
    </row>
    <row r="150" spans="1:37" x14ac:dyDescent="0.3">
      <c r="A150" s="1163" t="s">
        <v>167</v>
      </c>
      <c r="B150" s="1164"/>
      <c r="C150" s="1164"/>
      <c r="D150" s="1164"/>
      <c r="E150" s="1164"/>
      <c r="F150" s="1164"/>
      <c r="G150" s="1164"/>
      <c r="H150" s="1164"/>
      <c r="I150" s="1164"/>
      <c r="J150" s="1164"/>
      <c r="K150" s="1164"/>
      <c r="L150" s="1164"/>
      <c r="M150" s="1164"/>
      <c r="N150" s="1164"/>
      <c r="O150" s="1164"/>
      <c r="P150" s="1164"/>
      <c r="Q150" s="1164"/>
      <c r="R150" s="1164"/>
      <c r="S150" s="1164"/>
      <c r="T150" s="1164"/>
      <c r="U150" s="1164"/>
      <c r="V150" s="1164"/>
      <c r="W150" s="1164"/>
      <c r="X150" s="1164"/>
      <c r="Y150" s="1164"/>
      <c r="Z150" s="1164"/>
      <c r="AA150" s="1164"/>
      <c r="AB150" s="1164"/>
      <c r="AC150" s="1164"/>
      <c r="AD150" s="1164"/>
      <c r="AE150" s="1164"/>
      <c r="AF150" s="1165"/>
      <c r="AG150" s="99"/>
      <c r="AH150" s="677"/>
      <c r="AI150" s="677"/>
      <c r="AJ150" s="677"/>
      <c r="AK150" s="677"/>
    </row>
    <row r="151" spans="1:37" ht="56.25" x14ac:dyDescent="0.3">
      <c r="A151" s="121" t="s">
        <v>192</v>
      </c>
      <c r="B151" s="129"/>
      <c r="C151" s="129"/>
      <c r="D151" s="129"/>
      <c r="E151" s="129"/>
      <c r="F151" s="130"/>
      <c r="G151" s="130"/>
      <c r="H151" s="129"/>
      <c r="I151" s="129"/>
      <c r="J151" s="129"/>
      <c r="K151" s="129"/>
      <c r="L151" s="129"/>
      <c r="M151" s="129"/>
      <c r="N151" s="129"/>
      <c r="O151" s="129"/>
      <c r="P151" s="129"/>
      <c r="Q151" s="129"/>
      <c r="R151" s="129"/>
      <c r="S151" s="129"/>
      <c r="T151" s="129"/>
      <c r="U151" s="129"/>
      <c r="V151" s="129"/>
      <c r="W151" s="129"/>
      <c r="X151" s="129"/>
      <c r="Y151" s="129"/>
      <c r="Z151" s="129"/>
      <c r="AA151" s="129"/>
      <c r="AB151" s="129"/>
      <c r="AC151" s="129"/>
      <c r="AD151" s="129"/>
      <c r="AE151" s="129"/>
      <c r="AF151" s="1100"/>
      <c r="AG151" s="99"/>
      <c r="AH151" s="677"/>
      <c r="AI151" s="677"/>
      <c r="AJ151" s="677"/>
      <c r="AK151" s="677"/>
    </row>
    <row r="152" spans="1:37" x14ac:dyDescent="0.3">
      <c r="A152" s="100" t="s">
        <v>31</v>
      </c>
      <c r="B152" s="101">
        <f>B153+B154+B155</f>
        <v>0</v>
      </c>
      <c r="C152" s="101">
        <f>C153+C154+C155</f>
        <v>0</v>
      </c>
      <c r="D152" s="101">
        <f>D153+D154+D155</f>
        <v>0</v>
      </c>
      <c r="E152" s="101">
        <f>E153+E154+E155</f>
        <v>0</v>
      </c>
      <c r="F152" s="104">
        <f>IFERROR(E152/B152*100,0)</f>
        <v>0</v>
      </c>
      <c r="G152" s="104">
        <f>IFERROR(E152/C152*100,0)</f>
        <v>0</v>
      </c>
      <c r="H152" s="101">
        <f>H153+H154+H155</f>
        <v>0</v>
      </c>
      <c r="I152" s="101">
        <f t="shared" ref="I152:AE152" si="37">I153+I154+I155</f>
        <v>0</v>
      </c>
      <c r="J152" s="101">
        <f t="shared" si="37"/>
        <v>0</v>
      </c>
      <c r="K152" s="101">
        <f t="shared" si="37"/>
        <v>0</v>
      </c>
      <c r="L152" s="101">
        <f t="shared" si="37"/>
        <v>0</v>
      </c>
      <c r="M152" s="101">
        <f t="shared" si="37"/>
        <v>0</v>
      </c>
      <c r="N152" s="101">
        <f t="shared" si="37"/>
        <v>0</v>
      </c>
      <c r="O152" s="101">
        <f t="shared" si="37"/>
        <v>0</v>
      </c>
      <c r="P152" s="101">
        <f t="shared" si="37"/>
        <v>0</v>
      </c>
      <c r="Q152" s="101">
        <f t="shared" si="37"/>
        <v>0</v>
      </c>
      <c r="R152" s="101">
        <f t="shared" si="37"/>
        <v>0</v>
      </c>
      <c r="S152" s="101">
        <f t="shared" si="37"/>
        <v>0</v>
      </c>
      <c r="T152" s="101">
        <f t="shared" si="37"/>
        <v>0</v>
      </c>
      <c r="U152" s="101">
        <f t="shared" si="37"/>
        <v>0</v>
      </c>
      <c r="V152" s="101">
        <f t="shared" si="37"/>
        <v>0</v>
      </c>
      <c r="W152" s="101">
        <f t="shared" si="37"/>
        <v>0</v>
      </c>
      <c r="X152" s="101">
        <f t="shared" si="37"/>
        <v>0</v>
      </c>
      <c r="Y152" s="101">
        <f t="shared" si="37"/>
        <v>0</v>
      </c>
      <c r="Z152" s="101">
        <f t="shared" si="37"/>
        <v>0</v>
      </c>
      <c r="AA152" s="101">
        <f t="shared" si="37"/>
        <v>0</v>
      </c>
      <c r="AB152" s="101">
        <f t="shared" si="37"/>
        <v>0</v>
      </c>
      <c r="AC152" s="101">
        <f t="shared" si="37"/>
        <v>0</v>
      </c>
      <c r="AD152" s="101">
        <f t="shared" si="37"/>
        <v>0</v>
      </c>
      <c r="AE152" s="101">
        <f t="shared" si="37"/>
        <v>0</v>
      </c>
      <c r="AF152" s="1100"/>
      <c r="AG152" s="99"/>
      <c r="AH152" s="677"/>
      <c r="AI152" s="677"/>
      <c r="AJ152" s="677"/>
      <c r="AK152" s="677"/>
    </row>
    <row r="153" spans="1:37" x14ac:dyDescent="0.3">
      <c r="A153" s="103" t="s">
        <v>169</v>
      </c>
      <c r="B153" s="104">
        <f>J153+L153+N153+P153+R153+T153+V153+X153+Z153+AB153+AD153+H153</f>
        <v>0</v>
      </c>
      <c r="C153" s="104">
        <f>SUM(H153)</f>
        <v>0</v>
      </c>
      <c r="D153" s="104">
        <f>E153</f>
        <v>0</v>
      </c>
      <c r="E153" s="104">
        <f>SUM(I153,K153,M153,O153,Q153,S153,U153,W153,Y153,AA153,AC153,AE153)</f>
        <v>0</v>
      </c>
      <c r="F153" s="104">
        <f>IFERROR(E153/B153*100,0)</f>
        <v>0</v>
      </c>
      <c r="G153" s="104">
        <f>IFERROR(E153/C153*100,0)</f>
        <v>0</v>
      </c>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100"/>
      <c r="AG153" s="99"/>
      <c r="AH153" s="677"/>
      <c r="AI153" s="677"/>
      <c r="AJ153" s="677"/>
      <c r="AK153" s="677"/>
    </row>
    <row r="154" spans="1:37" x14ac:dyDescent="0.3">
      <c r="A154" s="103" t="s">
        <v>32</v>
      </c>
      <c r="B154" s="104">
        <f>J154+L154+N154+P154+R154+T154+V154+X154+Z154+AB154+AD154+H154</f>
        <v>0</v>
      </c>
      <c r="C154" s="104">
        <f>SUM(H154)</f>
        <v>0</v>
      </c>
      <c r="D154" s="104">
        <f>E154</f>
        <v>0</v>
      </c>
      <c r="E154" s="104">
        <f>SUM(I154,K154,M154,O154,Q154,S154,U154,W154,Y154,AA154,AC154,AE154)</f>
        <v>0</v>
      </c>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100"/>
      <c r="AG154" s="99"/>
      <c r="AH154" s="677"/>
      <c r="AI154" s="677"/>
      <c r="AJ154" s="677"/>
      <c r="AK154" s="677"/>
    </row>
    <row r="155" spans="1:37" x14ac:dyDescent="0.3">
      <c r="A155" s="103" t="s">
        <v>33</v>
      </c>
      <c r="B155" s="104">
        <f>J155+L155+N155+P155+R155+T155+V155+X155+Z155+AB155+AD155+H155</f>
        <v>0</v>
      </c>
      <c r="C155" s="104">
        <f>SUM(H155)</f>
        <v>0</v>
      </c>
      <c r="D155" s="104">
        <f>E155</f>
        <v>0</v>
      </c>
      <c r="E155" s="104">
        <f>SUM(I155,K155,M155,O155,Q155,S155,U155,W155,Y155,AA155,AC155,AE155)</f>
        <v>0</v>
      </c>
      <c r="F155" s="104">
        <f>IFERROR(E155/B155*100,0)</f>
        <v>0</v>
      </c>
      <c r="G155" s="104">
        <f>IFERROR(E155/C155*100,0)</f>
        <v>0</v>
      </c>
      <c r="H155" s="104">
        <v>0</v>
      </c>
      <c r="I155" s="104">
        <v>0</v>
      </c>
      <c r="J155" s="104">
        <v>0</v>
      </c>
      <c r="K155" s="104">
        <v>0</v>
      </c>
      <c r="L155" s="104">
        <v>0</v>
      </c>
      <c r="M155" s="104">
        <v>0</v>
      </c>
      <c r="N155" s="104">
        <v>0</v>
      </c>
      <c r="O155" s="104">
        <v>0</v>
      </c>
      <c r="P155" s="104">
        <v>0</v>
      </c>
      <c r="Q155" s="104">
        <v>0</v>
      </c>
      <c r="R155" s="104">
        <v>0</v>
      </c>
      <c r="S155" s="104">
        <v>0</v>
      </c>
      <c r="T155" s="104">
        <v>0</v>
      </c>
      <c r="U155" s="104">
        <v>0</v>
      </c>
      <c r="V155" s="104">
        <v>0</v>
      </c>
      <c r="W155" s="104">
        <v>0</v>
      </c>
      <c r="X155" s="104">
        <v>0</v>
      </c>
      <c r="Y155" s="104">
        <v>0</v>
      </c>
      <c r="Z155" s="104">
        <v>0</v>
      </c>
      <c r="AA155" s="104">
        <v>0</v>
      </c>
      <c r="AB155" s="104">
        <v>0</v>
      </c>
      <c r="AC155" s="104">
        <v>0</v>
      </c>
      <c r="AD155" s="104">
        <v>0</v>
      </c>
      <c r="AE155" s="104">
        <v>0</v>
      </c>
      <c r="AF155" s="1100"/>
      <c r="AG155" s="99"/>
      <c r="AH155" s="677"/>
      <c r="AI155" s="677"/>
      <c r="AJ155" s="677"/>
      <c r="AK155" s="677"/>
    </row>
    <row r="156" spans="1:37" x14ac:dyDescent="0.3">
      <c r="A156" s="103" t="s">
        <v>170</v>
      </c>
      <c r="B156" s="104">
        <f>J156+L156+N156+P156+R156+T156+V156+X156+Z156+AB156+AD156+H156</f>
        <v>0</v>
      </c>
      <c r="C156" s="104">
        <f>SUM(H156)</f>
        <v>0</v>
      </c>
      <c r="D156" s="104">
        <f>E156</f>
        <v>0</v>
      </c>
      <c r="E156" s="104">
        <f>SUM(I156,K156,M156,O156,Q156,S156,U156,W156,Y156,AA156,AC156,AE156)</f>
        <v>0</v>
      </c>
      <c r="F156" s="104">
        <f>IFERROR(E156/B156*100,0)</f>
        <v>0</v>
      </c>
      <c r="G156" s="104">
        <f>IFERROR(E156/C156*100,0)</f>
        <v>0</v>
      </c>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v>0</v>
      </c>
      <c r="AE156" s="104"/>
      <c r="AF156" s="1100"/>
      <c r="AG156" s="99"/>
      <c r="AH156" s="677"/>
      <c r="AI156" s="677"/>
      <c r="AJ156" s="677"/>
      <c r="AK156" s="677"/>
    </row>
    <row r="157" spans="1:37" x14ac:dyDescent="0.3">
      <c r="A157" s="1163" t="s">
        <v>54</v>
      </c>
      <c r="B157" s="1164"/>
      <c r="C157" s="1164"/>
      <c r="D157" s="1164"/>
      <c r="E157" s="1164"/>
      <c r="F157" s="1164"/>
      <c r="G157" s="1164"/>
      <c r="H157" s="1164"/>
      <c r="I157" s="1164"/>
      <c r="J157" s="1164"/>
      <c r="K157" s="1164"/>
      <c r="L157" s="1164"/>
      <c r="M157" s="1164"/>
      <c r="N157" s="1164"/>
      <c r="O157" s="1164"/>
      <c r="P157" s="1164"/>
      <c r="Q157" s="1164"/>
      <c r="R157" s="1164"/>
      <c r="S157" s="1164"/>
      <c r="T157" s="1164"/>
      <c r="U157" s="1164"/>
      <c r="V157" s="1164"/>
      <c r="W157" s="1164"/>
      <c r="X157" s="1164"/>
      <c r="Y157" s="1164"/>
      <c r="Z157" s="1164"/>
      <c r="AA157" s="1164"/>
      <c r="AB157" s="1164"/>
      <c r="AC157" s="1164"/>
      <c r="AD157" s="1164"/>
      <c r="AE157" s="1164"/>
      <c r="AF157" s="1165"/>
      <c r="AG157" s="99"/>
      <c r="AH157" s="677"/>
      <c r="AI157" s="677"/>
      <c r="AJ157" s="677"/>
      <c r="AK157" s="677"/>
    </row>
    <row r="158" spans="1:37" ht="75" x14ac:dyDescent="0.3">
      <c r="A158" s="121" t="s">
        <v>193</v>
      </c>
      <c r="B158" s="129"/>
      <c r="C158" s="130"/>
      <c r="D158" s="130"/>
      <c r="E158" s="130"/>
      <c r="F158" s="130"/>
      <c r="G158" s="130"/>
      <c r="H158" s="129"/>
      <c r="I158" s="129"/>
      <c r="J158" s="129"/>
      <c r="K158" s="129"/>
      <c r="L158" s="129"/>
      <c r="M158" s="129"/>
      <c r="N158" s="129"/>
      <c r="O158" s="129"/>
      <c r="P158" s="129"/>
      <c r="Q158" s="129"/>
      <c r="R158" s="129"/>
      <c r="S158" s="129"/>
      <c r="T158" s="129"/>
      <c r="U158" s="129"/>
      <c r="V158" s="129"/>
      <c r="W158" s="129"/>
      <c r="X158" s="129"/>
      <c r="Y158" s="129"/>
      <c r="Z158" s="129"/>
      <c r="AA158" s="129"/>
      <c r="AB158" s="129"/>
      <c r="AC158" s="129"/>
      <c r="AD158" s="129"/>
      <c r="AE158" s="129"/>
      <c r="AF158" s="1100"/>
      <c r="AG158" s="99"/>
      <c r="AH158" s="677"/>
      <c r="AI158" s="677"/>
      <c r="AJ158" s="677"/>
      <c r="AK158" s="677"/>
    </row>
    <row r="159" spans="1:37" x14ac:dyDescent="0.3">
      <c r="A159" s="100" t="s">
        <v>31</v>
      </c>
      <c r="B159" s="101">
        <f>B160+B161+B162</f>
        <v>373.1</v>
      </c>
      <c r="C159" s="101">
        <f>C160+C161+C162</f>
        <v>373.1</v>
      </c>
      <c r="D159" s="101">
        <f>D160+D161+D162</f>
        <v>305.10000000000002</v>
      </c>
      <c r="E159" s="101">
        <f>E160+E161+E162</f>
        <v>305.10000000000002</v>
      </c>
      <c r="F159" s="104">
        <f>IFERROR(E159/B159*100,0)</f>
        <v>81.774323237737875</v>
      </c>
      <c r="G159" s="104">
        <f>IFERROR(E159/C159*100,0)</f>
        <v>81.774323237737875</v>
      </c>
      <c r="H159" s="101">
        <f t="shared" ref="H159:AE159" si="38">H160+H161+H162</f>
        <v>0</v>
      </c>
      <c r="I159" s="101">
        <f t="shared" si="38"/>
        <v>0</v>
      </c>
      <c r="J159" s="101">
        <f t="shared" si="38"/>
        <v>0</v>
      </c>
      <c r="K159" s="101">
        <f t="shared" si="38"/>
        <v>0</v>
      </c>
      <c r="L159" s="101">
        <f t="shared" si="38"/>
        <v>158</v>
      </c>
      <c r="M159" s="101">
        <f t="shared" si="38"/>
        <v>0</v>
      </c>
      <c r="N159" s="101">
        <f t="shared" si="38"/>
        <v>15.1</v>
      </c>
      <c r="O159" s="101">
        <f t="shared" si="38"/>
        <v>105.1</v>
      </c>
      <c r="P159" s="101">
        <f t="shared" si="38"/>
        <v>0</v>
      </c>
      <c r="Q159" s="101">
        <f t="shared" si="38"/>
        <v>0</v>
      </c>
      <c r="R159" s="101">
        <f t="shared" si="38"/>
        <v>0</v>
      </c>
      <c r="S159" s="101">
        <f t="shared" si="38"/>
        <v>-11.476000000000001</v>
      </c>
      <c r="T159" s="101">
        <f t="shared" si="38"/>
        <v>0</v>
      </c>
      <c r="U159" s="101">
        <f t="shared" si="38"/>
        <v>0</v>
      </c>
      <c r="V159" s="101">
        <f t="shared" si="38"/>
        <v>60</v>
      </c>
      <c r="W159" s="101">
        <f t="shared" si="38"/>
        <v>0</v>
      </c>
      <c r="X159" s="101">
        <f t="shared" si="38"/>
        <v>140</v>
      </c>
      <c r="Y159" s="101">
        <f t="shared" si="38"/>
        <v>60</v>
      </c>
      <c r="Z159" s="101">
        <f t="shared" si="38"/>
        <v>0</v>
      </c>
      <c r="AA159" s="101">
        <f t="shared" si="38"/>
        <v>56.5</v>
      </c>
      <c r="AB159" s="101">
        <f t="shared" si="38"/>
        <v>0</v>
      </c>
      <c r="AC159" s="101">
        <f t="shared" si="38"/>
        <v>49</v>
      </c>
      <c r="AD159" s="101">
        <f t="shared" si="38"/>
        <v>0</v>
      </c>
      <c r="AE159" s="101">
        <f t="shared" si="38"/>
        <v>45.975999999999999</v>
      </c>
      <c r="AF159" s="1100"/>
      <c r="AG159" s="99"/>
      <c r="AH159" s="677"/>
      <c r="AI159" s="677"/>
      <c r="AJ159" s="677"/>
      <c r="AK159" s="677"/>
    </row>
    <row r="160" spans="1:37" x14ac:dyDescent="0.3">
      <c r="A160" s="103" t="s">
        <v>169</v>
      </c>
      <c r="B160" s="104">
        <f>B166+B191</f>
        <v>0</v>
      </c>
      <c r="C160" s="104">
        <f>C166+C191</f>
        <v>0</v>
      </c>
      <c r="D160" s="104">
        <f>D166+D191</f>
        <v>0</v>
      </c>
      <c r="E160" s="104">
        <f>E166+E191</f>
        <v>0</v>
      </c>
      <c r="F160" s="104">
        <f>IFERROR(E160/B160*100,0)</f>
        <v>0</v>
      </c>
      <c r="G160" s="104">
        <f>IFERROR(E160/C160*100,0)</f>
        <v>0</v>
      </c>
      <c r="H160" s="104">
        <f t="shared" ref="H160:AE160" si="39">H166+H191</f>
        <v>0</v>
      </c>
      <c r="I160" s="104">
        <f t="shared" si="39"/>
        <v>0</v>
      </c>
      <c r="J160" s="104">
        <f t="shared" si="39"/>
        <v>0</v>
      </c>
      <c r="K160" s="104">
        <f t="shared" si="39"/>
        <v>0</v>
      </c>
      <c r="L160" s="104">
        <f t="shared" si="39"/>
        <v>0</v>
      </c>
      <c r="M160" s="104">
        <f t="shared" si="39"/>
        <v>0</v>
      </c>
      <c r="N160" s="104">
        <f t="shared" si="39"/>
        <v>0</v>
      </c>
      <c r="O160" s="104">
        <f t="shared" si="39"/>
        <v>0</v>
      </c>
      <c r="P160" s="104">
        <f t="shared" si="39"/>
        <v>0</v>
      </c>
      <c r="Q160" s="104">
        <f t="shared" si="39"/>
        <v>0</v>
      </c>
      <c r="R160" s="104">
        <f t="shared" si="39"/>
        <v>0</v>
      </c>
      <c r="S160" s="104">
        <f t="shared" si="39"/>
        <v>0</v>
      </c>
      <c r="T160" s="104">
        <f t="shared" si="39"/>
        <v>0</v>
      </c>
      <c r="U160" s="104">
        <f t="shared" si="39"/>
        <v>0</v>
      </c>
      <c r="V160" s="104">
        <f t="shared" si="39"/>
        <v>0</v>
      </c>
      <c r="W160" s="104">
        <f t="shared" si="39"/>
        <v>0</v>
      </c>
      <c r="X160" s="104">
        <f t="shared" si="39"/>
        <v>0</v>
      </c>
      <c r="Y160" s="104">
        <f t="shared" si="39"/>
        <v>0</v>
      </c>
      <c r="Z160" s="104">
        <f t="shared" si="39"/>
        <v>0</v>
      </c>
      <c r="AA160" s="104">
        <f t="shared" si="39"/>
        <v>0</v>
      </c>
      <c r="AB160" s="104">
        <f t="shared" si="39"/>
        <v>0</v>
      </c>
      <c r="AC160" s="104">
        <f t="shared" si="39"/>
        <v>0</v>
      </c>
      <c r="AD160" s="104">
        <f t="shared" si="39"/>
        <v>0</v>
      </c>
      <c r="AE160" s="104">
        <f t="shared" si="39"/>
        <v>0</v>
      </c>
      <c r="AF160" s="1100"/>
      <c r="AG160" s="99"/>
      <c r="AH160" s="677"/>
      <c r="AI160" s="677"/>
      <c r="AJ160" s="677"/>
      <c r="AK160" s="677"/>
    </row>
    <row r="161" spans="1:37" x14ac:dyDescent="0.3">
      <c r="A161" s="103" t="s">
        <v>32</v>
      </c>
      <c r="B161" s="104"/>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100"/>
      <c r="AG161" s="99"/>
      <c r="AH161" s="677"/>
      <c r="AI161" s="677"/>
      <c r="AJ161" s="677"/>
      <c r="AK161" s="677"/>
    </row>
    <row r="162" spans="1:37" x14ac:dyDescent="0.3">
      <c r="A162" s="103" t="s">
        <v>33</v>
      </c>
      <c r="B162" s="104">
        <f t="shared" ref="B162:E163" si="40">B168+B193</f>
        <v>373.1</v>
      </c>
      <c r="C162" s="104">
        <f t="shared" si="40"/>
        <v>373.1</v>
      </c>
      <c r="D162" s="104">
        <f>D168+D193</f>
        <v>305.10000000000002</v>
      </c>
      <c r="E162" s="104">
        <f t="shared" si="40"/>
        <v>305.10000000000002</v>
      </c>
      <c r="F162" s="104">
        <f>IFERROR(E162/B162*100,0)</f>
        <v>81.774323237737875</v>
      </c>
      <c r="G162" s="104">
        <f>IFERROR(E162/C162*100,0)</f>
        <v>81.774323237737875</v>
      </c>
      <c r="H162" s="104">
        <f t="shared" ref="H162:AE163" si="41">H168+H193</f>
        <v>0</v>
      </c>
      <c r="I162" s="104">
        <f t="shared" si="41"/>
        <v>0</v>
      </c>
      <c r="J162" s="104">
        <f t="shared" si="41"/>
        <v>0</v>
      </c>
      <c r="K162" s="104">
        <f t="shared" si="41"/>
        <v>0</v>
      </c>
      <c r="L162" s="104">
        <f t="shared" si="41"/>
        <v>158</v>
      </c>
      <c r="M162" s="104">
        <f t="shared" si="41"/>
        <v>0</v>
      </c>
      <c r="N162" s="104">
        <f t="shared" si="41"/>
        <v>15.1</v>
      </c>
      <c r="O162" s="104">
        <f t="shared" si="41"/>
        <v>105.1</v>
      </c>
      <c r="P162" s="104">
        <f t="shared" si="41"/>
        <v>0</v>
      </c>
      <c r="Q162" s="104">
        <f t="shared" si="41"/>
        <v>0</v>
      </c>
      <c r="R162" s="104">
        <f t="shared" si="41"/>
        <v>0</v>
      </c>
      <c r="S162" s="104">
        <f t="shared" si="41"/>
        <v>-11.476000000000001</v>
      </c>
      <c r="T162" s="104">
        <f t="shared" si="41"/>
        <v>0</v>
      </c>
      <c r="U162" s="104">
        <f t="shared" si="41"/>
        <v>0</v>
      </c>
      <c r="V162" s="104">
        <f t="shared" si="41"/>
        <v>60</v>
      </c>
      <c r="W162" s="104">
        <f t="shared" si="41"/>
        <v>0</v>
      </c>
      <c r="X162" s="104">
        <f t="shared" si="41"/>
        <v>140</v>
      </c>
      <c r="Y162" s="104">
        <f t="shared" si="41"/>
        <v>60</v>
      </c>
      <c r="Z162" s="104">
        <f t="shared" si="41"/>
        <v>0</v>
      </c>
      <c r="AA162" s="104">
        <f t="shared" si="41"/>
        <v>56.5</v>
      </c>
      <c r="AB162" s="104">
        <f t="shared" si="41"/>
        <v>0</v>
      </c>
      <c r="AC162" s="104">
        <f t="shared" si="41"/>
        <v>49</v>
      </c>
      <c r="AD162" s="104">
        <f t="shared" si="41"/>
        <v>0</v>
      </c>
      <c r="AE162" s="104">
        <f t="shared" si="41"/>
        <v>45.975999999999999</v>
      </c>
      <c r="AF162" s="1100"/>
      <c r="AG162" s="99"/>
      <c r="AH162" s="677"/>
      <c r="AI162" s="677"/>
      <c r="AJ162" s="677"/>
      <c r="AK162" s="677"/>
    </row>
    <row r="163" spans="1:37" x14ac:dyDescent="0.3">
      <c r="A163" s="103" t="s">
        <v>170</v>
      </c>
      <c r="B163" s="104">
        <f t="shared" si="40"/>
        <v>0</v>
      </c>
      <c r="C163" s="104">
        <f t="shared" si="40"/>
        <v>0</v>
      </c>
      <c r="D163" s="104">
        <f t="shared" si="40"/>
        <v>0</v>
      </c>
      <c r="E163" s="104">
        <f t="shared" si="40"/>
        <v>0</v>
      </c>
      <c r="F163" s="104">
        <f>IFERROR(E163/B163*100,0)</f>
        <v>0</v>
      </c>
      <c r="G163" s="104">
        <f>IFERROR(E163/C163*100,0)</f>
        <v>0</v>
      </c>
      <c r="H163" s="104">
        <f t="shared" si="41"/>
        <v>0</v>
      </c>
      <c r="I163" s="104">
        <f t="shared" si="41"/>
        <v>0</v>
      </c>
      <c r="J163" s="104">
        <f t="shared" si="41"/>
        <v>0</v>
      </c>
      <c r="K163" s="104">
        <f t="shared" si="41"/>
        <v>0</v>
      </c>
      <c r="L163" s="104">
        <f t="shared" si="41"/>
        <v>0</v>
      </c>
      <c r="M163" s="104">
        <f t="shared" si="41"/>
        <v>0</v>
      </c>
      <c r="N163" s="104">
        <f t="shared" si="41"/>
        <v>0</v>
      </c>
      <c r="O163" s="104">
        <f t="shared" si="41"/>
        <v>0</v>
      </c>
      <c r="P163" s="104">
        <f t="shared" si="41"/>
        <v>0</v>
      </c>
      <c r="Q163" s="104">
        <f t="shared" si="41"/>
        <v>0</v>
      </c>
      <c r="R163" s="104">
        <f t="shared" si="41"/>
        <v>0</v>
      </c>
      <c r="S163" s="104">
        <f t="shared" si="41"/>
        <v>0</v>
      </c>
      <c r="T163" s="104">
        <f t="shared" si="41"/>
        <v>0</v>
      </c>
      <c r="U163" s="104">
        <f t="shared" si="41"/>
        <v>0</v>
      </c>
      <c r="V163" s="104">
        <f t="shared" si="41"/>
        <v>0</v>
      </c>
      <c r="W163" s="104">
        <f t="shared" si="41"/>
        <v>0</v>
      </c>
      <c r="X163" s="104">
        <f t="shared" si="41"/>
        <v>0</v>
      </c>
      <c r="Y163" s="104">
        <f t="shared" si="41"/>
        <v>0</v>
      </c>
      <c r="Z163" s="104">
        <f t="shared" si="41"/>
        <v>0</v>
      </c>
      <c r="AA163" s="104">
        <f t="shared" si="41"/>
        <v>0</v>
      </c>
      <c r="AB163" s="104">
        <f t="shared" si="41"/>
        <v>0</v>
      </c>
      <c r="AC163" s="104">
        <f t="shared" si="41"/>
        <v>0</v>
      </c>
      <c r="AD163" s="104">
        <f t="shared" si="41"/>
        <v>0</v>
      </c>
      <c r="AE163" s="104">
        <f t="shared" si="41"/>
        <v>0</v>
      </c>
      <c r="AF163" s="1100"/>
      <c r="AG163" s="99"/>
      <c r="AH163" s="677"/>
      <c r="AI163" s="677"/>
      <c r="AJ163" s="677"/>
      <c r="AK163" s="677"/>
    </row>
    <row r="164" spans="1:37" ht="56.25" x14ac:dyDescent="0.3">
      <c r="A164" s="119" t="s">
        <v>194</v>
      </c>
      <c r="B164" s="131"/>
      <c r="C164" s="132"/>
      <c r="D164" s="132"/>
      <c r="E164" s="132"/>
      <c r="F164" s="132"/>
      <c r="G164" s="131"/>
      <c r="H164" s="108"/>
      <c r="I164" s="108"/>
      <c r="J164" s="108"/>
      <c r="K164" s="108"/>
      <c r="L164" s="108"/>
      <c r="M164" s="108"/>
      <c r="N164" s="108"/>
      <c r="O164" s="108"/>
      <c r="P164" s="108"/>
      <c r="Q164" s="108"/>
      <c r="R164" s="108"/>
      <c r="S164" s="108"/>
      <c r="T164" s="108"/>
      <c r="U164" s="108"/>
      <c r="V164" s="108"/>
      <c r="W164" s="108"/>
      <c r="X164" s="108"/>
      <c r="Y164" s="108"/>
      <c r="Z164" s="108"/>
      <c r="AA164" s="108"/>
      <c r="AB164" s="108"/>
      <c r="AC164" s="108"/>
      <c r="AD164" s="108"/>
      <c r="AE164" s="108"/>
      <c r="AF164" s="1100"/>
      <c r="AG164" s="99"/>
      <c r="AH164" s="677"/>
      <c r="AI164" s="677"/>
      <c r="AJ164" s="677"/>
      <c r="AK164" s="677"/>
    </row>
    <row r="165" spans="1:37" x14ac:dyDescent="0.3">
      <c r="A165" s="109" t="s">
        <v>31</v>
      </c>
      <c r="B165" s="591">
        <f>B166+B167+B168+B169</f>
        <v>373.1</v>
      </c>
      <c r="C165" s="591">
        <f>C166+C167+C168+C169</f>
        <v>373.1</v>
      </c>
      <c r="D165" s="110">
        <f>D166+D167+D168+D169</f>
        <v>305.10000000000002</v>
      </c>
      <c r="E165" s="110">
        <f>E166+E167+E168+E169</f>
        <v>305.10000000000002</v>
      </c>
      <c r="F165" s="113">
        <f>IFERROR(E165/B165*100,0)</f>
        <v>81.774323237737875</v>
      </c>
      <c r="G165" s="113">
        <f>IFERROR(E165/C165*100,0)</f>
        <v>81.774323237737875</v>
      </c>
      <c r="H165" s="110">
        <f t="shared" ref="H165:AE165" si="42">H166+H167+H168+H169</f>
        <v>0</v>
      </c>
      <c r="I165" s="110">
        <f t="shared" si="42"/>
        <v>0</v>
      </c>
      <c r="J165" s="110">
        <f t="shared" si="42"/>
        <v>0</v>
      </c>
      <c r="K165" s="110">
        <f t="shared" si="42"/>
        <v>0</v>
      </c>
      <c r="L165" s="110">
        <f t="shared" si="42"/>
        <v>158</v>
      </c>
      <c r="M165" s="110">
        <f t="shared" si="42"/>
        <v>0</v>
      </c>
      <c r="N165" s="110">
        <f t="shared" si="42"/>
        <v>15.1</v>
      </c>
      <c r="O165" s="110">
        <f t="shared" si="42"/>
        <v>105.1</v>
      </c>
      <c r="P165" s="110">
        <f t="shared" si="42"/>
        <v>0</v>
      </c>
      <c r="Q165" s="110">
        <f t="shared" si="42"/>
        <v>0</v>
      </c>
      <c r="R165" s="110">
        <f t="shared" si="42"/>
        <v>0</v>
      </c>
      <c r="S165" s="110">
        <f t="shared" si="42"/>
        <v>-11.476000000000001</v>
      </c>
      <c r="T165" s="110">
        <f t="shared" si="42"/>
        <v>0</v>
      </c>
      <c r="U165" s="110">
        <f t="shared" si="42"/>
        <v>0</v>
      </c>
      <c r="V165" s="110">
        <f t="shared" si="42"/>
        <v>60</v>
      </c>
      <c r="W165" s="110">
        <f t="shared" si="42"/>
        <v>0</v>
      </c>
      <c r="X165" s="110">
        <f t="shared" si="42"/>
        <v>140</v>
      </c>
      <c r="Y165" s="110">
        <f t="shared" si="42"/>
        <v>60</v>
      </c>
      <c r="Z165" s="110">
        <f t="shared" si="42"/>
        <v>0</v>
      </c>
      <c r="AA165" s="110">
        <f t="shared" si="42"/>
        <v>56.5</v>
      </c>
      <c r="AB165" s="110">
        <f t="shared" si="42"/>
        <v>0</v>
      </c>
      <c r="AC165" s="110">
        <f t="shared" si="42"/>
        <v>49</v>
      </c>
      <c r="AD165" s="110">
        <f t="shared" si="42"/>
        <v>0</v>
      </c>
      <c r="AE165" s="110">
        <f t="shared" si="42"/>
        <v>45.975999999999999</v>
      </c>
      <c r="AF165" s="1100"/>
      <c r="AG165" s="99"/>
      <c r="AH165" s="677"/>
      <c r="AI165" s="677"/>
      <c r="AJ165" s="677"/>
      <c r="AK165" s="677"/>
    </row>
    <row r="166" spans="1:37" x14ac:dyDescent="0.3">
      <c r="A166" s="112" t="s">
        <v>169</v>
      </c>
      <c r="B166" s="113">
        <f>B173+B179+B185</f>
        <v>0</v>
      </c>
      <c r="C166" s="594">
        <f>H166+J166+L166+N166+P166+R166+T166+V166+X166+Z166+AB166+AD166</f>
        <v>0</v>
      </c>
      <c r="D166" s="113">
        <f>D173+D179+D185</f>
        <v>0</v>
      </c>
      <c r="E166" s="113">
        <f>E173+E179+E185</f>
        <v>0</v>
      </c>
      <c r="F166" s="113">
        <f>IFERROR(E166/B166*100,0)</f>
        <v>0</v>
      </c>
      <c r="G166" s="113">
        <f>IFERROR(E166/C166*100,0)</f>
        <v>0</v>
      </c>
      <c r="H166" s="113">
        <f t="shared" ref="H166:AE166" si="43">H173+H179+H185</f>
        <v>0</v>
      </c>
      <c r="I166" s="113">
        <f t="shared" si="43"/>
        <v>0</v>
      </c>
      <c r="J166" s="113">
        <f t="shared" si="43"/>
        <v>0</v>
      </c>
      <c r="K166" s="113">
        <f t="shared" si="43"/>
        <v>0</v>
      </c>
      <c r="L166" s="113">
        <f t="shared" si="43"/>
        <v>0</v>
      </c>
      <c r="M166" s="113">
        <f t="shared" si="43"/>
        <v>0</v>
      </c>
      <c r="N166" s="113">
        <f t="shared" si="43"/>
        <v>0</v>
      </c>
      <c r="O166" s="113">
        <f t="shared" si="43"/>
        <v>0</v>
      </c>
      <c r="P166" s="113">
        <f t="shared" si="43"/>
        <v>0</v>
      </c>
      <c r="Q166" s="113">
        <f t="shared" si="43"/>
        <v>0</v>
      </c>
      <c r="R166" s="113">
        <f t="shared" si="43"/>
        <v>0</v>
      </c>
      <c r="S166" s="113">
        <f t="shared" si="43"/>
        <v>0</v>
      </c>
      <c r="T166" s="113">
        <f t="shared" si="43"/>
        <v>0</v>
      </c>
      <c r="U166" s="113">
        <f t="shared" si="43"/>
        <v>0</v>
      </c>
      <c r="V166" s="113">
        <f t="shared" si="43"/>
        <v>0</v>
      </c>
      <c r="W166" s="113">
        <f t="shared" si="43"/>
        <v>0</v>
      </c>
      <c r="X166" s="113">
        <f t="shared" si="43"/>
        <v>0</v>
      </c>
      <c r="Y166" s="113">
        <f t="shared" si="43"/>
        <v>0</v>
      </c>
      <c r="Z166" s="113">
        <f t="shared" si="43"/>
        <v>0</v>
      </c>
      <c r="AA166" s="113">
        <f t="shared" si="43"/>
        <v>0</v>
      </c>
      <c r="AB166" s="113">
        <f t="shared" si="43"/>
        <v>0</v>
      </c>
      <c r="AC166" s="113">
        <f t="shared" si="43"/>
        <v>0</v>
      </c>
      <c r="AD166" s="113">
        <f t="shared" si="43"/>
        <v>0</v>
      </c>
      <c r="AE166" s="113">
        <f t="shared" si="43"/>
        <v>0</v>
      </c>
      <c r="AF166" s="1100"/>
      <c r="AG166" s="99"/>
      <c r="AH166" s="677"/>
      <c r="AI166" s="677"/>
      <c r="AJ166" s="677"/>
      <c r="AK166" s="677"/>
    </row>
    <row r="167" spans="1:37" x14ac:dyDescent="0.3">
      <c r="A167" s="112" t="s">
        <v>32</v>
      </c>
      <c r="B167" s="113"/>
      <c r="C167" s="594"/>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c r="AA167" s="113"/>
      <c r="AB167" s="113"/>
      <c r="AC167" s="113"/>
      <c r="AD167" s="113"/>
      <c r="AE167" s="113"/>
      <c r="AF167" s="1100"/>
      <c r="AG167" s="99"/>
      <c r="AH167" s="677"/>
      <c r="AI167" s="677"/>
      <c r="AJ167" s="677"/>
      <c r="AK167" s="677"/>
    </row>
    <row r="168" spans="1:37" x14ac:dyDescent="0.3">
      <c r="A168" s="112" t="s">
        <v>33</v>
      </c>
      <c r="B168" s="113">
        <f>B175+B181+B187</f>
        <v>373.1</v>
      </c>
      <c r="C168" s="594">
        <f>H168+J168+L168+N168+P168+R168+T168+V168+X168+Z168+AB168+AD168</f>
        <v>373.1</v>
      </c>
      <c r="D168" s="594">
        <f>D175+D181+D187</f>
        <v>305.10000000000002</v>
      </c>
      <c r="E168" s="113">
        <f>E175+E181+E187</f>
        <v>305.10000000000002</v>
      </c>
      <c r="F168" s="113">
        <f>IFERROR(E168/B168*100,0)</f>
        <v>81.774323237737875</v>
      </c>
      <c r="G168" s="113">
        <f>IFERROR(E168/C168*100,0)</f>
        <v>81.774323237737875</v>
      </c>
      <c r="H168" s="113">
        <f t="shared" ref="H168:AE169" si="44">H175+H181+H187</f>
        <v>0</v>
      </c>
      <c r="I168" s="113">
        <f t="shared" si="44"/>
        <v>0</v>
      </c>
      <c r="J168" s="113">
        <f t="shared" si="44"/>
        <v>0</v>
      </c>
      <c r="K168" s="113">
        <f t="shared" si="44"/>
        <v>0</v>
      </c>
      <c r="L168" s="113">
        <f t="shared" si="44"/>
        <v>158</v>
      </c>
      <c r="M168" s="113">
        <f t="shared" si="44"/>
        <v>0</v>
      </c>
      <c r="N168" s="113">
        <f t="shared" si="44"/>
        <v>15.1</v>
      </c>
      <c r="O168" s="113">
        <f t="shared" si="44"/>
        <v>105.1</v>
      </c>
      <c r="P168" s="113">
        <f t="shared" si="44"/>
        <v>0</v>
      </c>
      <c r="Q168" s="113">
        <f t="shared" si="44"/>
        <v>0</v>
      </c>
      <c r="R168" s="113">
        <f t="shared" si="44"/>
        <v>0</v>
      </c>
      <c r="S168" s="113">
        <f t="shared" si="44"/>
        <v>-11.476000000000001</v>
      </c>
      <c r="T168" s="113">
        <f t="shared" si="44"/>
        <v>0</v>
      </c>
      <c r="U168" s="113">
        <f t="shared" si="44"/>
        <v>0</v>
      </c>
      <c r="V168" s="113">
        <f t="shared" si="44"/>
        <v>60</v>
      </c>
      <c r="W168" s="113">
        <f t="shared" si="44"/>
        <v>0</v>
      </c>
      <c r="X168" s="113">
        <f t="shared" si="44"/>
        <v>140</v>
      </c>
      <c r="Y168" s="113">
        <f t="shared" si="44"/>
        <v>60</v>
      </c>
      <c r="Z168" s="113">
        <f t="shared" si="44"/>
        <v>0</v>
      </c>
      <c r="AA168" s="113">
        <f t="shared" si="44"/>
        <v>56.5</v>
      </c>
      <c r="AB168" s="113">
        <f t="shared" si="44"/>
        <v>0</v>
      </c>
      <c r="AC168" s="113">
        <f t="shared" si="44"/>
        <v>49</v>
      </c>
      <c r="AD168" s="113">
        <f t="shared" si="44"/>
        <v>0</v>
      </c>
      <c r="AE168" s="113">
        <f t="shared" si="44"/>
        <v>45.975999999999999</v>
      </c>
      <c r="AF168" s="1100"/>
      <c r="AG168" s="99"/>
      <c r="AH168" s="677"/>
      <c r="AI168" s="677"/>
      <c r="AJ168" s="677"/>
      <c r="AK168" s="677"/>
    </row>
    <row r="169" spans="1:37" x14ac:dyDescent="0.3">
      <c r="A169" s="112" t="s">
        <v>170</v>
      </c>
      <c r="B169" s="113">
        <f>B176+B182+B188</f>
        <v>0</v>
      </c>
      <c r="C169" s="594">
        <f>C176+C182+C188</f>
        <v>0</v>
      </c>
      <c r="D169" s="113">
        <f>D176+D182+D188</f>
        <v>0</v>
      </c>
      <c r="E169" s="113">
        <f>E176+E182+E188</f>
        <v>0</v>
      </c>
      <c r="F169" s="113">
        <f>IFERROR(E169/B169*100,0)</f>
        <v>0</v>
      </c>
      <c r="G169" s="113">
        <f>IFERROR(E169/C169*100,0)</f>
        <v>0</v>
      </c>
      <c r="H169" s="113">
        <f t="shared" si="44"/>
        <v>0</v>
      </c>
      <c r="I169" s="113">
        <f t="shared" si="44"/>
        <v>0</v>
      </c>
      <c r="J169" s="113">
        <f t="shared" si="44"/>
        <v>0</v>
      </c>
      <c r="K169" s="113">
        <f t="shared" si="44"/>
        <v>0</v>
      </c>
      <c r="L169" s="113">
        <f t="shared" si="44"/>
        <v>0</v>
      </c>
      <c r="M169" s="113">
        <f t="shared" si="44"/>
        <v>0</v>
      </c>
      <c r="N169" s="113">
        <f t="shared" si="44"/>
        <v>0</v>
      </c>
      <c r="O169" s="113">
        <f t="shared" si="44"/>
        <v>0</v>
      </c>
      <c r="P169" s="113">
        <f t="shared" si="44"/>
        <v>0</v>
      </c>
      <c r="Q169" s="113">
        <f t="shared" si="44"/>
        <v>0</v>
      </c>
      <c r="R169" s="113">
        <f t="shared" si="44"/>
        <v>0</v>
      </c>
      <c r="S169" s="113">
        <f t="shared" si="44"/>
        <v>0</v>
      </c>
      <c r="T169" s="113">
        <f t="shared" si="44"/>
        <v>0</v>
      </c>
      <c r="U169" s="113">
        <f t="shared" si="44"/>
        <v>0</v>
      </c>
      <c r="V169" s="113">
        <f t="shared" si="44"/>
        <v>0</v>
      </c>
      <c r="W169" s="113">
        <f t="shared" si="44"/>
        <v>0</v>
      </c>
      <c r="X169" s="113">
        <f t="shared" si="44"/>
        <v>0</v>
      </c>
      <c r="Y169" s="113">
        <f t="shared" si="44"/>
        <v>0</v>
      </c>
      <c r="Z169" s="113">
        <f t="shared" si="44"/>
        <v>0</v>
      </c>
      <c r="AA169" s="113">
        <f t="shared" si="44"/>
        <v>0</v>
      </c>
      <c r="AB169" s="113">
        <f t="shared" si="44"/>
        <v>0</v>
      </c>
      <c r="AC169" s="113">
        <f t="shared" si="44"/>
        <v>0</v>
      </c>
      <c r="AD169" s="113">
        <f t="shared" si="44"/>
        <v>0</v>
      </c>
      <c r="AE169" s="113">
        <f t="shared" si="44"/>
        <v>0</v>
      </c>
      <c r="AF169" s="1100"/>
      <c r="AG169" s="99"/>
      <c r="AH169" s="677"/>
      <c r="AI169" s="677"/>
      <c r="AJ169" s="677"/>
      <c r="AK169" s="677"/>
    </row>
    <row r="170" spans="1:37" x14ac:dyDescent="0.3">
      <c r="A170" s="119" t="s">
        <v>195</v>
      </c>
      <c r="B170" s="113"/>
      <c r="C170" s="113"/>
      <c r="D170" s="120"/>
      <c r="E170" s="120"/>
      <c r="F170" s="120"/>
      <c r="G170" s="120"/>
      <c r="H170" s="113"/>
      <c r="I170" s="113"/>
      <c r="J170" s="113"/>
      <c r="K170" s="113"/>
      <c r="L170" s="113"/>
      <c r="M170" s="113"/>
      <c r="N170" s="113"/>
      <c r="O170" s="113"/>
      <c r="P170" s="113"/>
      <c r="Q170" s="113"/>
      <c r="R170" s="113"/>
      <c r="S170" s="113"/>
      <c r="T170" s="113"/>
      <c r="U170" s="113"/>
      <c r="V170" s="113"/>
      <c r="W170" s="113"/>
      <c r="X170" s="113"/>
      <c r="Y170" s="113"/>
      <c r="Z170" s="113"/>
      <c r="AA170" s="113"/>
      <c r="AB170" s="113"/>
      <c r="AC170" s="113"/>
      <c r="AD170" s="113"/>
      <c r="AE170" s="113"/>
      <c r="AF170" s="1100"/>
      <c r="AG170" s="99"/>
      <c r="AH170" s="677"/>
      <c r="AI170" s="677"/>
      <c r="AJ170" s="677"/>
      <c r="AK170" s="677"/>
    </row>
    <row r="171" spans="1:37" ht="56.25" x14ac:dyDescent="0.3">
      <c r="A171" s="119" t="s">
        <v>196</v>
      </c>
      <c r="B171" s="131"/>
      <c r="C171" s="132"/>
      <c r="D171" s="132"/>
      <c r="E171" s="132"/>
      <c r="F171" s="132"/>
      <c r="G171" s="132"/>
      <c r="H171" s="108"/>
      <c r="I171" s="108"/>
      <c r="J171" s="108"/>
      <c r="K171" s="108"/>
      <c r="L171" s="108"/>
      <c r="M171" s="108"/>
      <c r="N171" s="108"/>
      <c r="O171" s="108"/>
      <c r="P171" s="108"/>
      <c r="Q171" s="108"/>
      <c r="R171" s="108"/>
      <c r="S171" s="108"/>
      <c r="T171" s="108"/>
      <c r="U171" s="108"/>
      <c r="V171" s="108"/>
      <c r="W171" s="108"/>
      <c r="X171" s="108"/>
      <c r="Y171" s="108"/>
      <c r="Z171" s="108"/>
      <c r="AA171" s="108"/>
      <c r="AB171" s="108"/>
      <c r="AC171" s="108"/>
      <c r="AD171" s="108"/>
      <c r="AE171" s="108"/>
      <c r="AF171" s="709" t="s">
        <v>701</v>
      </c>
      <c r="AG171" s="99"/>
      <c r="AH171" s="677"/>
      <c r="AI171" s="677"/>
      <c r="AJ171" s="677"/>
      <c r="AK171" s="677"/>
    </row>
    <row r="172" spans="1:37" x14ac:dyDescent="0.3">
      <c r="A172" s="109" t="s">
        <v>31</v>
      </c>
      <c r="B172" s="591">
        <f>B174+B175+B173+B176</f>
        <v>105.1</v>
      </c>
      <c r="C172" s="110">
        <f>C174+C175+C173+C176</f>
        <v>105.1</v>
      </c>
      <c r="D172" s="110">
        <f>D174+D175+D173+D176</f>
        <v>105.1</v>
      </c>
      <c r="E172" s="110">
        <f>E174+E175+E173+E176</f>
        <v>105.1</v>
      </c>
      <c r="F172" s="110">
        <f>IFERROR(E172/B172*100,0)</f>
        <v>100</v>
      </c>
      <c r="G172" s="110">
        <f>IFERROR(E172/C172*100,0)</f>
        <v>100</v>
      </c>
      <c r="H172" s="110">
        <f t="shared" ref="H172:AE172" si="45">H174+H175+H173+H176</f>
        <v>0</v>
      </c>
      <c r="I172" s="110">
        <f t="shared" si="45"/>
        <v>0</v>
      </c>
      <c r="J172" s="110">
        <f t="shared" si="45"/>
        <v>0</v>
      </c>
      <c r="K172" s="110">
        <f t="shared" si="45"/>
        <v>0</v>
      </c>
      <c r="L172" s="110">
        <f t="shared" si="45"/>
        <v>90</v>
      </c>
      <c r="M172" s="110">
        <f t="shared" si="45"/>
        <v>0</v>
      </c>
      <c r="N172" s="110">
        <f t="shared" si="45"/>
        <v>15.1</v>
      </c>
      <c r="O172" s="110">
        <f t="shared" si="45"/>
        <v>105.1</v>
      </c>
      <c r="P172" s="110">
        <f t="shared" si="45"/>
        <v>0</v>
      </c>
      <c r="Q172" s="110">
        <f t="shared" si="45"/>
        <v>0</v>
      </c>
      <c r="R172" s="110">
        <f t="shared" si="45"/>
        <v>0</v>
      </c>
      <c r="S172" s="110">
        <f t="shared" si="45"/>
        <v>-11.476000000000001</v>
      </c>
      <c r="T172" s="110">
        <f t="shared" si="45"/>
        <v>0</v>
      </c>
      <c r="U172" s="110">
        <f t="shared" si="45"/>
        <v>0</v>
      </c>
      <c r="V172" s="110">
        <f t="shared" si="45"/>
        <v>0</v>
      </c>
      <c r="W172" s="110">
        <f t="shared" si="45"/>
        <v>0</v>
      </c>
      <c r="X172" s="110">
        <f t="shared" si="45"/>
        <v>0</v>
      </c>
      <c r="Y172" s="110">
        <f t="shared" si="45"/>
        <v>0</v>
      </c>
      <c r="Z172" s="110">
        <f t="shared" si="45"/>
        <v>0</v>
      </c>
      <c r="AA172" s="110">
        <f t="shared" si="45"/>
        <v>0</v>
      </c>
      <c r="AB172" s="110">
        <f t="shared" si="45"/>
        <v>0</v>
      </c>
      <c r="AC172" s="110">
        <f t="shared" si="45"/>
        <v>0</v>
      </c>
      <c r="AD172" s="110">
        <f t="shared" si="45"/>
        <v>0</v>
      </c>
      <c r="AE172" s="110">
        <f t="shared" si="45"/>
        <v>11.476000000000001</v>
      </c>
      <c r="AF172" s="1103"/>
      <c r="AG172" s="99"/>
      <c r="AH172" s="677"/>
      <c r="AI172" s="677"/>
      <c r="AJ172" s="677"/>
      <c r="AK172" s="677"/>
    </row>
    <row r="173" spans="1:37" x14ac:dyDescent="0.3">
      <c r="A173" s="112" t="s">
        <v>169</v>
      </c>
      <c r="B173" s="113"/>
      <c r="C173" s="114"/>
      <c r="D173" s="115"/>
      <c r="E173" s="114"/>
      <c r="F173" s="113"/>
      <c r="G173" s="113"/>
      <c r="H173" s="108"/>
      <c r="I173" s="108"/>
      <c r="J173" s="108"/>
      <c r="K173" s="108"/>
      <c r="L173" s="108"/>
      <c r="M173" s="108"/>
      <c r="N173" s="108"/>
      <c r="O173" s="108"/>
      <c r="P173" s="108"/>
      <c r="Q173" s="108"/>
      <c r="R173" s="108"/>
      <c r="S173" s="108"/>
      <c r="T173" s="108"/>
      <c r="U173" s="108"/>
      <c r="V173" s="108"/>
      <c r="W173" s="108"/>
      <c r="X173" s="108"/>
      <c r="Y173" s="108"/>
      <c r="Z173" s="108"/>
      <c r="AA173" s="108"/>
      <c r="AB173" s="108"/>
      <c r="AC173" s="108"/>
      <c r="AD173" s="108"/>
      <c r="AE173" s="108"/>
      <c r="AF173" s="1100"/>
      <c r="AG173" s="99"/>
      <c r="AH173" s="677"/>
      <c r="AI173" s="677"/>
      <c r="AJ173" s="677"/>
      <c r="AK173" s="677"/>
    </row>
    <row r="174" spans="1:37" x14ac:dyDescent="0.3">
      <c r="A174" s="112" t="s">
        <v>32</v>
      </c>
      <c r="B174" s="113"/>
      <c r="C174" s="114"/>
      <c r="D174" s="115"/>
      <c r="E174" s="114"/>
      <c r="F174" s="113"/>
      <c r="G174" s="113"/>
      <c r="H174" s="108"/>
      <c r="I174" s="108"/>
      <c r="J174" s="108"/>
      <c r="K174" s="108"/>
      <c r="L174" s="108"/>
      <c r="M174" s="108"/>
      <c r="N174" s="108"/>
      <c r="O174" s="108"/>
      <c r="P174" s="108"/>
      <c r="Q174" s="108"/>
      <c r="R174" s="108"/>
      <c r="S174" s="108"/>
      <c r="T174" s="108"/>
      <c r="U174" s="108"/>
      <c r="V174" s="108"/>
      <c r="W174" s="108"/>
      <c r="X174" s="108"/>
      <c r="Y174" s="108"/>
      <c r="Z174" s="108"/>
      <c r="AA174" s="108"/>
      <c r="AB174" s="108"/>
      <c r="AC174" s="108"/>
      <c r="AD174" s="108"/>
      <c r="AE174" s="108"/>
      <c r="AF174" s="1100"/>
      <c r="AG174" s="99"/>
      <c r="AH174" s="677"/>
      <c r="AI174" s="677"/>
      <c r="AJ174" s="677"/>
      <c r="AK174" s="677"/>
    </row>
    <row r="175" spans="1:37" x14ac:dyDescent="0.3">
      <c r="A175" s="112" t="s">
        <v>33</v>
      </c>
      <c r="B175" s="113">
        <f>J175+L175+N175+P175+R175+T175+V175+X175+Z175+AB175+AD175+H175</f>
        <v>105.1</v>
      </c>
      <c r="C175" s="114">
        <f>H175+J175+L175+N175+P175+R175+T175+V175+X175+Z175+AB175+AD175</f>
        <v>105.1</v>
      </c>
      <c r="D175" s="115">
        <f>E175</f>
        <v>105.1</v>
      </c>
      <c r="E175" s="114">
        <f>SUM(I175,K175,M175,O175,Q175,S175,U175,W175,Y175,AA175,AC175,AE175)</f>
        <v>105.1</v>
      </c>
      <c r="F175" s="113">
        <f>IFERROR(E175/B175*100,0)</f>
        <v>100</v>
      </c>
      <c r="G175" s="113">
        <f>IFERROR(E175/C175*100,0)</f>
        <v>100</v>
      </c>
      <c r="H175" s="108">
        <v>0</v>
      </c>
      <c r="I175" s="108">
        <v>0</v>
      </c>
      <c r="J175" s="108">
        <v>0</v>
      </c>
      <c r="K175" s="108">
        <v>0</v>
      </c>
      <c r="L175" s="108">
        <v>90</v>
      </c>
      <c r="M175" s="108">
        <v>0</v>
      </c>
      <c r="N175" s="108">
        <v>15.1</v>
      </c>
      <c r="O175" s="108">
        <v>105.1</v>
      </c>
      <c r="P175" s="108">
        <v>0</v>
      </c>
      <c r="Q175" s="108">
        <v>0</v>
      </c>
      <c r="R175" s="108">
        <v>0</v>
      </c>
      <c r="S175" s="108">
        <v>-11.476000000000001</v>
      </c>
      <c r="T175" s="108">
        <v>0</v>
      </c>
      <c r="U175" s="108">
        <v>0</v>
      </c>
      <c r="V175" s="108">
        <v>0</v>
      </c>
      <c r="W175" s="108">
        <v>0</v>
      </c>
      <c r="X175" s="108">
        <v>0</v>
      </c>
      <c r="Y175" s="108">
        <v>0</v>
      </c>
      <c r="Z175" s="108">
        <v>0</v>
      </c>
      <c r="AA175" s="108">
        <v>0</v>
      </c>
      <c r="AB175" s="108">
        <v>0</v>
      </c>
      <c r="AC175" s="108">
        <v>0</v>
      </c>
      <c r="AD175" s="108">
        <v>0</v>
      </c>
      <c r="AE175" s="108">
        <v>11.476000000000001</v>
      </c>
      <c r="AF175" s="1100"/>
      <c r="AG175" s="99"/>
      <c r="AH175" s="677"/>
      <c r="AI175" s="677"/>
      <c r="AJ175" s="677"/>
      <c r="AK175" s="677"/>
    </row>
    <row r="176" spans="1:37" x14ac:dyDescent="0.3">
      <c r="A176" s="112" t="s">
        <v>170</v>
      </c>
      <c r="B176" s="113"/>
      <c r="C176" s="114"/>
      <c r="D176" s="115"/>
      <c r="E176" s="114"/>
      <c r="F176" s="113"/>
      <c r="G176" s="113"/>
      <c r="H176" s="108"/>
      <c r="I176" s="108"/>
      <c r="J176" s="108"/>
      <c r="K176" s="108"/>
      <c r="L176" s="108"/>
      <c r="M176" s="108"/>
      <c r="N176" s="108"/>
      <c r="O176" s="108"/>
      <c r="P176" s="108"/>
      <c r="Q176" s="108"/>
      <c r="R176" s="108"/>
      <c r="S176" s="108"/>
      <c r="T176" s="108"/>
      <c r="U176" s="108"/>
      <c r="V176" s="108"/>
      <c r="W176" s="108"/>
      <c r="X176" s="108"/>
      <c r="Y176" s="108"/>
      <c r="Z176" s="108"/>
      <c r="AA176" s="108"/>
      <c r="AB176" s="108"/>
      <c r="AC176" s="108"/>
      <c r="AD176" s="108"/>
      <c r="AE176" s="108"/>
      <c r="AF176" s="1100"/>
      <c r="AG176" s="99"/>
      <c r="AH176" s="677"/>
      <c r="AI176" s="677"/>
      <c r="AJ176" s="677"/>
      <c r="AK176" s="677"/>
    </row>
    <row r="177" spans="1:37" ht="112.5" x14ac:dyDescent="0.3">
      <c r="A177" s="119" t="s">
        <v>197</v>
      </c>
      <c r="B177" s="131"/>
      <c r="C177" s="132"/>
      <c r="D177" s="132"/>
      <c r="E177" s="132"/>
      <c r="F177" s="132"/>
      <c r="G177" s="132"/>
      <c r="H177" s="108"/>
      <c r="I177" s="108"/>
      <c r="J177" s="108"/>
      <c r="K177" s="108"/>
      <c r="L177" s="108"/>
      <c r="M177" s="108"/>
      <c r="N177" s="108"/>
      <c r="O177" s="108"/>
      <c r="P177" s="108"/>
      <c r="Q177" s="108"/>
      <c r="R177" s="108"/>
      <c r="S177" s="108"/>
      <c r="T177" s="108"/>
      <c r="U177" s="108"/>
      <c r="V177" s="108"/>
      <c r="W177" s="108"/>
      <c r="X177" s="108"/>
      <c r="Y177" s="108"/>
      <c r="Z177" s="108"/>
      <c r="AA177" s="108"/>
      <c r="AB177" s="108"/>
      <c r="AC177" s="108"/>
      <c r="AD177" s="108"/>
      <c r="AE177" s="108"/>
      <c r="AF177" s="1069" t="s">
        <v>710</v>
      </c>
      <c r="AG177" s="99"/>
      <c r="AH177" s="677"/>
      <c r="AI177" s="677"/>
      <c r="AJ177" s="677"/>
      <c r="AK177" s="677"/>
    </row>
    <row r="178" spans="1:37" x14ac:dyDescent="0.3">
      <c r="A178" s="109" t="s">
        <v>31</v>
      </c>
      <c r="B178" s="591">
        <f>B180+B181+B179+B182</f>
        <v>200</v>
      </c>
      <c r="C178" s="591">
        <f>C180+C181+C179+C182</f>
        <v>200</v>
      </c>
      <c r="D178" s="110">
        <f>D180+D181+D179+D182</f>
        <v>200</v>
      </c>
      <c r="E178" s="110">
        <f>E180+E181+E179+E182</f>
        <v>200</v>
      </c>
      <c r="F178" s="110">
        <f>IFERROR(E178/B178*100,0)</f>
        <v>100</v>
      </c>
      <c r="G178" s="110">
        <f>IFERROR(E178/C178*100,0)</f>
        <v>100</v>
      </c>
      <c r="H178" s="110">
        <f t="shared" ref="H178:AE178" si="46">H180+H181+H179+H182</f>
        <v>0</v>
      </c>
      <c r="I178" s="110">
        <f t="shared" si="46"/>
        <v>0</v>
      </c>
      <c r="J178" s="110">
        <f t="shared" si="46"/>
        <v>0</v>
      </c>
      <c r="K178" s="110">
        <f t="shared" si="46"/>
        <v>0</v>
      </c>
      <c r="L178" s="110">
        <f t="shared" si="46"/>
        <v>0</v>
      </c>
      <c r="M178" s="110">
        <f t="shared" si="46"/>
        <v>0</v>
      </c>
      <c r="N178" s="110">
        <f t="shared" si="46"/>
        <v>0</v>
      </c>
      <c r="O178" s="110">
        <f t="shared" si="46"/>
        <v>0</v>
      </c>
      <c r="P178" s="110">
        <f t="shared" si="46"/>
        <v>0</v>
      </c>
      <c r="Q178" s="110">
        <f t="shared" si="46"/>
        <v>0</v>
      </c>
      <c r="R178" s="110">
        <f t="shared" si="46"/>
        <v>0</v>
      </c>
      <c r="S178" s="110">
        <f t="shared" si="46"/>
        <v>0</v>
      </c>
      <c r="T178" s="110">
        <f t="shared" si="46"/>
        <v>0</v>
      </c>
      <c r="U178" s="110">
        <f t="shared" si="46"/>
        <v>0</v>
      </c>
      <c r="V178" s="110">
        <f t="shared" si="46"/>
        <v>60</v>
      </c>
      <c r="W178" s="110">
        <f t="shared" si="46"/>
        <v>0</v>
      </c>
      <c r="X178" s="110">
        <f t="shared" si="46"/>
        <v>140</v>
      </c>
      <c r="Y178" s="110">
        <f t="shared" si="46"/>
        <v>60</v>
      </c>
      <c r="Z178" s="110">
        <f t="shared" si="46"/>
        <v>0</v>
      </c>
      <c r="AA178" s="110">
        <f t="shared" si="46"/>
        <v>56.5</v>
      </c>
      <c r="AB178" s="110">
        <f t="shared" si="46"/>
        <v>0</v>
      </c>
      <c r="AC178" s="110">
        <f t="shared" si="46"/>
        <v>49</v>
      </c>
      <c r="AD178" s="110">
        <f t="shared" si="46"/>
        <v>0</v>
      </c>
      <c r="AE178" s="110">
        <f t="shared" si="46"/>
        <v>34.5</v>
      </c>
      <c r="AF178" s="1103"/>
      <c r="AG178" s="99"/>
      <c r="AH178" s="677"/>
      <c r="AI178" s="677"/>
      <c r="AJ178" s="677"/>
      <c r="AK178" s="677"/>
    </row>
    <row r="179" spans="1:37" x14ac:dyDescent="0.3">
      <c r="A179" s="112" t="s">
        <v>169</v>
      </c>
      <c r="B179" s="113"/>
      <c r="C179" s="712"/>
      <c r="D179" s="115"/>
      <c r="E179" s="114"/>
      <c r="F179" s="113"/>
      <c r="G179" s="113"/>
      <c r="H179" s="108"/>
      <c r="I179" s="108"/>
      <c r="J179" s="108"/>
      <c r="K179" s="108"/>
      <c r="L179" s="108"/>
      <c r="M179" s="108"/>
      <c r="N179" s="108"/>
      <c r="O179" s="108"/>
      <c r="P179" s="108"/>
      <c r="Q179" s="108"/>
      <c r="R179" s="108"/>
      <c r="S179" s="108"/>
      <c r="T179" s="108"/>
      <c r="U179" s="108"/>
      <c r="V179" s="108"/>
      <c r="W179" s="108"/>
      <c r="X179" s="108"/>
      <c r="Y179" s="108"/>
      <c r="Z179" s="108"/>
      <c r="AA179" s="108"/>
      <c r="AB179" s="108"/>
      <c r="AC179" s="108"/>
      <c r="AD179" s="108"/>
      <c r="AE179" s="108"/>
      <c r="AF179" s="1100"/>
      <c r="AG179" s="99"/>
      <c r="AH179" s="677"/>
      <c r="AI179" s="677"/>
      <c r="AJ179" s="677"/>
      <c r="AK179" s="677"/>
    </row>
    <row r="180" spans="1:37" x14ac:dyDescent="0.3">
      <c r="A180" s="112" t="s">
        <v>32</v>
      </c>
      <c r="B180" s="113"/>
      <c r="C180" s="712"/>
      <c r="D180" s="115"/>
      <c r="E180" s="114"/>
      <c r="F180" s="113"/>
      <c r="G180" s="113"/>
      <c r="H180" s="108"/>
      <c r="I180" s="108"/>
      <c r="J180" s="108"/>
      <c r="K180" s="108"/>
      <c r="L180" s="108"/>
      <c r="M180" s="108"/>
      <c r="N180" s="108"/>
      <c r="O180" s="108"/>
      <c r="P180" s="108"/>
      <c r="Q180" s="108"/>
      <c r="R180" s="108"/>
      <c r="S180" s="108"/>
      <c r="T180" s="108"/>
      <c r="U180" s="108"/>
      <c r="V180" s="108"/>
      <c r="W180" s="108"/>
      <c r="X180" s="108"/>
      <c r="Y180" s="108"/>
      <c r="Z180" s="108"/>
      <c r="AA180" s="108"/>
      <c r="AB180" s="108"/>
      <c r="AC180" s="108"/>
      <c r="AD180" s="108"/>
      <c r="AE180" s="108"/>
      <c r="AF180" s="1100"/>
      <c r="AG180" s="99"/>
      <c r="AH180" s="677"/>
      <c r="AI180" s="677"/>
      <c r="AJ180" s="677"/>
      <c r="AK180" s="677"/>
    </row>
    <row r="181" spans="1:37" x14ac:dyDescent="0.3">
      <c r="A181" s="112" t="s">
        <v>33</v>
      </c>
      <c r="B181" s="113">
        <f>J181+L181+N181+P181+R181+T181+V181+X181+Z181+AB181+AD181+H181</f>
        <v>200</v>
      </c>
      <c r="C181" s="712">
        <f>H181+J181+L181+N181+P181+R181+T181+V181+X181+Z181+AB181+AD181</f>
        <v>200</v>
      </c>
      <c r="D181" s="115">
        <f>E181</f>
        <v>200</v>
      </c>
      <c r="E181" s="114">
        <f>SUM(I181,K181,M181,O181,Q181,S181,U181,W181,Y181,AA181,AC181,AE181)</f>
        <v>200</v>
      </c>
      <c r="F181" s="113">
        <f>IFERROR(E181/B181*100,0)</f>
        <v>100</v>
      </c>
      <c r="G181" s="113">
        <f>IFERROR(E181/C181*100,0)</f>
        <v>100</v>
      </c>
      <c r="H181" s="108">
        <v>0</v>
      </c>
      <c r="I181" s="108">
        <v>0</v>
      </c>
      <c r="J181" s="108">
        <v>0</v>
      </c>
      <c r="K181" s="108">
        <v>0</v>
      </c>
      <c r="L181" s="108">
        <v>0</v>
      </c>
      <c r="M181" s="108">
        <v>0</v>
      </c>
      <c r="N181" s="108">
        <v>0</v>
      </c>
      <c r="O181" s="108">
        <v>0</v>
      </c>
      <c r="P181" s="108">
        <v>0</v>
      </c>
      <c r="Q181" s="108">
        <v>0</v>
      </c>
      <c r="R181" s="108">
        <v>0</v>
      </c>
      <c r="S181" s="108">
        <v>0</v>
      </c>
      <c r="T181" s="108">
        <v>0</v>
      </c>
      <c r="U181" s="108">
        <v>0</v>
      </c>
      <c r="V181" s="108">
        <v>60</v>
      </c>
      <c r="W181" s="108">
        <v>0</v>
      </c>
      <c r="X181" s="108">
        <v>140</v>
      </c>
      <c r="Y181" s="108">
        <v>60</v>
      </c>
      <c r="Z181" s="108">
        <v>0</v>
      </c>
      <c r="AA181" s="108">
        <v>56.5</v>
      </c>
      <c r="AB181" s="108">
        <v>0</v>
      </c>
      <c r="AC181" s="108">
        <v>49</v>
      </c>
      <c r="AD181" s="108">
        <v>0</v>
      </c>
      <c r="AE181" s="108">
        <v>34.5</v>
      </c>
      <c r="AF181" s="1100"/>
      <c r="AG181" s="99"/>
      <c r="AH181" s="677"/>
      <c r="AI181" s="677"/>
      <c r="AJ181" s="677"/>
      <c r="AK181" s="677"/>
    </row>
    <row r="182" spans="1:37" x14ac:dyDescent="0.3">
      <c r="A182" s="112" t="s">
        <v>170</v>
      </c>
      <c r="B182" s="113"/>
      <c r="C182" s="114"/>
      <c r="D182" s="115"/>
      <c r="E182" s="114"/>
      <c r="F182" s="113"/>
      <c r="G182" s="113"/>
      <c r="H182" s="108"/>
      <c r="I182" s="108"/>
      <c r="J182" s="108"/>
      <c r="K182" s="108"/>
      <c r="L182" s="108"/>
      <c r="M182" s="108"/>
      <c r="N182" s="108"/>
      <c r="O182" s="108"/>
      <c r="P182" s="108"/>
      <c r="Q182" s="108"/>
      <c r="R182" s="108"/>
      <c r="S182" s="108"/>
      <c r="T182" s="108"/>
      <c r="U182" s="108"/>
      <c r="V182" s="108"/>
      <c r="W182" s="108"/>
      <c r="X182" s="108"/>
      <c r="Y182" s="108"/>
      <c r="Z182" s="108"/>
      <c r="AA182" s="108"/>
      <c r="AB182" s="108"/>
      <c r="AC182" s="108"/>
      <c r="AD182" s="108"/>
      <c r="AE182" s="108"/>
      <c r="AF182" s="1100"/>
      <c r="AG182" s="99"/>
      <c r="AH182" s="677"/>
      <c r="AI182" s="677"/>
      <c r="AJ182" s="677"/>
      <c r="AK182" s="677"/>
    </row>
    <row r="183" spans="1:37" x14ac:dyDescent="0.3">
      <c r="A183" s="119" t="s">
        <v>198</v>
      </c>
      <c r="B183" s="131"/>
      <c r="C183" s="132"/>
      <c r="D183" s="132"/>
      <c r="E183" s="132"/>
      <c r="F183" s="132"/>
      <c r="G183" s="132"/>
      <c r="H183" s="108"/>
      <c r="I183" s="108"/>
      <c r="J183" s="108"/>
      <c r="K183" s="108"/>
      <c r="L183" s="108"/>
      <c r="M183" s="108"/>
      <c r="N183" s="108"/>
      <c r="O183" s="108"/>
      <c r="P183" s="108"/>
      <c r="Q183" s="108"/>
      <c r="R183" s="108"/>
      <c r="S183" s="108"/>
      <c r="T183" s="108"/>
      <c r="U183" s="108"/>
      <c r="V183" s="108"/>
      <c r="W183" s="108"/>
      <c r="X183" s="108"/>
      <c r="Y183" s="108"/>
      <c r="Z183" s="108"/>
      <c r="AA183" s="108"/>
      <c r="AB183" s="108"/>
      <c r="AC183" s="108"/>
      <c r="AD183" s="108"/>
      <c r="AE183" s="108"/>
      <c r="AF183" s="1100"/>
      <c r="AG183" s="99"/>
      <c r="AH183" s="677"/>
      <c r="AI183" s="677"/>
      <c r="AJ183" s="677"/>
      <c r="AK183" s="677"/>
    </row>
    <row r="184" spans="1:37" ht="168.75" x14ac:dyDescent="0.3">
      <c r="A184" s="109" t="s">
        <v>31</v>
      </c>
      <c r="B184" s="591">
        <f>B186+B187+B185+B188</f>
        <v>68</v>
      </c>
      <c r="C184" s="591">
        <f>C186+C187+C185+C188</f>
        <v>68</v>
      </c>
      <c r="D184" s="591">
        <f>D186+D187+D185+D188</f>
        <v>0</v>
      </c>
      <c r="E184" s="591">
        <f>E186+E187+E185+E188</f>
        <v>0</v>
      </c>
      <c r="F184" s="110">
        <f>IFERROR(E184/B184*100,0)</f>
        <v>0</v>
      </c>
      <c r="G184" s="110">
        <f>IFERROR(E184/C184*100,0)</f>
        <v>0</v>
      </c>
      <c r="H184" s="110">
        <f t="shared" ref="H184:AE184" si="47">H186+H187+H185+H188</f>
        <v>0</v>
      </c>
      <c r="I184" s="110">
        <f t="shared" si="47"/>
        <v>0</v>
      </c>
      <c r="J184" s="110">
        <f t="shared" si="47"/>
        <v>0</v>
      </c>
      <c r="K184" s="110">
        <f t="shared" si="47"/>
        <v>0</v>
      </c>
      <c r="L184" s="110">
        <f t="shared" si="47"/>
        <v>68</v>
      </c>
      <c r="M184" s="110">
        <f t="shared" si="47"/>
        <v>0</v>
      </c>
      <c r="N184" s="110">
        <f t="shared" si="47"/>
        <v>0</v>
      </c>
      <c r="O184" s="110">
        <f t="shared" si="47"/>
        <v>0</v>
      </c>
      <c r="P184" s="110">
        <f t="shared" si="47"/>
        <v>0</v>
      </c>
      <c r="Q184" s="110">
        <f t="shared" si="47"/>
        <v>0</v>
      </c>
      <c r="R184" s="110">
        <f t="shared" si="47"/>
        <v>0</v>
      </c>
      <c r="S184" s="110">
        <f t="shared" si="47"/>
        <v>0</v>
      </c>
      <c r="T184" s="110">
        <f t="shared" si="47"/>
        <v>0</v>
      </c>
      <c r="U184" s="110">
        <f t="shared" si="47"/>
        <v>0</v>
      </c>
      <c r="V184" s="110">
        <f t="shared" si="47"/>
        <v>0</v>
      </c>
      <c r="W184" s="110">
        <f t="shared" si="47"/>
        <v>0</v>
      </c>
      <c r="X184" s="110">
        <f t="shared" si="47"/>
        <v>0</v>
      </c>
      <c r="Y184" s="110">
        <f t="shared" si="47"/>
        <v>0</v>
      </c>
      <c r="Z184" s="110">
        <f t="shared" si="47"/>
        <v>0</v>
      </c>
      <c r="AA184" s="110">
        <f t="shared" si="47"/>
        <v>0</v>
      </c>
      <c r="AB184" s="110">
        <f t="shared" si="47"/>
        <v>0</v>
      </c>
      <c r="AC184" s="110">
        <f t="shared" si="47"/>
        <v>0</v>
      </c>
      <c r="AD184" s="110">
        <f t="shared" si="47"/>
        <v>0</v>
      </c>
      <c r="AE184" s="110">
        <f t="shared" si="47"/>
        <v>0</v>
      </c>
      <c r="AF184" s="1110" t="s">
        <v>704</v>
      </c>
      <c r="AG184" s="99"/>
      <c r="AH184" s="677"/>
      <c r="AI184" s="677"/>
      <c r="AJ184" s="677"/>
      <c r="AK184" s="677"/>
    </row>
    <row r="185" spans="1:37" x14ac:dyDescent="0.3">
      <c r="A185" s="112" t="s">
        <v>169</v>
      </c>
      <c r="B185" s="594"/>
      <c r="C185" s="712"/>
      <c r="D185" s="715"/>
      <c r="E185" s="712"/>
      <c r="F185" s="113"/>
      <c r="G185" s="113"/>
      <c r="H185" s="108"/>
      <c r="I185" s="108"/>
      <c r="J185" s="108"/>
      <c r="K185" s="108"/>
      <c r="L185" s="108"/>
      <c r="M185" s="108"/>
      <c r="N185" s="108"/>
      <c r="O185" s="108"/>
      <c r="P185" s="108"/>
      <c r="Q185" s="108"/>
      <c r="R185" s="108"/>
      <c r="S185" s="108"/>
      <c r="T185" s="108"/>
      <c r="U185" s="108"/>
      <c r="V185" s="108"/>
      <c r="W185" s="108"/>
      <c r="X185" s="108"/>
      <c r="Y185" s="108"/>
      <c r="Z185" s="108"/>
      <c r="AA185" s="108"/>
      <c r="AB185" s="108"/>
      <c r="AC185" s="108"/>
      <c r="AD185" s="108"/>
      <c r="AE185" s="108"/>
      <c r="AF185" s="1100"/>
      <c r="AG185" s="99"/>
      <c r="AH185" s="677"/>
      <c r="AI185" s="677"/>
      <c r="AJ185" s="677"/>
      <c r="AK185" s="677"/>
    </row>
    <row r="186" spans="1:37" x14ac:dyDescent="0.3">
      <c r="A186" s="112" t="s">
        <v>32</v>
      </c>
      <c r="B186" s="594"/>
      <c r="C186" s="712"/>
      <c r="D186" s="715"/>
      <c r="E186" s="712"/>
      <c r="F186" s="113"/>
      <c r="G186" s="113"/>
      <c r="H186" s="108"/>
      <c r="I186" s="108"/>
      <c r="J186" s="108"/>
      <c r="K186" s="108"/>
      <c r="L186" s="108"/>
      <c r="M186" s="108"/>
      <c r="N186" s="108"/>
      <c r="O186" s="108"/>
      <c r="P186" s="108"/>
      <c r="Q186" s="108"/>
      <c r="R186" s="108"/>
      <c r="S186" s="108"/>
      <c r="T186" s="108"/>
      <c r="U186" s="108"/>
      <c r="V186" s="108"/>
      <c r="W186" s="108"/>
      <c r="X186" s="108"/>
      <c r="Y186" s="108"/>
      <c r="Z186" s="108"/>
      <c r="AA186" s="108"/>
      <c r="AB186" s="108"/>
      <c r="AC186" s="108"/>
      <c r="AD186" s="108"/>
      <c r="AE186" s="108"/>
      <c r="AF186" s="1100"/>
      <c r="AG186" s="99"/>
      <c r="AH186" s="677"/>
      <c r="AI186" s="677"/>
      <c r="AJ186" s="677"/>
      <c r="AK186" s="677"/>
    </row>
    <row r="187" spans="1:37" x14ac:dyDescent="0.3">
      <c r="A187" s="112" t="s">
        <v>33</v>
      </c>
      <c r="B187" s="594">
        <f>J187+L187+N187+P187+R187+T187+V187+X187+Z187+AB187+AD187+H187</f>
        <v>68</v>
      </c>
      <c r="C187" s="712">
        <f>H187+J187+L187+N187+P187+R187+T187+V187+X187+Z187+AB187+AD187</f>
        <v>68</v>
      </c>
      <c r="D187" s="715">
        <v>0</v>
      </c>
      <c r="E187" s="712">
        <f>SUM(I187,K187,M187,O187,Q187,S187,U187,W187,Y187,AA187,AC187,AE187)</f>
        <v>0</v>
      </c>
      <c r="F187" s="113">
        <f>IFERROR(E187/B187*100,0)</f>
        <v>0</v>
      </c>
      <c r="G187" s="113">
        <f>IFERROR(E187/C187*100,0)</f>
        <v>0</v>
      </c>
      <c r="H187" s="108">
        <v>0</v>
      </c>
      <c r="I187" s="108">
        <v>0</v>
      </c>
      <c r="J187" s="108">
        <v>0</v>
      </c>
      <c r="K187" s="108">
        <v>0</v>
      </c>
      <c r="L187" s="108">
        <v>68</v>
      </c>
      <c r="M187" s="108">
        <v>0</v>
      </c>
      <c r="N187" s="108">
        <v>0</v>
      </c>
      <c r="O187" s="108">
        <v>0</v>
      </c>
      <c r="P187" s="108">
        <v>0</v>
      </c>
      <c r="Q187" s="108">
        <v>0</v>
      </c>
      <c r="R187" s="108">
        <v>0</v>
      </c>
      <c r="S187" s="108">
        <v>0</v>
      </c>
      <c r="T187" s="108">
        <v>0</v>
      </c>
      <c r="U187" s="108">
        <v>0</v>
      </c>
      <c r="V187" s="108">
        <v>0</v>
      </c>
      <c r="W187" s="108">
        <v>0</v>
      </c>
      <c r="X187" s="108">
        <v>0</v>
      </c>
      <c r="Y187" s="108">
        <v>0</v>
      </c>
      <c r="Z187" s="108">
        <v>0</v>
      </c>
      <c r="AA187" s="108">
        <v>0</v>
      </c>
      <c r="AB187" s="108">
        <v>0</v>
      </c>
      <c r="AC187" s="108">
        <v>0</v>
      </c>
      <c r="AD187" s="108">
        <v>0</v>
      </c>
      <c r="AE187" s="108">
        <v>0</v>
      </c>
      <c r="AF187" s="1100"/>
      <c r="AG187" s="99"/>
      <c r="AH187" s="677"/>
      <c r="AI187" s="677"/>
      <c r="AJ187" s="677"/>
      <c r="AK187" s="677"/>
    </row>
    <row r="188" spans="1:37" x14ac:dyDescent="0.3">
      <c r="A188" s="112" t="s">
        <v>170</v>
      </c>
      <c r="B188" s="113"/>
      <c r="C188" s="114"/>
      <c r="D188" s="115"/>
      <c r="E188" s="114"/>
      <c r="F188" s="113"/>
      <c r="G188" s="113"/>
      <c r="H188" s="108"/>
      <c r="I188" s="108"/>
      <c r="J188" s="108"/>
      <c r="K188" s="108"/>
      <c r="L188" s="108"/>
      <c r="M188" s="108"/>
      <c r="N188" s="108"/>
      <c r="O188" s="108"/>
      <c r="P188" s="108"/>
      <c r="Q188" s="108"/>
      <c r="R188" s="108"/>
      <c r="S188" s="108"/>
      <c r="T188" s="108"/>
      <c r="U188" s="108"/>
      <c r="V188" s="108"/>
      <c r="W188" s="108"/>
      <c r="X188" s="108"/>
      <c r="Y188" s="108"/>
      <c r="Z188" s="108"/>
      <c r="AA188" s="108"/>
      <c r="AB188" s="108"/>
      <c r="AC188" s="108"/>
      <c r="AD188" s="108"/>
      <c r="AE188" s="108"/>
      <c r="AF188" s="1100"/>
      <c r="AG188" s="99"/>
      <c r="AH188" s="677"/>
      <c r="AI188" s="677"/>
      <c r="AJ188" s="677"/>
      <c r="AK188" s="677"/>
    </row>
    <row r="189" spans="1:37" ht="75" x14ac:dyDescent="0.3">
      <c r="A189" s="119" t="s">
        <v>199</v>
      </c>
      <c r="B189" s="113"/>
      <c r="C189" s="120"/>
      <c r="D189" s="120"/>
      <c r="E189" s="120"/>
      <c r="F189" s="120"/>
      <c r="G189" s="120"/>
      <c r="H189" s="108"/>
      <c r="I189" s="108"/>
      <c r="J189" s="108"/>
      <c r="K189" s="108"/>
      <c r="L189" s="108"/>
      <c r="M189" s="108"/>
      <c r="N189" s="108"/>
      <c r="O189" s="108"/>
      <c r="P189" s="108"/>
      <c r="Q189" s="108"/>
      <c r="R189" s="108"/>
      <c r="S189" s="108"/>
      <c r="T189" s="108"/>
      <c r="U189" s="108"/>
      <c r="V189" s="108"/>
      <c r="W189" s="108"/>
      <c r="X189" s="108"/>
      <c r="Y189" s="108"/>
      <c r="Z189" s="108"/>
      <c r="AA189" s="108"/>
      <c r="AB189" s="108"/>
      <c r="AC189" s="108"/>
      <c r="AD189" s="108"/>
      <c r="AE189" s="108"/>
      <c r="AF189" s="1100"/>
      <c r="AG189" s="99"/>
      <c r="AH189" s="677"/>
      <c r="AI189" s="677"/>
      <c r="AJ189" s="677"/>
      <c r="AK189" s="677"/>
    </row>
    <row r="190" spans="1:37" x14ac:dyDescent="0.3">
      <c r="A190" s="109" t="s">
        <v>31</v>
      </c>
      <c r="B190" s="110">
        <f>B192+B193+B191+B194</f>
        <v>0</v>
      </c>
      <c r="C190" s="110">
        <f>C192+C193+C191+C194</f>
        <v>0</v>
      </c>
      <c r="D190" s="110">
        <f>D192+D193+D191+D194</f>
        <v>0</v>
      </c>
      <c r="E190" s="110">
        <f>E192+E193+E191+E194</f>
        <v>0</v>
      </c>
      <c r="F190" s="110">
        <f>IFERROR(E190/B190*100,0)</f>
        <v>0</v>
      </c>
      <c r="G190" s="110">
        <f>IFERROR(E190/C190*100,0)</f>
        <v>0</v>
      </c>
      <c r="H190" s="110">
        <f t="shared" ref="H190:AE190" si="48">H192+H193+H191+H194</f>
        <v>0</v>
      </c>
      <c r="I190" s="110">
        <f t="shared" si="48"/>
        <v>0</v>
      </c>
      <c r="J190" s="110">
        <f t="shared" si="48"/>
        <v>0</v>
      </c>
      <c r="K190" s="110">
        <f t="shared" si="48"/>
        <v>0</v>
      </c>
      <c r="L190" s="110">
        <f t="shared" si="48"/>
        <v>0</v>
      </c>
      <c r="M190" s="110">
        <f t="shared" si="48"/>
        <v>0</v>
      </c>
      <c r="N190" s="110">
        <f t="shared" si="48"/>
        <v>0</v>
      </c>
      <c r="O190" s="110">
        <f t="shared" si="48"/>
        <v>0</v>
      </c>
      <c r="P190" s="110">
        <f t="shared" si="48"/>
        <v>0</v>
      </c>
      <c r="Q190" s="110">
        <f t="shared" si="48"/>
        <v>0</v>
      </c>
      <c r="R190" s="110">
        <f t="shared" si="48"/>
        <v>0</v>
      </c>
      <c r="S190" s="110">
        <f t="shared" si="48"/>
        <v>0</v>
      </c>
      <c r="T190" s="110">
        <f t="shared" si="48"/>
        <v>0</v>
      </c>
      <c r="U190" s="110">
        <f t="shared" si="48"/>
        <v>0</v>
      </c>
      <c r="V190" s="110">
        <f t="shared" si="48"/>
        <v>0</v>
      </c>
      <c r="W190" s="110">
        <f t="shared" si="48"/>
        <v>0</v>
      </c>
      <c r="X190" s="110">
        <f t="shared" si="48"/>
        <v>0</v>
      </c>
      <c r="Y190" s="110">
        <f t="shared" si="48"/>
        <v>0</v>
      </c>
      <c r="Z190" s="110">
        <f t="shared" si="48"/>
        <v>0</v>
      </c>
      <c r="AA190" s="110">
        <f t="shared" si="48"/>
        <v>0</v>
      </c>
      <c r="AB190" s="110">
        <f t="shared" si="48"/>
        <v>0</v>
      </c>
      <c r="AC190" s="110">
        <f t="shared" si="48"/>
        <v>0</v>
      </c>
      <c r="AD190" s="110">
        <f t="shared" si="48"/>
        <v>0</v>
      </c>
      <c r="AE190" s="110">
        <f t="shared" si="48"/>
        <v>0</v>
      </c>
      <c r="AF190" s="1100"/>
      <c r="AG190" s="99"/>
      <c r="AH190" s="677"/>
      <c r="AI190" s="677"/>
      <c r="AJ190" s="677"/>
      <c r="AK190" s="677"/>
    </row>
    <row r="191" spans="1:37" x14ac:dyDescent="0.3">
      <c r="A191" s="112" t="s">
        <v>169</v>
      </c>
      <c r="B191" s="113">
        <f>H191+J191+L191+N191+P191+R191+T191+V191+X191+Z191+AB191+AD191</f>
        <v>0</v>
      </c>
      <c r="C191" s="114">
        <f>SUM(H191)</f>
        <v>0</v>
      </c>
      <c r="D191" s="115">
        <f>E191</f>
        <v>0</v>
      </c>
      <c r="E191" s="114">
        <f>SUM(I191,K191,M191,O191,Q191,S191,U191,W191,Y191,AA191,AC191,AE191)</f>
        <v>0</v>
      </c>
      <c r="F191" s="113">
        <f>IFERROR(E191/B191*100,0)</f>
        <v>0</v>
      </c>
      <c r="G191" s="113">
        <f>IFERROR(E191/C191*100,0)</f>
        <v>0</v>
      </c>
      <c r="H191" s="108"/>
      <c r="I191" s="108"/>
      <c r="J191" s="108"/>
      <c r="K191" s="108"/>
      <c r="L191" s="108"/>
      <c r="M191" s="108"/>
      <c r="N191" s="108"/>
      <c r="O191" s="108"/>
      <c r="P191" s="108"/>
      <c r="Q191" s="108"/>
      <c r="R191" s="108"/>
      <c r="S191" s="108"/>
      <c r="T191" s="108"/>
      <c r="U191" s="108"/>
      <c r="V191" s="108"/>
      <c r="W191" s="108"/>
      <c r="X191" s="108"/>
      <c r="Y191" s="108"/>
      <c r="Z191" s="108"/>
      <c r="AA191" s="108"/>
      <c r="AB191" s="108"/>
      <c r="AC191" s="108"/>
      <c r="AD191" s="108"/>
      <c r="AE191" s="108"/>
      <c r="AF191" s="1100"/>
      <c r="AG191" s="99"/>
      <c r="AH191" s="677"/>
      <c r="AI191" s="677"/>
      <c r="AJ191" s="677"/>
      <c r="AK191" s="677"/>
    </row>
    <row r="192" spans="1:37" x14ac:dyDescent="0.3">
      <c r="A192" s="112" t="s">
        <v>32</v>
      </c>
      <c r="B192" s="113">
        <f>J192+L192+N192+P192+R192+T192+V192+X192+Z192+AB192+AD192+H192</f>
        <v>0</v>
      </c>
      <c r="C192" s="114">
        <f>SUM(H192)</f>
        <v>0</v>
      </c>
      <c r="D192" s="115">
        <f>E192</f>
        <v>0</v>
      </c>
      <c r="E192" s="114">
        <f>SUM(I192,K192,M192,O192,Q192,S192,U192,W192,Y192,AA192,AC192,AE192)</f>
        <v>0</v>
      </c>
      <c r="F192" s="113">
        <f>IFERROR(E192/B192*100,0)</f>
        <v>0</v>
      </c>
      <c r="G192" s="113">
        <f>IFERROR(E192/C192*100,0)</f>
        <v>0</v>
      </c>
      <c r="H192" s="108"/>
      <c r="I192" s="108"/>
      <c r="J192" s="108"/>
      <c r="K192" s="108"/>
      <c r="L192" s="108"/>
      <c r="M192" s="108"/>
      <c r="N192" s="108"/>
      <c r="O192" s="108"/>
      <c r="P192" s="108"/>
      <c r="Q192" s="108"/>
      <c r="R192" s="108"/>
      <c r="S192" s="108"/>
      <c r="T192" s="108"/>
      <c r="U192" s="108"/>
      <c r="V192" s="108"/>
      <c r="W192" s="108"/>
      <c r="X192" s="108"/>
      <c r="Y192" s="108"/>
      <c r="Z192" s="108"/>
      <c r="AA192" s="108"/>
      <c r="AB192" s="108"/>
      <c r="AC192" s="108"/>
      <c r="AD192" s="108"/>
      <c r="AE192" s="108"/>
      <c r="AF192" s="1100"/>
      <c r="AG192" s="99"/>
      <c r="AH192" s="677"/>
      <c r="AI192" s="677"/>
      <c r="AJ192" s="677"/>
      <c r="AK192" s="677"/>
    </row>
    <row r="193" spans="1:37" x14ac:dyDescent="0.3">
      <c r="A193" s="112" t="s">
        <v>33</v>
      </c>
      <c r="B193" s="113">
        <f>J193+L193+N193+P193+R193+T193+V193+X193+Z193+AB193+AD193+H193</f>
        <v>0</v>
      </c>
      <c r="C193" s="114">
        <f>SUM(H193)</f>
        <v>0</v>
      </c>
      <c r="D193" s="115">
        <f>E193</f>
        <v>0</v>
      </c>
      <c r="E193" s="114">
        <f>SUM(I193,K193,M193,O193,Q193,S193,U193,W193,Y193,AA193,AC193,AE193)</f>
        <v>0</v>
      </c>
      <c r="F193" s="113">
        <f>IFERROR(E193/B193*100,0)</f>
        <v>0</v>
      </c>
      <c r="G193" s="113">
        <f>IFERROR(E193/C193*100,0)</f>
        <v>0</v>
      </c>
      <c r="H193" s="108">
        <v>0</v>
      </c>
      <c r="I193" s="108">
        <v>0</v>
      </c>
      <c r="J193" s="108">
        <v>0</v>
      </c>
      <c r="K193" s="108">
        <v>0</v>
      </c>
      <c r="L193" s="108">
        <v>0</v>
      </c>
      <c r="M193" s="108">
        <v>0</v>
      </c>
      <c r="N193" s="108">
        <v>0</v>
      </c>
      <c r="O193" s="108">
        <v>0</v>
      </c>
      <c r="P193" s="108"/>
      <c r="Q193" s="108"/>
      <c r="R193" s="108"/>
      <c r="S193" s="108"/>
      <c r="T193" s="108"/>
      <c r="U193" s="108"/>
      <c r="V193" s="108"/>
      <c r="W193" s="108"/>
      <c r="X193" s="108"/>
      <c r="Y193" s="108"/>
      <c r="Z193" s="108"/>
      <c r="AA193" s="108"/>
      <c r="AB193" s="108"/>
      <c r="AC193" s="108"/>
      <c r="AD193" s="108"/>
      <c r="AE193" s="108"/>
      <c r="AF193" s="1100"/>
      <c r="AG193" s="99"/>
      <c r="AH193" s="677"/>
      <c r="AI193" s="677"/>
      <c r="AJ193" s="677"/>
      <c r="AK193" s="677"/>
    </row>
    <row r="194" spans="1:37" x14ac:dyDescent="0.3">
      <c r="A194" s="112" t="s">
        <v>170</v>
      </c>
      <c r="B194" s="113">
        <f>J194+L194+N194+P194+R194+T194+V194+X194+Z194+AB194+AD194+H194</f>
        <v>0</v>
      </c>
      <c r="C194" s="114">
        <f>SUM(H194)</f>
        <v>0</v>
      </c>
      <c r="D194" s="115">
        <f>E194</f>
        <v>0</v>
      </c>
      <c r="E194" s="114">
        <f>SUM(I194,K194,M194,O194,Q194,S194,U194,W194,Y194,AA194,AC194,AE194)</f>
        <v>0</v>
      </c>
      <c r="F194" s="113">
        <f>IFERROR(E194/B194*100,0)</f>
        <v>0</v>
      </c>
      <c r="G194" s="113">
        <f>IFERROR(E194/C194*100,0)</f>
        <v>0</v>
      </c>
      <c r="H194" s="108"/>
      <c r="I194" s="108"/>
      <c r="J194" s="108"/>
      <c r="K194" s="108"/>
      <c r="L194" s="108"/>
      <c r="M194" s="108"/>
      <c r="N194" s="108"/>
      <c r="O194" s="108"/>
      <c r="P194" s="108"/>
      <c r="Q194" s="108"/>
      <c r="R194" s="108"/>
      <c r="S194" s="108"/>
      <c r="T194" s="108"/>
      <c r="U194" s="108"/>
      <c r="V194" s="108"/>
      <c r="W194" s="108"/>
      <c r="X194" s="108"/>
      <c r="Y194" s="108"/>
      <c r="Z194" s="108"/>
      <c r="AA194" s="108"/>
      <c r="AB194" s="108"/>
      <c r="AC194" s="108"/>
      <c r="AD194" s="108"/>
      <c r="AE194" s="108"/>
      <c r="AF194" s="1100"/>
      <c r="AG194" s="99"/>
      <c r="AH194" s="677"/>
      <c r="AI194" s="677"/>
      <c r="AJ194" s="677"/>
      <c r="AK194" s="677"/>
    </row>
    <row r="195" spans="1:37" ht="37.5" x14ac:dyDescent="0.3">
      <c r="A195" s="121" t="s">
        <v>200</v>
      </c>
      <c r="B195" s="104"/>
      <c r="C195" s="133"/>
      <c r="D195" s="133"/>
      <c r="E195" s="133"/>
      <c r="F195" s="133"/>
      <c r="G195" s="133"/>
      <c r="H195" s="104"/>
      <c r="I195" s="104"/>
      <c r="J195" s="104"/>
      <c r="K195" s="104"/>
      <c r="L195" s="104"/>
      <c r="M195" s="104"/>
      <c r="N195" s="104"/>
      <c r="O195" s="104"/>
      <c r="P195" s="104"/>
      <c r="Q195" s="104"/>
      <c r="R195" s="104"/>
      <c r="S195" s="104"/>
      <c r="T195" s="104"/>
      <c r="U195" s="104"/>
      <c r="V195" s="104"/>
      <c r="W195" s="104"/>
      <c r="X195" s="104"/>
      <c r="Y195" s="104"/>
      <c r="Z195" s="104"/>
      <c r="AA195" s="104"/>
      <c r="AB195" s="104"/>
      <c r="AC195" s="104"/>
      <c r="AD195" s="104"/>
      <c r="AE195" s="104"/>
      <c r="AF195" s="1100"/>
      <c r="AG195" s="99"/>
      <c r="AH195" s="677"/>
      <c r="AI195" s="677"/>
      <c r="AJ195" s="677"/>
      <c r="AK195" s="677"/>
    </row>
    <row r="196" spans="1:37" x14ac:dyDescent="0.3">
      <c r="A196" s="100" t="s">
        <v>31</v>
      </c>
      <c r="B196" s="101">
        <f>B197+B198+B199+B200</f>
        <v>176097.09399999998</v>
      </c>
      <c r="C196" s="101">
        <f>C197+C198+C199+C200</f>
        <v>176097.09399999998</v>
      </c>
      <c r="D196" s="101">
        <f>D197+D198+D199+D200</f>
        <v>175472.98800000001</v>
      </c>
      <c r="E196" s="101">
        <f>E197+E198+E199+E200</f>
        <v>171317.90699999998</v>
      </c>
      <c r="F196" s="101">
        <f t="shared" ref="F196" si="49">IFERROR(E196/B196*100,0)</f>
        <v>97.286050046913317</v>
      </c>
      <c r="G196" s="101">
        <f t="shared" ref="G196" si="50">IFERROR(E196/C196*100,0)</f>
        <v>97.286050046913317</v>
      </c>
      <c r="H196" s="101">
        <f>H197+H198+H199+H200</f>
        <v>16944.103000000003</v>
      </c>
      <c r="I196" s="101">
        <f t="shared" ref="I196:AE196" si="51">I197+I198+I199+I200</f>
        <v>13353.019</v>
      </c>
      <c r="J196" s="101">
        <f t="shared" si="51"/>
        <v>13239.586000000001</v>
      </c>
      <c r="K196" s="101">
        <f t="shared" si="51"/>
        <v>10800.120999999999</v>
      </c>
      <c r="L196" s="101">
        <f t="shared" si="51"/>
        <v>9777.57</v>
      </c>
      <c r="M196" s="101">
        <f t="shared" si="51"/>
        <v>9469.74</v>
      </c>
      <c r="N196" s="101">
        <f t="shared" si="51"/>
        <v>15594.126999999999</v>
      </c>
      <c r="O196" s="101">
        <f t="shared" si="51"/>
        <v>12064.380000000001</v>
      </c>
      <c r="P196" s="101">
        <f t="shared" si="51"/>
        <v>14082.019999999999</v>
      </c>
      <c r="Q196" s="101">
        <f t="shared" si="51"/>
        <v>9187.514000000001</v>
      </c>
      <c r="R196" s="101">
        <f t="shared" si="51"/>
        <v>15228.46</v>
      </c>
      <c r="S196" s="101">
        <f t="shared" si="51"/>
        <v>19816.169000000002</v>
      </c>
      <c r="T196" s="101">
        <f t="shared" si="51"/>
        <v>16342.565000000001</v>
      </c>
      <c r="U196" s="101">
        <f t="shared" si="51"/>
        <v>17519.874</v>
      </c>
      <c r="V196" s="101">
        <f t="shared" si="51"/>
        <v>13593.370999999999</v>
      </c>
      <c r="W196" s="101">
        <f t="shared" si="51"/>
        <v>9707.4830000000002</v>
      </c>
      <c r="X196" s="101">
        <f t="shared" si="51"/>
        <v>12042.316000000001</v>
      </c>
      <c r="Y196" s="101">
        <f t="shared" si="51"/>
        <v>12571.439</v>
      </c>
      <c r="Z196" s="101">
        <f t="shared" si="51"/>
        <v>13038.235999999999</v>
      </c>
      <c r="AA196" s="101">
        <f t="shared" si="51"/>
        <v>16607.081000000002</v>
      </c>
      <c r="AB196" s="101">
        <f t="shared" si="51"/>
        <v>14081.996999999999</v>
      </c>
      <c r="AC196" s="101">
        <f t="shared" si="51"/>
        <v>11396.56</v>
      </c>
      <c r="AD196" s="101">
        <f t="shared" si="51"/>
        <v>22132.742999999999</v>
      </c>
      <c r="AE196" s="101">
        <f t="shared" si="51"/>
        <v>28824.527000000002</v>
      </c>
      <c r="AF196" s="1100"/>
      <c r="AG196" s="99"/>
      <c r="AH196" s="677"/>
      <c r="AI196" s="677"/>
      <c r="AJ196" s="677"/>
      <c r="AK196" s="677"/>
    </row>
    <row r="197" spans="1:37" x14ac:dyDescent="0.3">
      <c r="A197" s="103" t="s">
        <v>169</v>
      </c>
      <c r="B197" s="104"/>
      <c r="C197" s="104"/>
      <c r="D197" s="104"/>
      <c r="E197" s="104"/>
      <c r="F197" s="104"/>
      <c r="G197" s="104"/>
      <c r="H197" s="104"/>
      <c r="I197" s="104"/>
      <c r="J197" s="104"/>
      <c r="K197" s="104"/>
      <c r="L197" s="104"/>
      <c r="M197" s="104"/>
      <c r="N197" s="104"/>
      <c r="O197" s="104"/>
      <c r="P197" s="104"/>
      <c r="Q197" s="104"/>
      <c r="R197" s="104"/>
      <c r="S197" s="104"/>
      <c r="T197" s="104"/>
      <c r="U197" s="104"/>
      <c r="V197" s="104"/>
      <c r="W197" s="104"/>
      <c r="X197" s="104"/>
      <c r="Y197" s="104"/>
      <c r="Z197" s="104"/>
      <c r="AA197" s="104"/>
      <c r="AB197" s="104"/>
      <c r="AC197" s="104"/>
      <c r="AD197" s="104"/>
      <c r="AE197" s="104"/>
      <c r="AF197" s="1100"/>
      <c r="AG197" s="99"/>
      <c r="AH197" s="677"/>
      <c r="AI197" s="677"/>
      <c r="AJ197" s="677"/>
      <c r="AK197" s="677"/>
    </row>
    <row r="198" spans="1:37" x14ac:dyDescent="0.3">
      <c r="A198" s="103" t="s">
        <v>32</v>
      </c>
      <c r="B198" s="104"/>
      <c r="C198" s="104"/>
      <c r="D198" s="104"/>
      <c r="E198" s="104"/>
      <c r="F198" s="104"/>
      <c r="G198" s="104"/>
      <c r="H198" s="104"/>
      <c r="I198" s="104"/>
      <c r="J198" s="104"/>
      <c r="K198" s="104"/>
      <c r="L198" s="104"/>
      <c r="M198" s="104"/>
      <c r="N198" s="104"/>
      <c r="O198" s="104"/>
      <c r="P198" s="104"/>
      <c r="Q198" s="104"/>
      <c r="R198" s="104"/>
      <c r="S198" s="104"/>
      <c r="T198" s="104"/>
      <c r="U198" s="104"/>
      <c r="V198" s="104"/>
      <c r="W198" s="104"/>
      <c r="X198" s="104"/>
      <c r="Y198" s="104"/>
      <c r="Z198" s="104"/>
      <c r="AA198" s="104"/>
      <c r="AB198" s="104"/>
      <c r="AC198" s="104"/>
      <c r="AD198" s="104"/>
      <c r="AE198" s="104"/>
      <c r="AF198" s="1100"/>
      <c r="AG198" s="99"/>
      <c r="AH198" s="677"/>
      <c r="AI198" s="677"/>
      <c r="AJ198" s="677"/>
      <c r="AK198" s="677"/>
    </row>
    <row r="199" spans="1:37" x14ac:dyDescent="0.3">
      <c r="A199" s="103" t="s">
        <v>33</v>
      </c>
      <c r="B199" s="104">
        <f>B205+B211+B217+B223+B229</f>
        <v>169583.09399999998</v>
      </c>
      <c r="C199" s="104">
        <f>C205+C211+C217+C223+C229</f>
        <v>169583.09399999998</v>
      </c>
      <c r="D199" s="104">
        <f>D205+D211+D217+D223+D229</f>
        <v>168958.98800000001</v>
      </c>
      <c r="E199" s="104">
        <f>SUM(I199,K199,M199,O199,Q199,S199,U199,W199,Y199,AA199,AC199,AE199)</f>
        <v>164803.90699999998</v>
      </c>
      <c r="F199" s="104">
        <f>IFERROR(E199/B199*100,0)</f>
        <v>97.181802214317429</v>
      </c>
      <c r="G199" s="104">
        <f>IFERROR(E199/C199*100,0)</f>
        <v>97.181802214317429</v>
      </c>
      <c r="H199" s="104">
        <f>H205+H211+H217+H223+H229</f>
        <v>16944.103000000003</v>
      </c>
      <c r="I199" s="104">
        <f t="shared" ref="I199:AE199" si="52">I205+I211+I217+I223+I229</f>
        <v>13353.019</v>
      </c>
      <c r="J199" s="104">
        <f t="shared" si="52"/>
        <v>13239.586000000001</v>
      </c>
      <c r="K199" s="104">
        <f t="shared" si="52"/>
        <v>10800.120999999999</v>
      </c>
      <c r="L199" s="104">
        <f t="shared" si="52"/>
        <v>9777.57</v>
      </c>
      <c r="M199" s="104">
        <f t="shared" si="52"/>
        <v>9469.74</v>
      </c>
      <c r="N199" s="104">
        <f t="shared" si="52"/>
        <v>15594.126999999999</v>
      </c>
      <c r="O199" s="104">
        <f t="shared" si="52"/>
        <v>12064.380000000001</v>
      </c>
      <c r="P199" s="104">
        <f t="shared" si="52"/>
        <v>14082.019999999999</v>
      </c>
      <c r="Q199" s="104">
        <f t="shared" si="52"/>
        <v>9187.514000000001</v>
      </c>
      <c r="R199" s="104">
        <f t="shared" si="52"/>
        <v>15228.46</v>
      </c>
      <c r="S199" s="104">
        <f t="shared" si="52"/>
        <v>19816.169000000002</v>
      </c>
      <c r="T199" s="104">
        <f t="shared" si="52"/>
        <v>16342.565000000001</v>
      </c>
      <c r="U199" s="104">
        <f t="shared" si="52"/>
        <v>17519.874</v>
      </c>
      <c r="V199" s="104">
        <f t="shared" si="52"/>
        <v>13593.370999999999</v>
      </c>
      <c r="W199" s="104">
        <f t="shared" si="52"/>
        <v>9707.4830000000002</v>
      </c>
      <c r="X199" s="104">
        <f t="shared" si="52"/>
        <v>12042.316000000001</v>
      </c>
      <c r="Y199" s="104">
        <f t="shared" si="52"/>
        <v>12571.439</v>
      </c>
      <c r="Z199" s="104">
        <f t="shared" si="52"/>
        <v>13038.235999999999</v>
      </c>
      <c r="AA199" s="104">
        <f t="shared" si="52"/>
        <v>16607.081000000002</v>
      </c>
      <c r="AB199" s="104">
        <f t="shared" si="52"/>
        <v>10167.996999999999</v>
      </c>
      <c r="AC199" s="104">
        <f t="shared" si="52"/>
        <v>11396.56</v>
      </c>
      <c r="AD199" s="104">
        <f t="shared" si="52"/>
        <v>19532.742999999999</v>
      </c>
      <c r="AE199" s="104">
        <f t="shared" si="52"/>
        <v>22310.527000000002</v>
      </c>
      <c r="AF199" s="1100"/>
      <c r="AG199" s="99"/>
      <c r="AH199" s="677"/>
      <c r="AI199" s="677"/>
      <c r="AJ199" s="677"/>
      <c r="AK199" s="677"/>
    </row>
    <row r="200" spans="1:37" x14ac:dyDescent="0.3">
      <c r="A200" s="103" t="s">
        <v>170</v>
      </c>
      <c r="B200" s="104">
        <f>B206</f>
        <v>6514</v>
      </c>
      <c r="C200" s="104">
        <f>C206</f>
        <v>6514</v>
      </c>
      <c r="D200" s="104">
        <f>D206</f>
        <v>6514</v>
      </c>
      <c r="E200" s="104">
        <f>AE200</f>
        <v>6514</v>
      </c>
      <c r="F200" s="104">
        <f>IFERROR(E200/B200*100,0)</f>
        <v>100</v>
      </c>
      <c r="G200" s="104">
        <f>IFERROR(E200/C200*100,0)</f>
        <v>100</v>
      </c>
      <c r="H200" s="104">
        <f>H206</f>
        <v>0</v>
      </c>
      <c r="I200" s="104">
        <f t="shared" ref="I200:AE200" si="53">I206</f>
        <v>0</v>
      </c>
      <c r="J200" s="104">
        <f t="shared" si="53"/>
        <v>0</v>
      </c>
      <c r="K200" s="104">
        <f t="shared" si="53"/>
        <v>0</v>
      </c>
      <c r="L200" s="104">
        <f t="shared" si="53"/>
        <v>0</v>
      </c>
      <c r="M200" s="104">
        <f t="shared" si="53"/>
        <v>0</v>
      </c>
      <c r="N200" s="104">
        <f t="shared" si="53"/>
        <v>0</v>
      </c>
      <c r="O200" s="104">
        <f t="shared" si="53"/>
        <v>0</v>
      </c>
      <c r="P200" s="104">
        <f t="shared" si="53"/>
        <v>0</v>
      </c>
      <c r="Q200" s="104">
        <f t="shared" si="53"/>
        <v>0</v>
      </c>
      <c r="R200" s="104">
        <f t="shared" si="53"/>
        <v>0</v>
      </c>
      <c r="S200" s="104">
        <f t="shared" si="53"/>
        <v>0</v>
      </c>
      <c r="T200" s="104">
        <f t="shared" si="53"/>
        <v>0</v>
      </c>
      <c r="U200" s="104">
        <f t="shared" si="53"/>
        <v>0</v>
      </c>
      <c r="V200" s="104">
        <f t="shared" si="53"/>
        <v>0</v>
      </c>
      <c r="W200" s="104">
        <f t="shared" si="53"/>
        <v>0</v>
      </c>
      <c r="X200" s="104">
        <f t="shared" si="53"/>
        <v>0</v>
      </c>
      <c r="Y200" s="104">
        <f t="shared" si="53"/>
        <v>0</v>
      </c>
      <c r="Z200" s="104">
        <f t="shared" si="53"/>
        <v>0</v>
      </c>
      <c r="AA200" s="104">
        <f t="shared" si="53"/>
        <v>0</v>
      </c>
      <c r="AB200" s="104">
        <f t="shared" si="53"/>
        <v>3914</v>
      </c>
      <c r="AC200" s="104">
        <f t="shared" si="53"/>
        <v>0</v>
      </c>
      <c r="AD200" s="104">
        <f t="shared" si="53"/>
        <v>2600</v>
      </c>
      <c r="AE200" s="104">
        <f t="shared" si="53"/>
        <v>6514</v>
      </c>
      <c r="AF200" s="1100"/>
      <c r="AG200" s="99"/>
      <c r="AH200" s="677"/>
      <c r="AI200" s="677"/>
      <c r="AJ200" s="677"/>
      <c r="AK200" s="677"/>
    </row>
    <row r="201" spans="1:37" ht="52.5" customHeight="1" x14ac:dyDescent="0.3">
      <c r="A201" s="105" t="s">
        <v>201</v>
      </c>
      <c r="B201" s="106"/>
      <c r="C201" s="602"/>
      <c r="D201" s="602"/>
      <c r="E201" s="107"/>
      <c r="F201" s="594"/>
      <c r="G201" s="594"/>
      <c r="H201" s="108"/>
      <c r="I201" s="108"/>
      <c r="J201" s="108"/>
      <c r="K201" s="108"/>
      <c r="L201" s="108"/>
      <c r="M201" s="108"/>
      <c r="N201" s="108"/>
      <c r="O201" s="108"/>
      <c r="P201" s="108"/>
      <c r="Q201" s="108"/>
      <c r="R201" s="108"/>
      <c r="S201" s="108"/>
      <c r="T201" s="108"/>
      <c r="U201" s="108"/>
      <c r="V201" s="108"/>
      <c r="W201" s="108"/>
      <c r="X201" s="108"/>
      <c r="Y201" s="108"/>
      <c r="Z201" s="108"/>
      <c r="AA201" s="108"/>
      <c r="AB201" s="108"/>
      <c r="AC201" s="108"/>
      <c r="AD201" s="108"/>
      <c r="AE201" s="108"/>
      <c r="AF201" s="709" t="s">
        <v>702</v>
      </c>
      <c r="AG201" s="99"/>
      <c r="AH201" s="677"/>
      <c r="AI201" s="677"/>
      <c r="AJ201" s="677"/>
      <c r="AK201" s="677"/>
    </row>
    <row r="202" spans="1:37" x14ac:dyDescent="0.3">
      <c r="A202" s="109" t="s">
        <v>31</v>
      </c>
      <c r="B202" s="591">
        <f>B204+B205+B203+B206</f>
        <v>17698.595999999998</v>
      </c>
      <c r="C202" s="591">
        <f>C204+C205+C203+C206</f>
        <v>17698.595999999998</v>
      </c>
      <c r="D202" s="591">
        <f>D204+D205+D203+D206</f>
        <v>17668.599999999999</v>
      </c>
      <c r="E202" s="591">
        <f>E204+E205+E203+E206</f>
        <v>17351.168999999998</v>
      </c>
      <c r="F202" s="127">
        <f t="shared" ref="F202" si="54">IFERROR(E202/B202*100,0)</f>
        <v>98.036979882472025</v>
      </c>
      <c r="G202" s="127">
        <f t="shared" ref="G202" si="55">IFERROR(E202/C202*100,0)</f>
        <v>98.036979882472025</v>
      </c>
      <c r="H202" s="127">
        <f t="shared" ref="H202:AE202" si="56">H204+H205+H203+H206</f>
        <v>576.59400000000005</v>
      </c>
      <c r="I202" s="110">
        <f t="shared" si="56"/>
        <v>132.07</v>
      </c>
      <c r="J202" s="110">
        <f t="shared" si="56"/>
        <v>1143.6110000000001</v>
      </c>
      <c r="K202" s="110">
        <f t="shared" si="56"/>
        <v>848.18299999999999</v>
      </c>
      <c r="L202" s="110">
        <f t="shared" si="56"/>
        <v>636.471</v>
      </c>
      <c r="M202" s="110">
        <f t="shared" si="56"/>
        <v>692.9</v>
      </c>
      <c r="N202" s="110">
        <f t="shared" si="56"/>
        <v>864.55</v>
      </c>
      <c r="O202" s="110">
        <f t="shared" si="56"/>
        <v>774.59</v>
      </c>
      <c r="P202" s="110">
        <f t="shared" si="56"/>
        <v>822.05</v>
      </c>
      <c r="Q202" s="110">
        <f t="shared" si="56"/>
        <v>232.87700000000001</v>
      </c>
      <c r="R202" s="110">
        <f t="shared" si="56"/>
        <v>252.3</v>
      </c>
      <c r="S202" s="110">
        <f t="shared" si="56"/>
        <v>964.98199999999997</v>
      </c>
      <c r="T202" s="110">
        <f t="shared" si="56"/>
        <v>0</v>
      </c>
      <c r="U202" s="110">
        <f t="shared" si="56"/>
        <v>97</v>
      </c>
      <c r="V202" s="110">
        <f t="shared" si="56"/>
        <v>2786.7130000000002</v>
      </c>
      <c r="W202" s="110">
        <f t="shared" si="56"/>
        <v>545.94500000000005</v>
      </c>
      <c r="X202" s="110">
        <f t="shared" si="56"/>
        <v>2445.4560000000001</v>
      </c>
      <c r="Y202" s="110">
        <f t="shared" si="56"/>
        <v>4660.6480000000001</v>
      </c>
      <c r="Z202" s="110">
        <f t="shared" si="56"/>
        <v>268.8</v>
      </c>
      <c r="AA202" s="110">
        <f t="shared" si="56"/>
        <v>211.541</v>
      </c>
      <c r="AB202" s="110">
        <f t="shared" si="56"/>
        <v>4425.8760000000002</v>
      </c>
      <c r="AC202" s="110">
        <f t="shared" si="56"/>
        <v>303.33499999999998</v>
      </c>
      <c r="AD202" s="110">
        <f t="shared" si="56"/>
        <v>3476.1750000000002</v>
      </c>
      <c r="AE202" s="110">
        <f t="shared" si="56"/>
        <v>7887.098</v>
      </c>
      <c r="AF202" s="1065"/>
      <c r="AG202" s="99"/>
      <c r="AH202" s="677"/>
      <c r="AI202" s="677"/>
      <c r="AJ202" s="677"/>
      <c r="AK202" s="677"/>
    </row>
    <row r="203" spans="1:37" x14ac:dyDescent="0.3">
      <c r="A203" s="112" t="s">
        <v>169</v>
      </c>
      <c r="B203" s="594"/>
      <c r="C203" s="712"/>
      <c r="D203" s="715"/>
      <c r="E203" s="712"/>
      <c r="F203" s="1118"/>
      <c r="G203" s="1118"/>
      <c r="H203" s="1119"/>
      <c r="I203" s="108"/>
      <c r="J203" s="108"/>
      <c r="K203" s="108"/>
      <c r="L203" s="108"/>
      <c r="M203" s="108"/>
      <c r="N203" s="108"/>
      <c r="O203" s="108"/>
      <c r="P203" s="108"/>
      <c r="Q203" s="108"/>
      <c r="R203" s="108"/>
      <c r="S203" s="108"/>
      <c r="T203" s="108"/>
      <c r="U203" s="108"/>
      <c r="V203" s="108"/>
      <c r="W203" s="108"/>
      <c r="X203" s="108"/>
      <c r="Y203" s="108"/>
      <c r="Z203" s="108"/>
      <c r="AA203" s="108"/>
      <c r="AB203" s="108"/>
      <c r="AC203" s="108"/>
      <c r="AD203" s="108"/>
      <c r="AE203" s="108"/>
      <c r="AF203" s="1065"/>
      <c r="AG203" s="99"/>
      <c r="AH203" s="677"/>
      <c r="AI203" s="677"/>
      <c r="AJ203" s="677"/>
      <c r="AK203" s="677"/>
    </row>
    <row r="204" spans="1:37" x14ac:dyDescent="0.3">
      <c r="A204" s="112" t="s">
        <v>32</v>
      </c>
      <c r="B204" s="594"/>
      <c r="C204" s="712"/>
      <c r="D204" s="715"/>
      <c r="E204" s="712"/>
      <c r="F204" s="114"/>
      <c r="G204" s="114"/>
      <c r="H204" s="108"/>
      <c r="I204" s="108"/>
      <c r="J204" s="108"/>
      <c r="K204" s="108"/>
      <c r="L204" s="108"/>
      <c r="M204" s="108"/>
      <c r="N204" s="108"/>
      <c r="O204" s="108"/>
      <c r="P204" s="108"/>
      <c r="Q204" s="108"/>
      <c r="R204" s="108"/>
      <c r="S204" s="108"/>
      <c r="T204" s="108"/>
      <c r="U204" s="108"/>
      <c r="V204" s="108"/>
      <c r="W204" s="108"/>
      <c r="X204" s="108"/>
      <c r="Y204" s="108"/>
      <c r="Z204" s="108"/>
      <c r="AA204" s="108"/>
      <c r="AB204" s="108"/>
      <c r="AC204" s="108"/>
      <c r="AD204" s="108"/>
      <c r="AE204" s="108"/>
      <c r="AF204" s="1065"/>
      <c r="AG204" s="99"/>
      <c r="AH204" s="677"/>
      <c r="AI204" s="677"/>
      <c r="AJ204" s="677"/>
      <c r="AK204" s="677"/>
    </row>
    <row r="205" spans="1:37" ht="114" customHeight="1" x14ac:dyDescent="0.3">
      <c r="A205" s="112" t="s">
        <v>33</v>
      </c>
      <c r="B205" s="594">
        <f>J205+L205+N205+P205+R205+T205+V205+X205+Z205+AB205+AD205+H205</f>
        <v>11184.595999999998</v>
      </c>
      <c r="C205" s="712">
        <f>H205+J205+L205+N205+P205+R205+T205+V205+X205+Z205+AB205+AD205</f>
        <v>11184.596</v>
      </c>
      <c r="D205" s="715">
        <v>11154.6</v>
      </c>
      <c r="E205" s="712">
        <f>SUM(I205,K205,M205,O205,Q205,S205,U205,W205,Y205,AA205,AC205,AE205)</f>
        <v>10837.168999999998</v>
      </c>
      <c r="F205" s="114">
        <f>IFERROR(E205/B205*100,0)</f>
        <v>96.893700943690774</v>
      </c>
      <c r="G205" s="114">
        <f>IFERROR(E205/C205*100,0)</f>
        <v>96.893700943690746</v>
      </c>
      <c r="H205" s="108">
        <v>576.59400000000005</v>
      </c>
      <c r="I205" s="108">
        <v>132.07</v>
      </c>
      <c r="J205" s="108">
        <v>1143.6110000000001</v>
      </c>
      <c r="K205" s="108">
        <v>848.18299999999999</v>
      </c>
      <c r="L205" s="108">
        <v>636.471</v>
      </c>
      <c r="M205" s="108">
        <v>692.9</v>
      </c>
      <c r="N205" s="108">
        <v>864.55</v>
      </c>
      <c r="O205" s="108">
        <v>774.59</v>
      </c>
      <c r="P205" s="108">
        <v>822.05</v>
      </c>
      <c r="Q205" s="108">
        <v>232.87700000000001</v>
      </c>
      <c r="R205" s="108">
        <v>252.3</v>
      </c>
      <c r="S205" s="108">
        <v>964.98199999999997</v>
      </c>
      <c r="T205" s="108">
        <v>0</v>
      </c>
      <c r="U205" s="108">
        <v>97</v>
      </c>
      <c r="V205" s="108">
        <v>2786.7130000000002</v>
      </c>
      <c r="W205" s="108">
        <v>545.94500000000005</v>
      </c>
      <c r="X205" s="108">
        <v>2445.4560000000001</v>
      </c>
      <c r="Y205" s="108">
        <v>4660.6480000000001</v>
      </c>
      <c r="Z205" s="108">
        <v>268.8</v>
      </c>
      <c r="AA205" s="108">
        <v>211.541</v>
      </c>
      <c r="AB205" s="108">
        <v>511.87599999999998</v>
      </c>
      <c r="AC205" s="108">
        <v>303.33499999999998</v>
      </c>
      <c r="AD205" s="108">
        <v>876.17499999999995</v>
      </c>
      <c r="AE205" s="108">
        <v>1373.098</v>
      </c>
      <c r="AF205" s="1117" t="s">
        <v>712</v>
      </c>
      <c r="AG205" s="99"/>
      <c r="AH205" s="677"/>
      <c r="AI205" s="677"/>
      <c r="AJ205" s="677"/>
      <c r="AK205" s="677"/>
    </row>
    <row r="206" spans="1:37" x14ac:dyDescent="0.3">
      <c r="A206" s="112" t="s">
        <v>170</v>
      </c>
      <c r="B206" s="594">
        <f>J206+L206+N206+P206+R206+T206+V206+X206+Z206+AB206+AD206+H206</f>
        <v>6514</v>
      </c>
      <c r="C206" s="712">
        <f>H206+J206+L206+N206+P206+R206+T206+V206+X206+Z206+AB206+AD206</f>
        <v>6514</v>
      </c>
      <c r="D206" s="715">
        <v>6514</v>
      </c>
      <c r="E206" s="712">
        <f>SUM(I206,K206,M206,O206,Q206,S206,U206,W206,Y206,AA206,AC206,AE206)</f>
        <v>6514</v>
      </c>
      <c r="F206" s="1118">
        <f>IFERROR(E206/B206*100,0)</f>
        <v>100</v>
      </c>
      <c r="G206" s="1118">
        <f>IFERROR(E206/C206*100,0)</f>
        <v>100</v>
      </c>
      <c r="H206" s="1119">
        <v>0</v>
      </c>
      <c r="I206" s="108">
        <v>0</v>
      </c>
      <c r="J206" s="108">
        <v>0</v>
      </c>
      <c r="K206" s="108">
        <v>0</v>
      </c>
      <c r="L206" s="108">
        <v>0</v>
      </c>
      <c r="M206" s="108">
        <v>0</v>
      </c>
      <c r="N206" s="108">
        <v>0</v>
      </c>
      <c r="O206" s="108">
        <v>0</v>
      </c>
      <c r="P206" s="108">
        <v>0</v>
      </c>
      <c r="Q206" s="108">
        <v>0</v>
      </c>
      <c r="R206" s="108">
        <v>0</v>
      </c>
      <c r="S206" s="108">
        <v>0</v>
      </c>
      <c r="T206" s="108">
        <v>0</v>
      </c>
      <c r="U206" s="108">
        <v>0</v>
      </c>
      <c r="V206" s="108">
        <v>0</v>
      </c>
      <c r="W206" s="108">
        <v>0</v>
      </c>
      <c r="X206" s="108">
        <v>0</v>
      </c>
      <c r="Y206" s="108">
        <v>0</v>
      </c>
      <c r="Z206" s="108">
        <v>0</v>
      </c>
      <c r="AA206" s="108">
        <v>0</v>
      </c>
      <c r="AB206" s="108">
        <v>3914</v>
      </c>
      <c r="AC206" s="108">
        <v>0</v>
      </c>
      <c r="AD206" s="108">
        <v>2600</v>
      </c>
      <c r="AE206" s="108">
        <v>6514</v>
      </c>
      <c r="AF206" s="1100"/>
      <c r="AG206" s="99"/>
      <c r="AH206" s="677"/>
      <c r="AI206" s="677"/>
      <c r="AJ206" s="677"/>
      <c r="AK206" s="677"/>
    </row>
    <row r="207" spans="1:37" ht="37.5" x14ac:dyDescent="0.3">
      <c r="A207" s="119" t="s">
        <v>202</v>
      </c>
      <c r="B207" s="591"/>
      <c r="C207" s="597"/>
      <c r="D207" s="597"/>
      <c r="E207" s="597"/>
      <c r="F207" s="128"/>
      <c r="G207" s="127"/>
      <c r="H207" s="1119"/>
      <c r="I207" s="108"/>
      <c r="J207" s="108"/>
      <c r="K207" s="108"/>
      <c r="L207" s="108"/>
      <c r="M207" s="108"/>
      <c r="N207" s="108"/>
      <c r="O207" s="108"/>
      <c r="P207" s="108"/>
      <c r="Q207" s="108"/>
      <c r="R207" s="108"/>
      <c r="S207" s="108"/>
      <c r="T207" s="108"/>
      <c r="U207" s="108"/>
      <c r="V207" s="108"/>
      <c r="W207" s="108"/>
      <c r="X207" s="108"/>
      <c r="Y207" s="108"/>
      <c r="Z207" s="108"/>
      <c r="AA207" s="108"/>
      <c r="AB207" s="108"/>
      <c r="AC207" s="108"/>
      <c r="AD207" s="108"/>
      <c r="AE207" s="108"/>
      <c r="AF207" s="1100"/>
      <c r="AG207" s="99"/>
      <c r="AH207" s="677"/>
      <c r="AI207" s="677"/>
      <c r="AJ207" s="677"/>
      <c r="AK207" s="677"/>
    </row>
    <row r="208" spans="1:37" x14ac:dyDescent="0.3">
      <c r="A208" s="109" t="s">
        <v>31</v>
      </c>
      <c r="B208" s="591">
        <f>B210+B211+B209+B212</f>
        <v>50</v>
      </c>
      <c r="C208" s="591">
        <f>C210+C211+C209+C212</f>
        <v>50</v>
      </c>
      <c r="D208" s="591">
        <f>D210+D211+D209+D212</f>
        <v>50</v>
      </c>
      <c r="E208" s="591">
        <f>E210+E211+E209+E212</f>
        <v>50</v>
      </c>
      <c r="F208" s="110">
        <f>IFERROR(E208/B208*100,0)</f>
        <v>100</v>
      </c>
      <c r="G208" s="110">
        <f>IFERROR(E208/C208*100,0)</f>
        <v>100</v>
      </c>
      <c r="H208" s="110">
        <f t="shared" ref="H208:AE208" si="57">H210+H211+H209+H212</f>
        <v>0</v>
      </c>
      <c r="I208" s="110">
        <f t="shared" si="57"/>
        <v>0</v>
      </c>
      <c r="J208" s="110">
        <f t="shared" si="57"/>
        <v>0</v>
      </c>
      <c r="K208" s="110">
        <f t="shared" si="57"/>
        <v>0</v>
      </c>
      <c r="L208" s="110">
        <f t="shared" si="57"/>
        <v>0</v>
      </c>
      <c r="M208" s="110">
        <f t="shared" si="57"/>
        <v>0</v>
      </c>
      <c r="N208" s="110">
        <f t="shared" si="57"/>
        <v>0</v>
      </c>
      <c r="O208" s="110">
        <f t="shared" si="57"/>
        <v>0</v>
      </c>
      <c r="P208" s="110">
        <f t="shared" si="57"/>
        <v>0</v>
      </c>
      <c r="Q208" s="110">
        <f t="shared" si="57"/>
        <v>0</v>
      </c>
      <c r="R208" s="110">
        <f t="shared" si="57"/>
        <v>0</v>
      </c>
      <c r="S208" s="110">
        <f t="shared" si="57"/>
        <v>0</v>
      </c>
      <c r="T208" s="110">
        <f t="shared" si="57"/>
        <v>0</v>
      </c>
      <c r="U208" s="110">
        <f t="shared" si="57"/>
        <v>0</v>
      </c>
      <c r="V208" s="110">
        <f t="shared" si="57"/>
        <v>0</v>
      </c>
      <c r="W208" s="110">
        <f t="shared" si="57"/>
        <v>0</v>
      </c>
      <c r="X208" s="110">
        <f t="shared" si="57"/>
        <v>0</v>
      </c>
      <c r="Y208" s="110">
        <f t="shared" si="57"/>
        <v>0</v>
      </c>
      <c r="Z208" s="110">
        <f t="shared" si="57"/>
        <v>0</v>
      </c>
      <c r="AA208" s="110">
        <f t="shared" si="57"/>
        <v>0</v>
      </c>
      <c r="AB208" s="110">
        <f t="shared" si="57"/>
        <v>50</v>
      </c>
      <c r="AC208" s="110">
        <f t="shared" si="57"/>
        <v>50</v>
      </c>
      <c r="AD208" s="110">
        <f t="shared" si="57"/>
        <v>0</v>
      </c>
      <c r="AE208" s="110">
        <f t="shared" si="57"/>
        <v>0</v>
      </c>
      <c r="AF208" s="1100"/>
      <c r="AG208" s="99"/>
      <c r="AH208" s="677"/>
      <c r="AI208" s="677"/>
      <c r="AJ208" s="677"/>
      <c r="AK208" s="677"/>
    </row>
    <row r="209" spans="1:37" x14ac:dyDescent="0.3">
      <c r="A209" s="112" t="s">
        <v>169</v>
      </c>
      <c r="B209" s="594"/>
      <c r="C209" s="712"/>
      <c r="D209" s="715"/>
      <c r="E209" s="712"/>
      <c r="F209" s="113"/>
      <c r="G209" s="113"/>
      <c r="H209" s="108"/>
      <c r="I209" s="108"/>
      <c r="J209" s="108"/>
      <c r="K209" s="108"/>
      <c r="L209" s="108"/>
      <c r="M209" s="108"/>
      <c r="N209" s="108"/>
      <c r="O209" s="108"/>
      <c r="P209" s="108"/>
      <c r="Q209" s="108"/>
      <c r="R209" s="108"/>
      <c r="S209" s="108"/>
      <c r="T209" s="108"/>
      <c r="U209" s="108"/>
      <c r="V209" s="108"/>
      <c r="W209" s="108"/>
      <c r="X209" s="108"/>
      <c r="Y209" s="108"/>
      <c r="Z209" s="108"/>
      <c r="AA209" s="108"/>
      <c r="AB209" s="108"/>
      <c r="AC209" s="108"/>
      <c r="AD209" s="108"/>
      <c r="AE209" s="108"/>
      <c r="AF209" s="1100"/>
      <c r="AG209" s="99"/>
      <c r="AH209" s="677"/>
      <c r="AI209" s="677"/>
      <c r="AJ209" s="677"/>
      <c r="AK209" s="677"/>
    </row>
    <row r="210" spans="1:37" x14ac:dyDescent="0.3">
      <c r="A210" s="112" t="s">
        <v>32</v>
      </c>
      <c r="B210" s="594"/>
      <c r="C210" s="712"/>
      <c r="D210" s="715"/>
      <c r="E210" s="712"/>
      <c r="F210" s="113"/>
      <c r="G210" s="113"/>
      <c r="H210" s="108"/>
      <c r="I210" s="108"/>
      <c r="J210" s="108"/>
      <c r="K210" s="108"/>
      <c r="L210" s="108"/>
      <c r="M210" s="108"/>
      <c r="N210" s="108"/>
      <c r="O210" s="108"/>
      <c r="P210" s="108"/>
      <c r="Q210" s="108"/>
      <c r="R210" s="108"/>
      <c r="S210" s="108"/>
      <c r="T210" s="108"/>
      <c r="U210" s="108"/>
      <c r="V210" s="108"/>
      <c r="W210" s="108"/>
      <c r="X210" s="108"/>
      <c r="Y210" s="108"/>
      <c r="Z210" s="108"/>
      <c r="AA210" s="108"/>
      <c r="AB210" s="108"/>
      <c r="AC210" s="108"/>
      <c r="AD210" s="108"/>
      <c r="AE210" s="108"/>
      <c r="AF210" s="1100"/>
      <c r="AG210" s="99"/>
      <c r="AH210" s="677"/>
      <c r="AI210" s="677"/>
      <c r="AJ210" s="677"/>
      <c r="AK210" s="677"/>
    </row>
    <row r="211" spans="1:37" x14ac:dyDescent="0.3">
      <c r="A211" s="112" t="s">
        <v>33</v>
      </c>
      <c r="B211" s="594">
        <f>J211+L211+N211+P211+R211+T211+V211+X211+Z211+AB211+AD211+H211</f>
        <v>50</v>
      </c>
      <c r="C211" s="712">
        <f>H211+J211+L211+N211+P211+R211+T211+V211+X211+Z211+AB211+AD211</f>
        <v>50</v>
      </c>
      <c r="D211" s="715">
        <f>E211</f>
        <v>50</v>
      </c>
      <c r="E211" s="712">
        <f>SUM(I211,K211,M211,O211,Q211,S211,U211,W211,Y211,AA211,AC211,AE211)</f>
        <v>50</v>
      </c>
      <c r="F211" s="113">
        <f>IFERROR(E211/B211*100,0)</f>
        <v>100</v>
      </c>
      <c r="G211" s="113">
        <f>IFERROR(E211/C211*100,0)</f>
        <v>100</v>
      </c>
      <c r="H211" s="108">
        <v>0</v>
      </c>
      <c r="I211" s="108">
        <v>0</v>
      </c>
      <c r="J211" s="108">
        <v>0</v>
      </c>
      <c r="K211" s="108">
        <v>0</v>
      </c>
      <c r="L211" s="108">
        <v>0</v>
      </c>
      <c r="M211" s="108">
        <v>0</v>
      </c>
      <c r="N211" s="108">
        <v>0</v>
      </c>
      <c r="O211" s="108">
        <v>0</v>
      </c>
      <c r="P211" s="108">
        <v>0</v>
      </c>
      <c r="Q211" s="108">
        <v>0</v>
      </c>
      <c r="R211" s="108">
        <v>0</v>
      </c>
      <c r="S211" s="108">
        <v>0</v>
      </c>
      <c r="T211" s="108">
        <v>0</v>
      </c>
      <c r="U211" s="108">
        <v>0</v>
      </c>
      <c r="V211" s="108">
        <v>0</v>
      </c>
      <c r="W211" s="108">
        <v>0</v>
      </c>
      <c r="X211" s="108">
        <v>0</v>
      </c>
      <c r="Y211" s="108">
        <v>0</v>
      </c>
      <c r="Z211" s="108">
        <v>0</v>
      </c>
      <c r="AA211" s="108">
        <v>0</v>
      </c>
      <c r="AB211" s="108">
        <v>50</v>
      </c>
      <c r="AC211" s="108">
        <v>50</v>
      </c>
      <c r="AD211" s="108">
        <v>0</v>
      </c>
      <c r="AE211" s="108">
        <v>0</v>
      </c>
      <c r="AF211" s="1100"/>
      <c r="AG211" s="99"/>
      <c r="AH211" s="677"/>
      <c r="AI211" s="677"/>
      <c r="AJ211" s="677"/>
      <c r="AK211" s="677"/>
    </row>
    <row r="212" spans="1:37" x14ac:dyDescent="0.3">
      <c r="A212" s="112" t="s">
        <v>170</v>
      </c>
      <c r="B212" s="594"/>
      <c r="C212" s="712"/>
      <c r="D212" s="715"/>
      <c r="E212" s="712"/>
      <c r="F212" s="113"/>
      <c r="G212" s="113"/>
      <c r="H212" s="108"/>
      <c r="I212" s="108"/>
      <c r="J212" s="108"/>
      <c r="K212" s="108"/>
      <c r="L212" s="108"/>
      <c r="M212" s="108"/>
      <c r="N212" s="108"/>
      <c r="O212" s="108"/>
      <c r="P212" s="108"/>
      <c r="Q212" s="108"/>
      <c r="R212" s="108"/>
      <c r="S212" s="108"/>
      <c r="T212" s="108"/>
      <c r="U212" s="108"/>
      <c r="V212" s="108"/>
      <c r="W212" s="108"/>
      <c r="X212" s="108"/>
      <c r="Y212" s="108"/>
      <c r="Z212" s="108"/>
      <c r="AA212" s="108"/>
      <c r="AB212" s="108"/>
      <c r="AC212" s="108"/>
      <c r="AD212" s="108"/>
      <c r="AE212" s="108"/>
      <c r="AF212" s="1100"/>
      <c r="AG212" s="99"/>
      <c r="AH212" s="677"/>
      <c r="AI212" s="677"/>
      <c r="AJ212" s="677"/>
      <c r="AK212" s="677"/>
    </row>
    <row r="213" spans="1:37" ht="381" customHeight="1" x14ac:dyDescent="0.3">
      <c r="A213" s="119" t="s">
        <v>203</v>
      </c>
      <c r="B213" s="110"/>
      <c r="C213" s="118"/>
      <c r="D213" s="118"/>
      <c r="E213" s="118"/>
      <c r="F213" s="118"/>
      <c r="G213" s="118"/>
      <c r="H213" s="108"/>
      <c r="I213" s="108"/>
      <c r="J213" s="108"/>
      <c r="K213" s="108"/>
      <c r="L213" s="108"/>
      <c r="M213" s="108"/>
      <c r="N213" s="108"/>
      <c r="O213" s="108"/>
      <c r="P213" s="108"/>
      <c r="Q213" s="108"/>
      <c r="R213" s="108"/>
      <c r="S213" s="108"/>
      <c r="T213" s="108"/>
      <c r="U213" s="108"/>
      <c r="V213" s="108"/>
      <c r="W213" s="108"/>
      <c r="X213" s="108"/>
      <c r="Y213" s="108"/>
      <c r="Z213" s="108"/>
      <c r="AA213" s="108"/>
      <c r="AB213" s="108"/>
      <c r="AC213" s="108"/>
      <c r="AD213" s="108"/>
      <c r="AE213" s="108"/>
      <c r="AF213" s="1065" t="s">
        <v>705</v>
      </c>
      <c r="AG213" s="99"/>
      <c r="AH213" s="677"/>
      <c r="AI213" s="677"/>
      <c r="AJ213" s="677"/>
      <c r="AK213" s="677"/>
    </row>
    <row r="214" spans="1:37" x14ac:dyDescent="0.3">
      <c r="A214" s="109" t="s">
        <v>31</v>
      </c>
      <c r="B214" s="591">
        <f>B216+B217+B215+B218</f>
        <v>150433.598</v>
      </c>
      <c r="C214" s="591">
        <f>C216+C217+C215+C218</f>
        <v>150433.598</v>
      </c>
      <c r="D214" s="591">
        <f>D216+D217+D215+D218</f>
        <v>149839.489</v>
      </c>
      <c r="E214" s="591">
        <f>E216+E217+E215+E218</f>
        <v>146001.83900000001</v>
      </c>
      <c r="F214" s="591">
        <f>IFERROR(E214/B214*100,0)</f>
        <v>97.05400983628671</v>
      </c>
      <c r="G214" s="591">
        <f>IFERROR(E214/C214*100,0)</f>
        <v>97.05400983628671</v>
      </c>
      <c r="H214" s="110">
        <f t="shared" ref="H214:AE214" si="58">H216+H217+H215+H218</f>
        <v>8452.6090000000004</v>
      </c>
      <c r="I214" s="110">
        <f t="shared" si="58"/>
        <v>5306.05</v>
      </c>
      <c r="J214" s="110">
        <f t="shared" si="58"/>
        <v>12095.975</v>
      </c>
      <c r="K214" s="110">
        <f t="shared" si="58"/>
        <v>9951.9380000000001</v>
      </c>
      <c r="L214" s="110">
        <f t="shared" si="58"/>
        <v>9141.0990000000002</v>
      </c>
      <c r="M214" s="110">
        <f t="shared" si="58"/>
        <v>8776.84</v>
      </c>
      <c r="N214" s="110">
        <f t="shared" si="58"/>
        <v>14729.576999999999</v>
      </c>
      <c r="O214" s="110">
        <f t="shared" si="58"/>
        <v>11289.79</v>
      </c>
      <c r="P214" s="110">
        <f t="shared" si="58"/>
        <v>13259.97</v>
      </c>
      <c r="Q214" s="110">
        <f t="shared" si="58"/>
        <v>8954.6370000000006</v>
      </c>
      <c r="R214" s="110">
        <f t="shared" si="58"/>
        <v>14976.16</v>
      </c>
      <c r="S214" s="110">
        <f t="shared" si="58"/>
        <v>18851.187000000002</v>
      </c>
      <c r="T214" s="110">
        <f t="shared" si="58"/>
        <v>16342.565000000001</v>
      </c>
      <c r="U214" s="110">
        <f t="shared" si="58"/>
        <v>17422.874</v>
      </c>
      <c r="V214" s="110">
        <f t="shared" si="58"/>
        <v>10806.657999999999</v>
      </c>
      <c r="W214" s="110">
        <f t="shared" si="58"/>
        <v>9161.5380000000005</v>
      </c>
      <c r="X214" s="110">
        <f t="shared" si="58"/>
        <v>9596.86</v>
      </c>
      <c r="Y214" s="110">
        <f t="shared" si="58"/>
        <v>7910.7910000000002</v>
      </c>
      <c r="Z214" s="110">
        <f t="shared" si="58"/>
        <v>12769.436</v>
      </c>
      <c r="AA214" s="110">
        <f t="shared" si="58"/>
        <v>16395.54</v>
      </c>
      <c r="AB214" s="110">
        <f t="shared" si="58"/>
        <v>9606.1209999999992</v>
      </c>
      <c r="AC214" s="110">
        <f t="shared" si="58"/>
        <v>11043.225</v>
      </c>
      <c r="AD214" s="110">
        <f t="shared" si="58"/>
        <v>18656.567999999999</v>
      </c>
      <c r="AE214" s="110">
        <f t="shared" si="58"/>
        <v>20937.429</v>
      </c>
      <c r="AF214" s="1065"/>
      <c r="AG214" s="99"/>
      <c r="AH214" s="677"/>
      <c r="AI214" s="677"/>
      <c r="AJ214" s="677"/>
      <c r="AK214" s="677"/>
    </row>
    <row r="215" spans="1:37" x14ac:dyDescent="0.3">
      <c r="A215" s="112" t="s">
        <v>169</v>
      </c>
      <c r="B215" s="594"/>
      <c r="C215" s="712"/>
      <c r="D215" s="715"/>
      <c r="E215" s="712"/>
      <c r="F215" s="594"/>
      <c r="G215" s="594"/>
      <c r="H215" s="108"/>
      <c r="I215" s="108"/>
      <c r="J215" s="108"/>
      <c r="K215" s="108"/>
      <c r="L215" s="108"/>
      <c r="M215" s="108"/>
      <c r="N215" s="108"/>
      <c r="O215" s="108"/>
      <c r="P215" s="108"/>
      <c r="Q215" s="108"/>
      <c r="R215" s="108"/>
      <c r="S215" s="108"/>
      <c r="T215" s="108"/>
      <c r="U215" s="108"/>
      <c r="V215" s="108"/>
      <c r="W215" s="108"/>
      <c r="X215" s="108"/>
      <c r="Y215" s="108"/>
      <c r="Z215" s="108"/>
      <c r="AA215" s="108"/>
      <c r="AB215" s="108"/>
      <c r="AC215" s="108"/>
      <c r="AD215" s="108"/>
      <c r="AE215" s="108"/>
      <c r="AF215" s="1065"/>
      <c r="AG215" s="99"/>
      <c r="AH215" s="677"/>
      <c r="AI215" s="677"/>
      <c r="AJ215" s="677"/>
      <c r="AK215" s="677"/>
    </row>
    <row r="216" spans="1:37" x14ac:dyDescent="0.3">
      <c r="A216" s="112" t="s">
        <v>32</v>
      </c>
      <c r="B216" s="594"/>
      <c r="C216" s="712"/>
      <c r="D216" s="715"/>
      <c r="E216" s="712"/>
      <c r="F216" s="594"/>
      <c r="G216" s="594"/>
      <c r="H216" s="108"/>
      <c r="I216" s="108"/>
      <c r="J216" s="108"/>
      <c r="K216" s="108"/>
      <c r="L216" s="108"/>
      <c r="M216" s="108"/>
      <c r="N216" s="108"/>
      <c r="O216" s="108"/>
      <c r="P216" s="108"/>
      <c r="Q216" s="108"/>
      <c r="R216" s="108"/>
      <c r="S216" s="108"/>
      <c r="T216" s="108"/>
      <c r="U216" s="108"/>
      <c r="V216" s="108"/>
      <c r="W216" s="108"/>
      <c r="X216" s="108"/>
      <c r="Y216" s="108"/>
      <c r="Z216" s="108"/>
      <c r="AA216" s="108"/>
      <c r="AB216" s="108"/>
      <c r="AC216" s="108"/>
      <c r="AD216" s="108"/>
      <c r="AE216" s="108"/>
      <c r="AF216" s="1065"/>
      <c r="AG216" s="99"/>
      <c r="AH216" s="677"/>
      <c r="AI216" s="677"/>
      <c r="AJ216" s="677"/>
      <c r="AK216" s="677"/>
    </row>
    <row r="217" spans="1:37" x14ac:dyDescent="0.3">
      <c r="A217" s="112" t="s">
        <v>33</v>
      </c>
      <c r="B217" s="594">
        <f>J217+L217+N217+P217+R217+T217+V217+X217+Z217+AB217+AD217+H217</f>
        <v>150433.598</v>
      </c>
      <c r="C217" s="712">
        <f>H217+J217+L217+N217+P217+R217+T217+V217+X217+Z217+AB217+AD217</f>
        <v>150433.598</v>
      </c>
      <c r="D217" s="715">
        <v>149839.489</v>
      </c>
      <c r="E217" s="712">
        <f>SUM(I217,K217,M217,O217,Q217,S217,U217,W217,Y217,AA217,AC217,AE217)</f>
        <v>146001.83900000001</v>
      </c>
      <c r="F217" s="594">
        <f>IFERROR(E217/B217*100,0)</f>
        <v>97.05400983628671</v>
      </c>
      <c r="G217" s="594">
        <f>IFERROR(E217/C217*100,0)</f>
        <v>97.05400983628671</v>
      </c>
      <c r="H217" s="108">
        <v>8452.6090000000004</v>
      </c>
      <c r="I217" s="108">
        <v>5306.05</v>
      </c>
      <c r="J217" s="108">
        <v>12095.975</v>
      </c>
      <c r="K217" s="108">
        <v>9951.9380000000001</v>
      </c>
      <c r="L217" s="108">
        <v>9141.0990000000002</v>
      </c>
      <c r="M217" s="108">
        <v>8776.84</v>
      </c>
      <c r="N217" s="108">
        <v>14729.576999999999</v>
      </c>
      <c r="O217" s="108">
        <v>11289.79</v>
      </c>
      <c r="P217" s="108">
        <v>13259.97</v>
      </c>
      <c r="Q217" s="780">
        <f>-1.55+8956.187</f>
        <v>8954.6370000000006</v>
      </c>
      <c r="R217" s="108">
        <v>14976.16</v>
      </c>
      <c r="S217" s="108">
        <v>18851.187000000002</v>
      </c>
      <c r="T217" s="108">
        <v>16342.565000000001</v>
      </c>
      <c r="U217" s="108">
        <v>17422.874</v>
      </c>
      <c r="V217" s="108">
        <v>10806.657999999999</v>
      </c>
      <c r="W217" s="108">
        <v>9161.5380000000005</v>
      </c>
      <c r="X217" s="108">
        <v>9596.86</v>
      </c>
      <c r="Y217" s="108">
        <v>7910.7910000000002</v>
      </c>
      <c r="Z217" s="108">
        <v>12769.436</v>
      </c>
      <c r="AA217" s="108">
        <v>16395.54</v>
      </c>
      <c r="AB217" s="108">
        <v>9606.1209999999992</v>
      </c>
      <c r="AC217" s="108">
        <v>11043.225</v>
      </c>
      <c r="AD217" s="108">
        <v>18656.567999999999</v>
      </c>
      <c r="AE217" s="1085">
        <f>561.997+20375.432</f>
        <v>20937.429</v>
      </c>
      <c r="AF217" s="1065"/>
      <c r="AG217" s="99"/>
      <c r="AH217" s="677"/>
      <c r="AI217" s="677"/>
      <c r="AJ217" s="677"/>
      <c r="AK217" s="677"/>
    </row>
    <row r="218" spans="1:37" x14ac:dyDescent="0.3">
      <c r="A218" s="112" t="s">
        <v>170</v>
      </c>
      <c r="B218" s="113"/>
      <c r="C218" s="114"/>
      <c r="D218" s="115"/>
      <c r="E218" s="114"/>
      <c r="F218" s="113"/>
      <c r="G218" s="120"/>
      <c r="H218" s="108"/>
      <c r="I218" s="108"/>
      <c r="J218" s="108"/>
      <c r="K218" s="108"/>
      <c r="L218" s="108"/>
      <c r="M218" s="108"/>
      <c r="N218" s="108"/>
      <c r="O218" s="108"/>
      <c r="P218" s="108"/>
      <c r="Q218" s="108"/>
      <c r="R218" s="108"/>
      <c r="S218" s="108"/>
      <c r="T218" s="108"/>
      <c r="U218" s="108"/>
      <c r="V218" s="108"/>
      <c r="W218" s="108"/>
      <c r="X218" s="108"/>
      <c r="Y218" s="108"/>
      <c r="Z218" s="108"/>
      <c r="AA218" s="108"/>
      <c r="AB218" s="108"/>
      <c r="AC218" s="108"/>
      <c r="AD218" s="108"/>
      <c r="AE218" s="108"/>
      <c r="AF218" s="1065"/>
      <c r="AG218" s="99"/>
      <c r="AH218" s="677"/>
      <c r="AI218" s="677"/>
      <c r="AJ218" s="677"/>
      <c r="AK218" s="677"/>
    </row>
    <row r="219" spans="1:37" ht="75" x14ac:dyDescent="0.3">
      <c r="A219" s="105" t="s">
        <v>204</v>
      </c>
      <c r="B219" s="106"/>
      <c r="C219" s="107"/>
      <c r="D219" s="107"/>
      <c r="E219" s="107"/>
      <c r="F219" s="107"/>
      <c r="G219" s="107"/>
      <c r="H219" s="108"/>
      <c r="I219" s="108"/>
      <c r="J219" s="108"/>
      <c r="K219" s="108"/>
      <c r="L219" s="108"/>
      <c r="M219" s="108"/>
      <c r="N219" s="108"/>
      <c r="O219" s="108"/>
      <c r="P219" s="108"/>
      <c r="Q219" s="108"/>
      <c r="R219" s="108"/>
      <c r="S219" s="108"/>
      <c r="T219" s="108"/>
      <c r="U219" s="108"/>
      <c r="V219" s="108"/>
      <c r="W219" s="108"/>
      <c r="X219" s="108"/>
      <c r="Y219" s="108"/>
      <c r="Z219" s="108"/>
      <c r="AA219" s="108"/>
      <c r="AB219" s="108"/>
      <c r="AC219" s="108"/>
      <c r="AD219" s="108"/>
      <c r="AE219" s="108"/>
      <c r="AF219" s="1100"/>
      <c r="AG219" s="99"/>
      <c r="AH219" s="677"/>
      <c r="AI219" s="677"/>
      <c r="AJ219" s="677"/>
      <c r="AK219" s="677"/>
    </row>
    <row r="220" spans="1:37" x14ac:dyDescent="0.3">
      <c r="A220" s="109" t="s">
        <v>31</v>
      </c>
      <c r="B220" s="591">
        <f>B222+B223+B221+B224</f>
        <v>7792.4</v>
      </c>
      <c r="C220" s="591">
        <f>C222+C223+C221+C224</f>
        <v>7792.4</v>
      </c>
      <c r="D220" s="591">
        <f>D222+D223+D221+D224</f>
        <v>7792.3990000000003</v>
      </c>
      <c r="E220" s="110">
        <f>E222+E223+E221+E224</f>
        <v>7792.3990000000003</v>
      </c>
      <c r="F220" s="110">
        <f>IFERROR(E220/B220*100,0)</f>
        <v>99.999987166983232</v>
      </c>
      <c r="G220" s="110">
        <f>IFERROR(E220/C220*100,0)</f>
        <v>99.999987166983232</v>
      </c>
      <c r="H220" s="110">
        <f t="shared" ref="H220:AE220" si="59">H222+H223+H221+H224</f>
        <v>7792.4</v>
      </c>
      <c r="I220" s="110">
        <f t="shared" si="59"/>
        <v>7792.3990000000003</v>
      </c>
      <c r="J220" s="110">
        <f t="shared" si="59"/>
        <v>0</v>
      </c>
      <c r="K220" s="110">
        <f t="shared" si="59"/>
        <v>0</v>
      </c>
      <c r="L220" s="110">
        <f t="shared" si="59"/>
        <v>0</v>
      </c>
      <c r="M220" s="110">
        <f t="shared" si="59"/>
        <v>0</v>
      </c>
      <c r="N220" s="110">
        <f t="shared" si="59"/>
        <v>0</v>
      </c>
      <c r="O220" s="110">
        <f t="shared" si="59"/>
        <v>0</v>
      </c>
      <c r="P220" s="110">
        <f t="shared" si="59"/>
        <v>0</v>
      </c>
      <c r="Q220" s="110">
        <f t="shared" si="59"/>
        <v>0</v>
      </c>
      <c r="R220" s="110">
        <f t="shared" si="59"/>
        <v>0</v>
      </c>
      <c r="S220" s="110">
        <f t="shared" si="59"/>
        <v>0</v>
      </c>
      <c r="T220" s="110">
        <f t="shared" si="59"/>
        <v>0</v>
      </c>
      <c r="U220" s="110">
        <f t="shared" si="59"/>
        <v>0</v>
      </c>
      <c r="V220" s="110">
        <f t="shared" si="59"/>
        <v>0</v>
      </c>
      <c r="W220" s="110">
        <f t="shared" si="59"/>
        <v>0</v>
      </c>
      <c r="X220" s="110">
        <f t="shared" si="59"/>
        <v>0</v>
      </c>
      <c r="Y220" s="110">
        <f t="shared" si="59"/>
        <v>0</v>
      </c>
      <c r="Z220" s="110">
        <f t="shared" si="59"/>
        <v>0</v>
      </c>
      <c r="AA220" s="110">
        <f t="shared" si="59"/>
        <v>0</v>
      </c>
      <c r="AB220" s="110">
        <f t="shared" si="59"/>
        <v>0</v>
      </c>
      <c r="AC220" s="110">
        <f t="shared" si="59"/>
        <v>0</v>
      </c>
      <c r="AD220" s="110">
        <f t="shared" si="59"/>
        <v>0</v>
      </c>
      <c r="AE220" s="110">
        <f t="shared" si="59"/>
        <v>0</v>
      </c>
      <c r="AF220" s="1100"/>
      <c r="AG220" s="99"/>
      <c r="AH220" s="677"/>
      <c r="AI220" s="677"/>
      <c r="AJ220" s="677"/>
      <c r="AK220" s="677"/>
    </row>
    <row r="221" spans="1:37" x14ac:dyDescent="0.3">
      <c r="A221" s="112" t="s">
        <v>169</v>
      </c>
      <c r="B221" s="594"/>
      <c r="C221" s="712"/>
      <c r="D221" s="715"/>
      <c r="E221" s="114"/>
      <c r="F221" s="113"/>
      <c r="G221" s="113"/>
      <c r="H221" s="108"/>
      <c r="I221" s="108"/>
      <c r="J221" s="108"/>
      <c r="K221" s="108"/>
      <c r="L221" s="108"/>
      <c r="M221" s="108"/>
      <c r="N221" s="108"/>
      <c r="O221" s="108"/>
      <c r="P221" s="108"/>
      <c r="Q221" s="108"/>
      <c r="R221" s="108"/>
      <c r="S221" s="108"/>
      <c r="T221" s="108"/>
      <c r="U221" s="108"/>
      <c r="V221" s="108"/>
      <c r="W221" s="108"/>
      <c r="X221" s="108"/>
      <c r="Y221" s="108"/>
      <c r="Z221" s="108"/>
      <c r="AA221" s="108"/>
      <c r="AB221" s="108"/>
      <c r="AC221" s="108"/>
      <c r="AD221" s="108"/>
      <c r="AE221" s="108"/>
      <c r="AF221" s="1100"/>
      <c r="AG221" s="99"/>
      <c r="AH221" s="677"/>
      <c r="AI221" s="677"/>
      <c r="AJ221" s="677"/>
      <c r="AK221" s="677"/>
    </row>
    <row r="222" spans="1:37" x14ac:dyDescent="0.3">
      <c r="A222" s="112" t="s">
        <v>32</v>
      </c>
      <c r="B222" s="594"/>
      <c r="C222" s="712"/>
      <c r="D222" s="715"/>
      <c r="E222" s="114"/>
      <c r="F222" s="113"/>
      <c r="G222" s="113"/>
      <c r="H222" s="108"/>
      <c r="I222" s="108"/>
      <c r="J222" s="108"/>
      <c r="K222" s="108"/>
      <c r="L222" s="108"/>
      <c r="M222" s="108"/>
      <c r="N222" s="108"/>
      <c r="O222" s="108"/>
      <c r="P222" s="108"/>
      <c r="Q222" s="108"/>
      <c r="R222" s="108"/>
      <c r="S222" s="108"/>
      <c r="T222" s="108"/>
      <c r="U222" s="108"/>
      <c r="V222" s="108"/>
      <c r="W222" s="108"/>
      <c r="X222" s="108"/>
      <c r="Y222" s="108"/>
      <c r="Z222" s="108"/>
      <c r="AA222" s="108"/>
      <c r="AB222" s="108"/>
      <c r="AC222" s="108"/>
      <c r="AD222" s="108"/>
      <c r="AE222" s="108"/>
      <c r="AF222" s="1100"/>
      <c r="AG222" s="99"/>
      <c r="AH222" s="677"/>
      <c r="AI222" s="677"/>
      <c r="AJ222" s="677"/>
      <c r="AK222" s="677"/>
    </row>
    <row r="223" spans="1:37" x14ac:dyDescent="0.3">
      <c r="A223" s="112" t="s">
        <v>33</v>
      </c>
      <c r="B223" s="594">
        <f>J223+L223+N223+P223+R223+T223+V223+X223+Z223+AB223+AD223+H223</f>
        <v>7792.4</v>
      </c>
      <c r="C223" s="712">
        <f>H223+J223+L223+N223+P223+R223+T223+V223+X223+Z223+AB223+AD223</f>
        <v>7792.4</v>
      </c>
      <c r="D223" s="715">
        <f>E223</f>
        <v>7792.3990000000003</v>
      </c>
      <c r="E223" s="114">
        <f>SUM(I223,K223,M223,O223,Q223,S223,U223,W223,Y223,AA223,AC223,AE223)</f>
        <v>7792.3990000000003</v>
      </c>
      <c r="F223" s="113">
        <f>IFERROR(E223/B223*100,0)</f>
        <v>99.999987166983232</v>
      </c>
      <c r="G223" s="113">
        <f>IFERROR(E223/C223*100,0)</f>
        <v>99.999987166983232</v>
      </c>
      <c r="H223" s="134">
        <f>723.5+760.1+6308.8</f>
        <v>7792.4</v>
      </c>
      <c r="I223" s="108">
        <v>7792.3990000000003</v>
      </c>
      <c r="J223" s="108">
        <v>0</v>
      </c>
      <c r="K223" s="108">
        <v>0</v>
      </c>
      <c r="L223" s="108">
        <v>0</v>
      </c>
      <c r="M223" s="108">
        <v>0</v>
      </c>
      <c r="N223" s="108">
        <v>0</v>
      </c>
      <c r="O223" s="108">
        <v>0</v>
      </c>
      <c r="P223" s="108">
        <v>0</v>
      </c>
      <c r="Q223" s="108">
        <v>0</v>
      </c>
      <c r="R223" s="108">
        <v>0</v>
      </c>
      <c r="S223" s="108">
        <v>0</v>
      </c>
      <c r="T223" s="108">
        <v>0</v>
      </c>
      <c r="U223" s="108">
        <v>0</v>
      </c>
      <c r="V223" s="108">
        <v>0</v>
      </c>
      <c r="W223" s="108">
        <v>0</v>
      </c>
      <c r="X223" s="108">
        <v>0</v>
      </c>
      <c r="Y223" s="108">
        <v>0</v>
      </c>
      <c r="Z223" s="108">
        <v>0</v>
      </c>
      <c r="AA223" s="108">
        <v>0</v>
      </c>
      <c r="AB223" s="108">
        <v>0</v>
      </c>
      <c r="AC223" s="108">
        <v>0</v>
      </c>
      <c r="AD223" s="108">
        <v>0</v>
      </c>
      <c r="AE223" s="108">
        <v>0</v>
      </c>
      <c r="AF223" s="1100"/>
      <c r="AG223" s="99"/>
      <c r="AH223" s="677"/>
      <c r="AI223" s="677"/>
      <c r="AJ223" s="677"/>
      <c r="AK223" s="677"/>
    </row>
    <row r="224" spans="1:37" x14ac:dyDescent="0.3">
      <c r="A224" s="112" t="s">
        <v>170</v>
      </c>
      <c r="B224" s="594"/>
      <c r="C224" s="712"/>
      <c r="D224" s="715"/>
      <c r="E224" s="114"/>
      <c r="F224" s="113"/>
      <c r="G224" s="113"/>
      <c r="H224" s="108"/>
      <c r="I224" s="108"/>
      <c r="J224" s="108"/>
      <c r="K224" s="108"/>
      <c r="L224" s="108"/>
      <c r="M224" s="108"/>
      <c r="N224" s="108"/>
      <c r="O224" s="108"/>
      <c r="P224" s="108"/>
      <c r="Q224" s="108"/>
      <c r="R224" s="108"/>
      <c r="S224" s="108"/>
      <c r="T224" s="108"/>
      <c r="U224" s="108"/>
      <c r="V224" s="108"/>
      <c r="W224" s="108"/>
      <c r="X224" s="108"/>
      <c r="Y224" s="108"/>
      <c r="Z224" s="108"/>
      <c r="AA224" s="108"/>
      <c r="AB224" s="108"/>
      <c r="AC224" s="108"/>
      <c r="AD224" s="108"/>
      <c r="AE224" s="108"/>
      <c r="AF224" s="1100"/>
      <c r="AG224" s="99"/>
      <c r="AH224" s="677"/>
      <c r="AI224" s="677"/>
      <c r="AJ224" s="677"/>
      <c r="AK224" s="677"/>
    </row>
    <row r="225" spans="1:37" ht="75" x14ac:dyDescent="0.3">
      <c r="A225" s="105" t="s">
        <v>205</v>
      </c>
      <c r="B225" s="594"/>
      <c r="C225" s="602"/>
      <c r="D225" s="602"/>
      <c r="E225" s="107"/>
      <c r="F225" s="107"/>
      <c r="G225" s="107"/>
      <c r="H225" s="108"/>
      <c r="I225" s="108"/>
      <c r="J225" s="108"/>
      <c r="K225" s="108"/>
      <c r="L225" s="108"/>
      <c r="M225" s="108"/>
      <c r="N225" s="108"/>
      <c r="O225" s="108"/>
      <c r="P225" s="108"/>
      <c r="Q225" s="108"/>
      <c r="R225" s="108"/>
      <c r="S225" s="108"/>
      <c r="T225" s="108"/>
      <c r="U225" s="108"/>
      <c r="V225" s="108"/>
      <c r="W225" s="108"/>
      <c r="X225" s="108"/>
      <c r="Y225" s="108"/>
      <c r="Z225" s="108"/>
      <c r="AA225" s="108"/>
      <c r="AB225" s="108"/>
      <c r="AC225" s="108"/>
      <c r="AD225" s="108"/>
      <c r="AE225" s="108"/>
      <c r="AF225" s="1100"/>
      <c r="AG225" s="99"/>
      <c r="AH225" s="677"/>
      <c r="AI225" s="677"/>
      <c r="AJ225" s="677"/>
      <c r="AK225" s="677"/>
    </row>
    <row r="226" spans="1:37" x14ac:dyDescent="0.3">
      <c r="A226" s="109" t="s">
        <v>31</v>
      </c>
      <c r="B226" s="591">
        <f>B228+B229+B227+B230</f>
        <v>122.5</v>
      </c>
      <c r="C226" s="591">
        <f>C228+C229+C227+C230</f>
        <v>122.5</v>
      </c>
      <c r="D226" s="591">
        <f>D228+D229+D227+D230</f>
        <v>122.5</v>
      </c>
      <c r="E226" s="110">
        <f>E228+E229+E227+E230</f>
        <v>122.5</v>
      </c>
      <c r="F226" s="110">
        <f>IFERROR(E226/B226*100,0)</f>
        <v>100</v>
      </c>
      <c r="G226" s="110">
        <f>IFERROR(E226/C226*100,0)</f>
        <v>100</v>
      </c>
      <c r="H226" s="110">
        <f t="shared" ref="H226:AE226" si="60">H228+H229+H227+H230</f>
        <v>122.5</v>
      </c>
      <c r="I226" s="110">
        <f t="shared" si="60"/>
        <v>122.5</v>
      </c>
      <c r="J226" s="110">
        <f t="shared" si="60"/>
        <v>0</v>
      </c>
      <c r="K226" s="110">
        <f t="shared" si="60"/>
        <v>0</v>
      </c>
      <c r="L226" s="110">
        <f t="shared" si="60"/>
        <v>0</v>
      </c>
      <c r="M226" s="110">
        <f t="shared" si="60"/>
        <v>0</v>
      </c>
      <c r="N226" s="110">
        <f t="shared" si="60"/>
        <v>0</v>
      </c>
      <c r="O226" s="110">
        <f t="shared" si="60"/>
        <v>0</v>
      </c>
      <c r="P226" s="110">
        <f t="shared" si="60"/>
        <v>0</v>
      </c>
      <c r="Q226" s="110">
        <f t="shared" si="60"/>
        <v>0</v>
      </c>
      <c r="R226" s="110">
        <f t="shared" si="60"/>
        <v>0</v>
      </c>
      <c r="S226" s="110">
        <f t="shared" si="60"/>
        <v>0</v>
      </c>
      <c r="T226" s="110">
        <f t="shared" si="60"/>
        <v>0</v>
      </c>
      <c r="U226" s="110">
        <f t="shared" si="60"/>
        <v>0</v>
      </c>
      <c r="V226" s="110">
        <f t="shared" si="60"/>
        <v>0</v>
      </c>
      <c r="W226" s="110">
        <f t="shared" si="60"/>
        <v>0</v>
      </c>
      <c r="X226" s="110">
        <f t="shared" si="60"/>
        <v>0</v>
      </c>
      <c r="Y226" s="110">
        <f t="shared" si="60"/>
        <v>0</v>
      </c>
      <c r="Z226" s="110">
        <f t="shared" si="60"/>
        <v>0</v>
      </c>
      <c r="AA226" s="110">
        <f t="shared" si="60"/>
        <v>0</v>
      </c>
      <c r="AB226" s="110">
        <f t="shared" si="60"/>
        <v>0</v>
      </c>
      <c r="AC226" s="110">
        <f t="shared" si="60"/>
        <v>0</v>
      </c>
      <c r="AD226" s="110">
        <f t="shared" si="60"/>
        <v>0</v>
      </c>
      <c r="AE226" s="110">
        <f t="shared" si="60"/>
        <v>0</v>
      </c>
      <c r="AF226" s="1100"/>
      <c r="AG226" s="99"/>
      <c r="AH226" s="677"/>
      <c r="AI226" s="677"/>
      <c r="AJ226" s="677"/>
      <c r="AK226" s="677"/>
    </row>
    <row r="227" spans="1:37" x14ac:dyDescent="0.3">
      <c r="A227" s="112" t="s">
        <v>169</v>
      </c>
      <c r="B227" s="594"/>
      <c r="C227" s="712"/>
      <c r="D227" s="715"/>
      <c r="E227" s="114"/>
      <c r="F227" s="113"/>
      <c r="G227" s="113"/>
      <c r="H227" s="108"/>
      <c r="I227" s="108"/>
      <c r="J227" s="108"/>
      <c r="K227" s="108"/>
      <c r="L227" s="108"/>
      <c r="M227" s="108"/>
      <c r="N227" s="108"/>
      <c r="O227" s="108"/>
      <c r="P227" s="108"/>
      <c r="Q227" s="108"/>
      <c r="R227" s="108"/>
      <c r="S227" s="108"/>
      <c r="T227" s="108"/>
      <c r="U227" s="108"/>
      <c r="V227" s="108"/>
      <c r="W227" s="108"/>
      <c r="X227" s="108"/>
      <c r="Y227" s="108"/>
      <c r="Z227" s="108"/>
      <c r="AA227" s="108"/>
      <c r="AB227" s="108"/>
      <c r="AC227" s="108"/>
      <c r="AD227" s="108"/>
      <c r="AE227" s="108"/>
      <c r="AF227" s="1100"/>
      <c r="AG227" s="99"/>
      <c r="AH227" s="677"/>
      <c r="AI227" s="677"/>
      <c r="AJ227" s="677"/>
      <c r="AK227" s="677"/>
    </row>
    <row r="228" spans="1:37" x14ac:dyDescent="0.3">
      <c r="A228" s="112" t="s">
        <v>32</v>
      </c>
      <c r="B228" s="594"/>
      <c r="C228" s="712"/>
      <c r="D228" s="715"/>
      <c r="E228" s="114"/>
      <c r="F228" s="113"/>
      <c r="G228" s="113"/>
      <c r="H228" s="108"/>
      <c r="I228" s="108"/>
      <c r="J228" s="108"/>
      <c r="K228" s="108"/>
      <c r="L228" s="108"/>
      <c r="M228" s="108"/>
      <c r="N228" s="108"/>
      <c r="O228" s="108"/>
      <c r="P228" s="108"/>
      <c r="Q228" s="108"/>
      <c r="R228" s="108"/>
      <c r="S228" s="108"/>
      <c r="T228" s="108"/>
      <c r="U228" s="108"/>
      <c r="V228" s="108"/>
      <c r="W228" s="108"/>
      <c r="X228" s="108"/>
      <c r="Y228" s="108"/>
      <c r="Z228" s="108"/>
      <c r="AA228" s="108"/>
      <c r="AB228" s="108"/>
      <c r="AC228" s="108"/>
      <c r="AD228" s="108"/>
      <c r="AE228" s="108"/>
      <c r="AF228" s="1100"/>
      <c r="AG228" s="99"/>
      <c r="AH228" s="677"/>
      <c r="AI228" s="677"/>
      <c r="AJ228" s="677"/>
      <c r="AK228" s="677"/>
    </row>
    <row r="229" spans="1:37" x14ac:dyDescent="0.3">
      <c r="A229" s="112" t="s">
        <v>33</v>
      </c>
      <c r="B229" s="113">
        <f>J229+L229+N229+P229+R229+T229+V229+X229+Z229+AB229+AD229+H229</f>
        <v>122.5</v>
      </c>
      <c r="C229" s="114">
        <f>H229+J229+L229+N229+P229+R229+T229+V229+X229+Z229+AB229+AD229</f>
        <v>122.5</v>
      </c>
      <c r="D229" s="115">
        <f>E229</f>
        <v>122.5</v>
      </c>
      <c r="E229" s="114">
        <f>SUM(I229,K229,M229,O229,Q229,S229,U229,W229,Y229,AA229,AC229,AE229)</f>
        <v>122.5</v>
      </c>
      <c r="F229" s="113">
        <f>IFERROR(E229/B229*100,0)</f>
        <v>100</v>
      </c>
      <c r="G229" s="113">
        <f>IFERROR(E229/C229*100,0)</f>
        <v>100</v>
      </c>
      <c r="H229" s="108">
        <v>122.5</v>
      </c>
      <c r="I229" s="108">
        <v>122.5</v>
      </c>
      <c r="J229" s="108">
        <v>0</v>
      </c>
      <c r="K229" s="108">
        <v>0</v>
      </c>
      <c r="L229" s="108">
        <v>0</v>
      </c>
      <c r="M229" s="108">
        <v>0</v>
      </c>
      <c r="N229" s="108">
        <v>0</v>
      </c>
      <c r="O229" s="108">
        <v>0</v>
      </c>
      <c r="P229" s="108">
        <v>0</v>
      </c>
      <c r="Q229" s="108">
        <v>0</v>
      </c>
      <c r="R229" s="108">
        <v>0</v>
      </c>
      <c r="S229" s="108">
        <v>0</v>
      </c>
      <c r="T229" s="108">
        <v>0</v>
      </c>
      <c r="U229" s="108">
        <v>0</v>
      </c>
      <c r="V229" s="108">
        <v>0</v>
      </c>
      <c r="W229" s="108">
        <v>0</v>
      </c>
      <c r="X229" s="108">
        <v>0</v>
      </c>
      <c r="Y229" s="108">
        <v>0</v>
      </c>
      <c r="Z229" s="108">
        <v>0</v>
      </c>
      <c r="AA229" s="108">
        <v>0</v>
      </c>
      <c r="AB229" s="108">
        <v>0</v>
      </c>
      <c r="AC229" s="108">
        <v>0</v>
      </c>
      <c r="AD229" s="108">
        <v>0</v>
      </c>
      <c r="AE229" s="108">
        <v>0</v>
      </c>
      <c r="AF229" s="1100"/>
      <c r="AG229" s="99"/>
      <c r="AH229" s="677"/>
      <c r="AI229" s="677"/>
      <c r="AJ229" s="677"/>
      <c r="AK229" s="677"/>
    </row>
    <row r="230" spans="1:37" x14ac:dyDescent="0.3">
      <c r="A230" s="112" t="s">
        <v>170</v>
      </c>
      <c r="B230" s="113"/>
      <c r="C230" s="114"/>
      <c r="D230" s="115"/>
      <c r="E230" s="114"/>
      <c r="F230" s="113"/>
      <c r="G230" s="113"/>
      <c r="H230" s="108"/>
      <c r="I230" s="108"/>
      <c r="J230" s="108"/>
      <c r="K230" s="108"/>
      <c r="L230" s="108"/>
      <c r="M230" s="108"/>
      <c r="N230" s="108"/>
      <c r="O230" s="108"/>
      <c r="P230" s="108"/>
      <c r="Q230" s="108"/>
      <c r="R230" s="108"/>
      <c r="S230" s="108"/>
      <c r="T230" s="108"/>
      <c r="U230" s="108"/>
      <c r="V230" s="108"/>
      <c r="W230" s="108"/>
      <c r="X230" s="108"/>
      <c r="Y230" s="108"/>
      <c r="Z230" s="108"/>
      <c r="AA230" s="108"/>
      <c r="AB230" s="108"/>
      <c r="AC230" s="108"/>
      <c r="AD230" s="108"/>
      <c r="AE230" s="108"/>
      <c r="AF230" s="1100"/>
      <c r="AG230" s="99"/>
      <c r="AH230" s="677"/>
      <c r="AI230" s="677"/>
      <c r="AJ230" s="677"/>
      <c r="AK230" s="677"/>
    </row>
    <row r="231" spans="1:37" x14ac:dyDescent="0.3">
      <c r="A231" s="1163" t="s">
        <v>206</v>
      </c>
      <c r="B231" s="1164"/>
      <c r="C231" s="1164"/>
      <c r="D231" s="1164"/>
      <c r="E231" s="1164"/>
      <c r="F231" s="1164"/>
      <c r="G231" s="1164"/>
      <c r="H231" s="1164"/>
      <c r="I231" s="1164"/>
      <c r="J231" s="1164"/>
      <c r="K231" s="1164"/>
      <c r="L231" s="1164"/>
      <c r="M231" s="1164"/>
      <c r="N231" s="1164"/>
      <c r="O231" s="1164"/>
      <c r="P231" s="1164"/>
      <c r="Q231" s="1164"/>
      <c r="R231" s="1164"/>
      <c r="S231" s="1164"/>
      <c r="T231" s="1164"/>
      <c r="U231" s="1164"/>
      <c r="V231" s="1164"/>
      <c r="W231" s="1164"/>
      <c r="X231" s="1164"/>
      <c r="Y231" s="1164"/>
      <c r="Z231" s="1164"/>
      <c r="AA231" s="1164"/>
      <c r="AB231" s="1164"/>
      <c r="AC231" s="1164"/>
      <c r="AD231" s="1164"/>
      <c r="AE231" s="1164"/>
      <c r="AF231" s="1165"/>
      <c r="AG231" s="99"/>
      <c r="AH231" s="677"/>
      <c r="AI231" s="677"/>
      <c r="AJ231" s="677"/>
      <c r="AK231" s="677"/>
    </row>
    <row r="232" spans="1:37" x14ac:dyDescent="0.3">
      <c r="A232" s="1163" t="s">
        <v>54</v>
      </c>
      <c r="B232" s="1164"/>
      <c r="C232" s="1164"/>
      <c r="D232" s="1164"/>
      <c r="E232" s="1164"/>
      <c r="F232" s="1164"/>
      <c r="G232" s="1164"/>
      <c r="H232" s="1164"/>
      <c r="I232" s="1164"/>
      <c r="J232" s="1164"/>
      <c r="K232" s="1164"/>
      <c r="L232" s="1164"/>
      <c r="M232" s="1164"/>
      <c r="N232" s="1164"/>
      <c r="O232" s="1164"/>
      <c r="P232" s="1164"/>
      <c r="Q232" s="1164"/>
      <c r="R232" s="1164"/>
      <c r="S232" s="1164"/>
      <c r="T232" s="1164"/>
      <c r="U232" s="1164"/>
      <c r="V232" s="1164"/>
      <c r="W232" s="1164"/>
      <c r="X232" s="1164"/>
      <c r="Y232" s="1164"/>
      <c r="Z232" s="1164"/>
      <c r="AA232" s="1164"/>
      <c r="AB232" s="1164"/>
      <c r="AC232" s="1164"/>
      <c r="AD232" s="1164"/>
      <c r="AE232" s="1164"/>
      <c r="AF232" s="1165"/>
      <c r="AG232" s="99"/>
      <c r="AH232" s="677"/>
      <c r="AI232" s="677"/>
      <c r="AJ232" s="677"/>
      <c r="AK232" s="677"/>
    </row>
    <row r="233" spans="1:37" ht="174.75" customHeight="1" x14ac:dyDescent="0.3">
      <c r="A233" s="135" t="s">
        <v>207</v>
      </c>
      <c r="B233" s="136"/>
      <c r="C233" s="137"/>
      <c r="D233" s="137"/>
      <c r="E233" s="137"/>
      <c r="F233" s="137"/>
      <c r="G233" s="137"/>
      <c r="H233" s="136"/>
      <c r="I233" s="136"/>
      <c r="J233" s="136"/>
      <c r="K233" s="136"/>
      <c r="L233" s="136"/>
      <c r="M233" s="136"/>
      <c r="N233" s="136"/>
      <c r="O233" s="136"/>
      <c r="P233" s="136"/>
      <c r="Q233" s="136"/>
      <c r="R233" s="136"/>
      <c r="S233" s="136"/>
      <c r="T233" s="136"/>
      <c r="U233" s="136"/>
      <c r="V233" s="136"/>
      <c r="W233" s="136"/>
      <c r="X233" s="136"/>
      <c r="Y233" s="136"/>
      <c r="Z233" s="136"/>
      <c r="AA233" s="136"/>
      <c r="AB233" s="136"/>
      <c r="AC233" s="136"/>
      <c r="AD233" s="136"/>
      <c r="AE233" s="136"/>
      <c r="AF233" s="1096" t="s">
        <v>703</v>
      </c>
      <c r="AG233" s="99"/>
      <c r="AH233" s="677"/>
      <c r="AI233" s="677"/>
      <c r="AJ233" s="677"/>
      <c r="AK233" s="677"/>
    </row>
    <row r="234" spans="1:37" x14ac:dyDescent="0.3">
      <c r="A234" s="100" t="s">
        <v>31</v>
      </c>
      <c r="B234" s="101">
        <f>B235+B236+B237+B238</f>
        <v>21455.905999999999</v>
      </c>
      <c r="C234" s="101">
        <f>C235+C236+C237+C238</f>
        <v>21455.905999999999</v>
      </c>
      <c r="D234" s="101">
        <f>D235+D236+D237+D238</f>
        <v>20923.344000000001</v>
      </c>
      <c r="E234" s="101">
        <f>E235+E236+E237+E238</f>
        <v>21151.338</v>
      </c>
      <c r="F234" s="101">
        <f>IFERROR(E234/B234*100,0)</f>
        <v>98.580493408201917</v>
      </c>
      <c r="G234" s="101">
        <f>IFERROR(E234/C234*100,0)</f>
        <v>98.580493408201917</v>
      </c>
      <c r="H234" s="101">
        <f>H235+H236+H237+H238</f>
        <v>2852.0230000000001</v>
      </c>
      <c r="I234" s="101">
        <f t="shared" ref="I234:AE234" si="61">I235+I236+I237+I238</f>
        <v>1319.77</v>
      </c>
      <c r="J234" s="101">
        <f t="shared" si="61"/>
        <v>1872.2560000000001</v>
      </c>
      <c r="K234" s="101">
        <f t="shared" si="61"/>
        <v>2121.1849999999999</v>
      </c>
      <c r="L234" s="101">
        <f t="shared" si="61"/>
        <v>1462.116</v>
      </c>
      <c r="M234" s="101">
        <f t="shared" si="61"/>
        <v>1640.8960000000002</v>
      </c>
      <c r="N234" s="101">
        <f t="shared" si="61"/>
        <v>2157.7130000000002</v>
      </c>
      <c r="O234" s="101">
        <f t="shared" si="61"/>
        <v>1314.7869999999998</v>
      </c>
      <c r="P234" s="101">
        <f t="shared" si="61"/>
        <v>1900.182</v>
      </c>
      <c r="Q234" s="101">
        <f t="shared" si="61"/>
        <v>1851.692</v>
      </c>
      <c r="R234" s="101">
        <f t="shared" si="61"/>
        <v>1462.116</v>
      </c>
      <c r="S234" s="101">
        <f t="shared" si="61"/>
        <v>1786.8870000000002</v>
      </c>
      <c r="T234" s="101">
        <f t="shared" si="61"/>
        <v>2157.7130000000002</v>
      </c>
      <c r="U234" s="101">
        <f t="shared" si="61"/>
        <v>2201.7759999999998</v>
      </c>
      <c r="V234" s="101">
        <f t="shared" si="61"/>
        <v>1842.098</v>
      </c>
      <c r="W234" s="101">
        <f t="shared" si="61"/>
        <v>1708.413</v>
      </c>
      <c r="X234" s="101">
        <f t="shared" si="61"/>
        <v>1479.4159999999999</v>
      </c>
      <c r="Y234" s="101">
        <f t="shared" si="61"/>
        <v>1133.049</v>
      </c>
      <c r="Z234" s="101">
        <f t="shared" si="61"/>
        <v>2157.7130000000002</v>
      </c>
      <c r="AA234" s="101">
        <f t="shared" si="61"/>
        <v>1566.7420000000002</v>
      </c>
      <c r="AB234" s="101">
        <f t="shared" si="61"/>
        <v>1688.242</v>
      </c>
      <c r="AC234" s="101">
        <f t="shared" si="61"/>
        <v>1205.9079999999999</v>
      </c>
      <c r="AD234" s="101">
        <f t="shared" si="61"/>
        <v>424.31799999999998</v>
      </c>
      <c r="AE234" s="101">
        <f t="shared" si="61"/>
        <v>3300.2330000000002</v>
      </c>
      <c r="AF234" s="1100"/>
      <c r="AG234" s="99"/>
      <c r="AH234" s="677"/>
      <c r="AI234" s="677"/>
      <c r="AJ234" s="677"/>
      <c r="AK234" s="677"/>
    </row>
    <row r="235" spans="1:37" x14ac:dyDescent="0.3">
      <c r="A235" s="103" t="s">
        <v>169</v>
      </c>
      <c r="B235" s="104"/>
      <c r="C235" s="104"/>
      <c r="D235" s="104"/>
      <c r="E235" s="104"/>
      <c r="F235" s="104"/>
      <c r="G235" s="104"/>
      <c r="H235" s="104"/>
      <c r="I235" s="104"/>
      <c r="J235" s="104"/>
      <c r="K235" s="104"/>
      <c r="L235" s="104"/>
      <c r="M235" s="104"/>
      <c r="N235" s="104"/>
      <c r="O235" s="104"/>
      <c r="P235" s="104"/>
      <c r="Q235" s="104"/>
      <c r="R235" s="104"/>
      <c r="S235" s="104"/>
      <c r="T235" s="104"/>
      <c r="U235" s="104"/>
      <c r="V235" s="104"/>
      <c r="W235" s="104"/>
      <c r="X235" s="104"/>
      <c r="Y235" s="104"/>
      <c r="Z235" s="104"/>
      <c r="AA235" s="104"/>
      <c r="AB235" s="104"/>
      <c r="AC235" s="104"/>
      <c r="AD235" s="104"/>
      <c r="AE235" s="104"/>
      <c r="AF235" s="1100"/>
      <c r="AG235" s="99"/>
      <c r="AH235" s="677"/>
      <c r="AI235" s="677"/>
      <c r="AJ235" s="677"/>
      <c r="AK235" s="677"/>
    </row>
    <row r="236" spans="1:37" x14ac:dyDescent="0.3">
      <c r="A236" s="103" t="s">
        <v>32</v>
      </c>
      <c r="B236" s="104">
        <f>B242+B248</f>
        <v>227.99</v>
      </c>
      <c r="C236" s="104">
        <f t="shared" ref="C236:D236" si="62">C242+C248</f>
        <v>227.99</v>
      </c>
      <c r="D236" s="104">
        <f t="shared" si="62"/>
        <v>227.99</v>
      </c>
      <c r="E236" s="104">
        <f>E242+E248</f>
        <v>227.99</v>
      </c>
      <c r="F236" s="104">
        <f>IFERROR(E236/B236*100,0)</f>
        <v>100</v>
      </c>
      <c r="G236" s="104">
        <f>IFERROR(E236/C236*100,0)</f>
        <v>100</v>
      </c>
      <c r="H236" s="104">
        <f>H242+H248</f>
        <v>0</v>
      </c>
      <c r="I236" s="104">
        <f t="shared" ref="I236:AE236" si="63">I242+I248</f>
        <v>0</v>
      </c>
      <c r="J236" s="104">
        <f t="shared" si="63"/>
        <v>0</v>
      </c>
      <c r="K236" s="104">
        <f t="shared" si="63"/>
        <v>0</v>
      </c>
      <c r="L236" s="104">
        <f t="shared" si="63"/>
        <v>0</v>
      </c>
      <c r="M236" s="104">
        <f t="shared" si="63"/>
        <v>0</v>
      </c>
      <c r="N236" s="104">
        <f t="shared" si="63"/>
        <v>0</v>
      </c>
      <c r="O236" s="104">
        <f t="shared" si="63"/>
        <v>0</v>
      </c>
      <c r="P236" s="104">
        <f t="shared" si="63"/>
        <v>227.99</v>
      </c>
      <c r="Q236" s="104">
        <f t="shared" si="63"/>
        <v>227.99</v>
      </c>
      <c r="R236" s="104">
        <f t="shared" si="63"/>
        <v>0</v>
      </c>
      <c r="S236" s="104">
        <f t="shared" si="63"/>
        <v>0</v>
      </c>
      <c r="T236" s="104">
        <f t="shared" si="63"/>
        <v>0</v>
      </c>
      <c r="U236" s="104">
        <f t="shared" si="63"/>
        <v>0</v>
      </c>
      <c r="V236" s="104">
        <f t="shared" si="63"/>
        <v>0</v>
      </c>
      <c r="W236" s="104">
        <f t="shared" si="63"/>
        <v>0</v>
      </c>
      <c r="X236" s="104">
        <f t="shared" si="63"/>
        <v>0</v>
      </c>
      <c r="Y236" s="104">
        <f t="shared" si="63"/>
        <v>0</v>
      </c>
      <c r="Z236" s="104">
        <f t="shared" si="63"/>
        <v>0</v>
      </c>
      <c r="AA236" s="104">
        <f t="shared" si="63"/>
        <v>0</v>
      </c>
      <c r="AB236" s="104">
        <f t="shared" si="63"/>
        <v>0</v>
      </c>
      <c r="AC236" s="104">
        <f t="shared" si="63"/>
        <v>0</v>
      </c>
      <c r="AD236" s="104">
        <f t="shared" si="63"/>
        <v>0</v>
      </c>
      <c r="AE236" s="104">
        <f t="shared" si="63"/>
        <v>0</v>
      </c>
      <c r="AF236" s="1100"/>
      <c r="AG236" s="99"/>
      <c r="AH236" s="677"/>
      <c r="AI236" s="677"/>
      <c r="AJ236" s="677"/>
      <c r="AK236" s="677"/>
    </row>
    <row r="237" spans="1:37" x14ac:dyDescent="0.3">
      <c r="A237" s="103" t="s">
        <v>33</v>
      </c>
      <c r="B237" s="104">
        <f>B243+B249</f>
        <v>21227.915999999997</v>
      </c>
      <c r="C237" s="104">
        <f>C243+C249</f>
        <v>21227.915999999997</v>
      </c>
      <c r="D237" s="104">
        <f>D243+D249</f>
        <v>20695.353999999999</v>
      </c>
      <c r="E237" s="104">
        <f>E243+E249</f>
        <v>20923.347999999998</v>
      </c>
      <c r="F237" s="104">
        <f>IFERROR(E237/B237*100,0)</f>
        <v>98.565247761485395</v>
      </c>
      <c r="G237" s="104">
        <f>IFERROR(E237/C237*100,0)</f>
        <v>98.565247761485395</v>
      </c>
      <c r="H237" s="104">
        <f>H243+H249</f>
        <v>2852.0230000000001</v>
      </c>
      <c r="I237" s="104">
        <f t="shared" ref="I237:AE237" si="64">I243+I249</f>
        <v>1319.77</v>
      </c>
      <c r="J237" s="104">
        <f t="shared" si="64"/>
        <v>1872.2560000000001</v>
      </c>
      <c r="K237" s="104">
        <f t="shared" si="64"/>
        <v>2121.1849999999999</v>
      </c>
      <c r="L237" s="104">
        <f t="shared" si="64"/>
        <v>1462.116</v>
      </c>
      <c r="M237" s="104">
        <f t="shared" si="64"/>
        <v>1640.8960000000002</v>
      </c>
      <c r="N237" s="104">
        <f t="shared" si="64"/>
        <v>2157.7130000000002</v>
      </c>
      <c r="O237" s="104">
        <f t="shared" si="64"/>
        <v>1314.7869999999998</v>
      </c>
      <c r="P237" s="104">
        <f t="shared" si="64"/>
        <v>1672.192</v>
      </c>
      <c r="Q237" s="104">
        <f t="shared" si="64"/>
        <v>1623.702</v>
      </c>
      <c r="R237" s="104">
        <f t="shared" si="64"/>
        <v>1462.116</v>
      </c>
      <c r="S237" s="104">
        <f t="shared" si="64"/>
        <v>1786.8870000000002</v>
      </c>
      <c r="T237" s="104">
        <f t="shared" si="64"/>
        <v>2157.7130000000002</v>
      </c>
      <c r="U237" s="104">
        <f t="shared" si="64"/>
        <v>2201.7759999999998</v>
      </c>
      <c r="V237" s="104">
        <f t="shared" si="64"/>
        <v>1842.098</v>
      </c>
      <c r="W237" s="104">
        <f t="shared" si="64"/>
        <v>1708.413</v>
      </c>
      <c r="X237" s="104">
        <f t="shared" si="64"/>
        <v>1479.4159999999999</v>
      </c>
      <c r="Y237" s="104">
        <f t="shared" si="64"/>
        <v>1133.049</v>
      </c>
      <c r="Z237" s="104">
        <f t="shared" si="64"/>
        <v>2157.7130000000002</v>
      </c>
      <c r="AA237" s="104">
        <f t="shared" si="64"/>
        <v>1566.7420000000002</v>
      </c>
      <c r="AB237" s="104">
        <f t="shared" si="64"/>
        <v>1688.242</v>
      </c>
      <c r="AC237" s="104">
        <f t="shared" si="64"/>
        <v>1205.9079999999999</v>
      </c>
      <c r="AD237" s="104">
        <f t="shared" si="64"/>
        <v>424.31799999999998</v>
      </c>
      <c r="AE237" s="104">
        <f t="shared" si="64"/>
        <v>3300.2330000000002</v>
      </c>
      <c r="AF237" s="1100"/>
      <c r="AG237" s="99"/>
      <c r="AH237" s="677"/>
      <c r="AI237" s="677"/>
      <c r="AJ237" s="677"/>
      <c r="AK237" s="677"/>
    </row>
    <row r="238" spans="1:37" x14ac:dyDescent="0.3">
      <c r="A238" s="103" t="s">
        <v>170</v>
      </c>
      <c r="B238" s="104"/>
      <c r="C238" s="104"/>
      <c r="D238" s="104"/>
      <c r="E238" s="104"/>
      <c r="F238" s="104"/>
      <c r="G238" s="133"/>
      <c r="H238" s="104"/>
      <c r="I238" s="104"/>
      <c r="J238" s="104"/>
      <c r="K238" s="104"/>
      <c r="L238" s="104"/>
      <c r="M238" s="104"/>
      <c r="N238" s="104"/>
      <c r="O238" s="104"/>
      <c r="P238" s="104"/>
      <c r="Q238" s="104"/>
      <c r="R238" s="104"/>
      <c r="S238" s="104"/>
      <c r="T238" s="104"/>
      <c r="U238" s="104"/>
      <c r="V238" s="104"/>
      <c r="W238" s="104"/>
      <c r="X238" s="104"/>
      <c r="Y238" s="104"/>
      <c r="Z238" s="104"/>
      <c r="AA238" s="104"/>
      <c r="AB238" s="104"/>
      <c r="AC238" s="104"/>
      <c r="AD238" s="104"/>
      <c r="AE238" s="104"/>
      <c r="AF238" s="1100"/>
      <c r="AG238" s="99"/>
      <c r="AH238" s="677"/>
      <c r="AI238" s="677"/>
      <c r="AJ238" s="677"/>
      <c r="AK238" s="677"/>
    </row>
    <row r="239" spans="1:37" ht="56.25" x14ac:dyDescent="0.3">
      <c r="A239" s="119" t="s">
        <v>208</v>
      </c>
      <c r="B239" s="110"/>
      <c r="C239" s="118"/>
      <c r="D239" s="118"/>
      <c r="E239" s="118"/>
      <c r="F239" s="118"/>
      <c r="G239" s="118"/>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100"/>
      <c r="AG239" s="99"/>
      <c r="AH239" s="677"/>
      <c r="AI239" s="677"/>
      <c r="AJ239" s="677"/>
      <c r="AK239" s="677"/>
    </row>
    <row r="240" spans="1:37" x14ac:dyDescent="0.3">
      <c r="A240" s="109" t="s">
        <v>31</v>
      </c>
      <c r="B240" s="591">
        <f>B242+B243+B241+B244</f>
        <v>13744.789999999999</v>
      </c>
      <c r="C240" s="591">
        <f>C242+C243+C241+C244</f>
        <v>13744.789999999999</v>
      </c>
      <c r="D240" s="591">
        <f>D242+D243+D241+D244</f>
        <v>13320.743</v>
      </c>
      <c r="E240" s="591">
        <f>E242+E243+E241+E244</f>
        <v>13548.736999999999</v>
      </c>
      <c r="F240" s="591">
        <f>IFERROR(E240/B240*100,0)</f>
        <v>98.573619531473383</v>
      </c>
      <c r="G240" s="591">
        <f>IFERROR(E240/C240*100,0)</f>
        <v>98.573619531473383</v>
      </c>
      <c r="H240" s="110">
        <f t="shared" ref="H240:AE240" si="65">H242+H243+H241+H244</f>
        <v>1862.93</v>
      </c>
      <c r="I240" s="110">
        <f t="shared" si="65"/>
        <v>860.83</v>
      </c>
      <c r="J240" s="110">
        <f t="shared" si="65"/>
        <v>1244.1990000000001</v>
      </c>
      <c r="K240" s="110">
        <f t="shared" si="65"/>
        <v>1369.52</v>
      </c>
      <c r="L240" s="110">
        <f t="shared" si="65"/>
        <v>963.08500000000004</v>
      </c>
      <c r="M240" s="110">
        <f t="shared" si="65"/>
        <v>1162.2280000000001</v>
      </c>
      <c r="N240" s="110">
        <f t="shared" si="65"/>
        <v>1423.0820000000001</v>
      </c>
      <c r="O240" s="110">
        <f t="shared" si="65"/>
        <v>799.68499999999995</v>
      </c>
      <c r="P240" s="110">
        <f t="shared" si="65"/>
        <v>1330</v>
      </c>
      <c r="Q240" s="110">
        <f t="shared" si="65"/>
        <v>1247.096</v>
      </c>
      <c r="R240" s="110">
        <f t="shared" si="65"/>
        <v>963.08500000000004</v>
      </c>
      <c r="S240" s="110">
        <f t="shared" si="65"/>
        <v>1269.3420000000001</v>
      </c>
      <c r="T240" s="110">
        <f t="shared" si="65"/>
        <v>1423.0820000000001</v>
      </c>
      <c r="U240" s="110">
        <f t="shared" si="65"/>
        <v>1244.18</v>
      </c>
      <c r="V240" s="110">
        <f t="shared" si="65"/>
        <v>1196.4000000000001</v>
      </c>
      <c r="W240" s="110">
        <f t="shared" si="65"/>
        <v>992.27099999999996</v>
      </c>
      <c r="X240" s="110">
        <f t="shared" si="65"/>
        <v>980.38499999999999</v>
      </c>
      <c r="Y240" s="110">
        <f t="shared" si="65"/>
        <v>818.71199999999999</v>
      </c>
      <c r="Z240" s="110">
        <f t="shared" si="65"/>
        <v>1423.0820000000001</v>
      </c>
      <c r="AA240" s="110">
        <f t="shared" si="65"/>
        <v>947.70500000000004</v>
      </c>
      <c r="AB240" s="110">
        <f t="shared" si="65"/>
        <v>918.06</v>
      </c>
      <c r="AC240" s="110">
        <f t="shared" si="65"/>
        <v>754.46199999999999</v>
      </c>
      <c r="AD240" s="110">
        <f t="shared" si="65"/>
        <v>17.399999999999999</v>
      </c>
      <c r="AE240" s="110">
        <f t="shared" si="65"/>
        <v>2082.7060000000001</v>
      </c>
      <c r="AF240" s="1100"/>
      <c r="AG240" s="99"/>
      <c r="AH240" s="677"/>
      <c r="AI240" s="677"/>
      <c r="AJ240" s="677"/>
      <c r="AK240" s="677"/>
    </row>
    <row r="241" spans="1:37" x14ac:dyDescent="0.3">
      <c r="A241" s="112" t="s">
        <v>169</v>
      </c>
      <c r="B241" s="594"/>
      <c r="C241" s="712"/>
      <c r="D241" s="715"/>
      <c r="E241" s="712"/>
      <c r="F241" s="594"/>
      <c r="G241" s="594"/>
      <c r="H241" s="108"/>
      <c r="I241" s="108"/>
      <c r="J241" s="108"/>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100"/>
      <c r="AG241" s="99"/>
      <c r="AH241" s="677"/>
      <c r="AI241" s="677"/>
      <c r="AJ241" s="677"/>
      <c r="AK241" s="677"/>
    </row>
    <row r="242" spans="1:37" x14ac:dyDescent="0.3">
      <c r="A242" s="593" t="s">
        <v>32</v>
      </c>
      <c r="B242" s="594">
        <f>H242+J242+L242+N242+P242+R242+T242+V242+X242+Z242+AB242+AD242</f>
        <v>227.99</v>
      </c>
      <c r="C242" s="712">
        <f>H242+J242+L242+N242+P242+R242+T242+V242+X242+Z242+AB242+AD242</f>
        <v>227.99</v>
      </c>
      <c r="D242" s="715">
        <f>E242</f>
        <v>227.99</v>
      </c>
      <c r="E242" s="712">
        <f>I242+K242+M242+O242+Q242+S242+U242+W242+Y242+AA242+AC242+AE242</f>
        <v>227.99</v>
      </c>
      <c r="F242" s="594">
        <f>IFERROR(E242/B242*100,0)</f>
        <v>100</v>
      </c>
      <c r="G242" s="594">
        <f>IFERROR(E242/C242*100,0)</f>
        <v>100</v>
      </c>
      <c r="H242" s="499">
        <v>0</v>
      </c>
      <c r="I242" s="499">
        <v>0</v>
      </c>
      <c r="J242" s="499">
        <v>0</v>
      </c>
      <c r="K242" s="499">
        <v>0</v>
      </c>
      <c r="L242" s="499">
        <v>0</v>
      </c>
      <c r="M242" s="499">
        <v>0</v>
      </c>
      <c r="N242" s="499">
        <v>0</v>
      </c>
      <c r="O242" s="499">
        <v>0</v>
      </c>
      <c r="P242" s="499">
        <v>227.99</v>
      </c>
      <c r="Q242" s="499">
        <v>227.99</v>
      </c>
      <c r="R242" s="499">
        <v>0</v>
      </c>
      <c r="S242" s="499">
        <v>0</v>
      </c>
      <c r="T242" s="499">
        <v>0</v>
      </c>
      <c r="U242" s="499">
        <v>0</v>
      </c>
      <c r="V242" s="499">
        <v>0</v>
      </c>
      <c r="W242" s="499">
        <v>0</v>
      </c>
      <c r="X242" s="499">
        <v>0</v>
      </c>
      <c r="Y242" s="499">
        <v>0</v>
      </c>
      <c r="Z242" s="499">
        <v>0</v>
      </c>
      <c r="AA242" s="499">
        <v>0</v>
      </c>
      <c r="AB242" s="499">
        <v>0</v>
      </c>
      <c r="AC242" s="499">
        <v>0</v>
      </c>
      <c r="AD242" s="499">
        <v>0</v>
      </c>
      <c r="AE242" s="499">
        <v>0</v>
      </c>
      <c r="AF242" s="1100"/>
      <c r="AG242" s="99"/>
      <c r="AH242" s="677"/>
      <c r="AI242" s="677"/>
      <c r="AJ242" s="677"/>
      <c r="AK242" s="677"/>
    </row>
    <row r="243" spans="1:37" s="155" customFormat="1" x14ac:dyDescent="0.3">
      <c r="A243" s="593" t="s">
        <v>33</v>
      </c>
      <c r="B243" s="594">
        <f>H243+J243+L243+N243+P243+R243+T243+V243+X243+Z243+AB243+AD243</f>
        <v>13516.8</v>
      </c>
      <c r="C243" s="712">
        <f>H243+J243+L243+N243+P243+R243+T243+V243+X243+Z243+AB243+AD243</f>
        <v>13516.8</v>
      </c>
      <c r="D243" s="715">
        <v>13092.753000000001</v>
      </c>
      <c r="E243" s="712">
        <f>SUM(I243,K243,M243,O243,Q243,S243,U243,W243,Y243,AA243,AC243,AE243)</f>
        <v>13320.746999999999</v>
      </c>
      <c r="F243" s="594">
        <f>IFERROR(E243/B243*100,0)</f>
        <v>98.549560546875</v>
      </c>
      <c r="G243" s="594">
        <f>IFERROR(E243/C243*100,0)</f>
        <v>98.549560546875</v>
      </c>
      <c r="H243" s="1064">
        <v>1862.93</v>
      </c>
      <c r="I243" s="1064">
        <v>860.83</v>
      </c>
      <c r="J243" s="1064">
        <v>1244.1990000000001</v>
      </c>
      <c r="K243" s="1064">
        <v>1369.52</v>
      </c>
      <c r="L243" s="1064">
        <v>963.08500000000004</v>
      </c>
      <c r="M243" s="1064">
        <v>1162.2280000000001</v>
      </c>
      <c r="N243" s="1064">
        <v>1423.0820000000001</v>
      </c>
      <c r="O243" s="1064">
        <v>799.68499999999995</v>
      </c>
      <c r="P243" s="1064">
        <v>1102.01</v>
      </c>
      <c r="Q243" s="1064">
        <v>1019.106</v>
      </c>
      <c r="R243" s="1064">
        <v>963.08500000000004</v>
      </c>
      <c r="S243" s="1064">
        <v>1269.3420000000001</v>
      </c>
      <c r="T243" s="1064">
        <v>1423.0820000000001</v>
      </c>
      <c r="U243" s="1064">
        <v>1244.18</v>
      </c>
      <c r="V243" s="1064">
        <v>1196.4000000000001</v>
      </c>
      <c r="W243" s="1064">
        <v>992.27099999999996</v>
      </c>
      <c r="X243" s="1064">
        <v>980.38499999999999</v>
      </c>
      <c r="Y243" s="1064">
        <v>818.71199999999999</v>
      </c>
      <c r="Z243" s="1064">
        <v>1423.0820000000001</v>
      </c>
      <c r="AA243" s="1064">
        <v>947.70500000000004</v>
      </c>
      <c r="AB243" s="1064">
        <v>918.06</v>
      </c>
      <c r="AC243" s="1064">
        <v>754.46199999999999</v>
      </c>
      <c r="AD243" s="1064">
        <v>17.399999999999999</v>
      </c>
      <c r="AE243" s="1064">
        <v>2082.7060000000001</v>
      </c>
      <c r="AF243" s="1111"/>
      <c r="AG243" s="726"/>
      <c r="AH243" s="683"/>
      <c r="AI243" s="683"/>
      <c r="AJ243" s="683"/>
      <c r="AK243" s="683"/>
    </row>
    <row r="244" spans="1:37" x14ac:dyDescent="0.3">
      <c r="A244" s="112" t="s">
        <v>170</v>
      </c>
      <c r="B244" s="594"/>
      <c r="C244" s="712"/>
      <c r="D244" s="715"/>
      <c r="E244" s="712"/>
      <c r="F244" s="594"/>
      <c r="G244" s="594"/>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100"/>
      <c r="AG244" s="99"/>
      <c r="AH244" s="677"/>
      <c r="AI244" s="677"/>
      <c r="AJ244" s="677"/>
      <c r="AK244" s="677"/>
    </row>
    <row r="245" spans="1:37" ht="56.25" x14ac:dyDescent="0.3">
      <c r="A245" s="119" t="s">
        <v>209</v>
      </c>
      <c r="B245" s="591"/>
      <c r="C245" s="591"/>
      <c r="D245" s="591"/>
      <c r="E245" s="591"/>
      <c r="F245" s="591"/>
      <c r="G245" s="591"/>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100"/>
      <c r="AG245" s="99"/>
      <c r="AH245" s="677"/>
      <c r="AI245" s="677"/>
      <c r="AJ245" s="677"/>
      <c r="AK245" s="677"/>
    </row>
    <row r="246" spans="1:37" x14ac:dyDescent="0.3">
      <c r="A246" s="109" t="s">
        <v>31</v>
      </c>
      <c r="B246" s="591">
        <f>B248+B249+B247+B250</f>
        <v>7711.1159999999991</v>
      </c>
      <c r="C246" s="591">
        <f>C248+C249+C247+C250</f>
        <v>7711.116</v>
      </c>
      <c r="D246" s="591">
        <f>D248+D249+D247+D250</f>
        <v>7602.6010000000006</v>
      </c>
      <c r="E246" s="591">
        <f>E248+E249+E247+E250</f>
        <v>7602.6010000000006</v>
      </c>
      <c r="F246" s="591">
        <f>IFERROR(E246/B246*100,0)</f>
        <v>98.592745848979604</v>
      </c>
      <c r="G246" s="591">
        <f>IFERROR(E246/C246*100,0)</f>
        <v>98.592745848979575</v>
      </c>
      <c r="H246" s="110">
        <f t="shared" ref="H246:AE246" si="66">H248+H249+H247+H250</f>
        <v>989.09299999999996</v>
      </c>
      <c r="I246" s="110">
        <f t="shared" si="66"/>
        <v>458.94</v>
      </c>
      <c r="J246" s="110">
        <f t="shared" si="66"/>
        <v>628.05700000000002</v>
      </c>
      <c r="K246" s="110">
        <f t="shared" si="66"/>
        <v>751.66499999999996</v>
      </c>
      <c r="L246" s="110">
        <f t="shared" si="66"/>
        <v>499.03100000000001</v>
      </c>
      <c r="M246" s="110">
        <f t="shared" si="66"/>
        <v>478.66800000000001</v>
      </c>
      <c r="N246" s="110">
        <f t="shared" si="66"/>
        <v>734.63099999999997</v>
      </c>
      <c r="O246" s="110">
        <f t="shared" si="66"/>
        <v>515.10199999999998</v>
      </c>
      <c r="P246" s="110">
        <f t="shared" si="66"/>
        <v>570.18200000000002</v>
      </c>
      <c r="Q246" s="110">
        <f t="shared" si="66"/>
        <v>604.596</v>
      </c>
      <c r="R246" s="110">
        <f t="shared" si="66"/>
        <v>499.03100000000001</v>
      </c>
      <c r="S246" s="110">
        <f t="shared" si="66"/>
        <v>517.54499999999996</v>
      </c>
      <c r="T246" s="110">
        <f t="shared" si="66"/>
        <v>734.63099999999997</v>
      </c>
      <c r="U246" s="110">
        <f t="shared" si="66"/>
        <v>957.596</v>
      </c>
      <c r="V246" s="110">
        <f t="shared" si="66"/>
        <v>645.69799999999998</v>
      </c>
      <c r="W246" s="110">
        <f t="shared" si="66"/>
        <v>716.14200000000005</v>
      </c>
      <c r="X246" s="110">
        <f t="shared" si="66"/>
        <v>499.03100000000001</v>
      </c>
      <c r="Y246" s="110">
        <f t="shared" si="66"/>
        <v>314.33699999999999</v>
      </c>
      <c r="Z246" s="110">
        <f t="shared" si="66"/>
        <v>734.63099999999997</v>
      </c>
      <c r="AA246" s="110">
        <f t="shared" si="66"/>
        <v>619.03700000000003</v>
      </c>
      <c r="AB246" s="110">
        <f t="shared" si="66"/>
        <v>770.18200000000002</v>
      </c>
      <c r="AC246" s="110">
        <f t="shared" si="66"/>
        <v>451.44600000000003</v>
      </c>
      <c r="AD246" s="110">
        <f t="shared" si="66"/>
        <v>406.91800000000001</v>
      </c>
      <c r="AE246" s="110">
        <f t="shared" si="66"/>
        <v>1217.527</v>
      </c>
      <c r="AF246" s="1100"/>
      <c r="AG246" s="99"/>
      <c r="AH246" s="677"/>
      <c r="AI246" s="677"/>
      <c r="AJ246" s="677"/>
      <c r="AK246" s="677"/>
    </row>
    <row r="247" spans="1:37" x14ac:dyDescent="0.3">
      <c r="A247" s="112" t="s">
        <v>169</v>
      </c>
      <c r="B247" s="594"/>
      <c r="C247" s="712"/>
      <c r="D247" s="715"/>
      <c r="E247" s="712"/>
      <c r="F247" s="594"/>
      <c r="G247" s="594"/>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100"/>
      <c r="AG247" s="99"/>
      <c r="AH247" s="677"/>
      <c r="AI247" s="677"/>
      <c r="AJ247" s="677"/>
      <c r="AK247" s="677"/>
    </row>
    <row r="248" spans="1:37" x14ac:dyDescent="0.3">
      <c r="A248" s="124" t="s">
        <v>32</v>
      </c>
      <c r="B248" s="594"/>
      <c r="C248" s="712"/>
      <c r="D248" s="715"/>
      <c r="E248" s="712"/>
      <c r="F248" s="594"/>
      <c r="G248" s="594"/>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100"/>
      <c r="AG248" s="99"/>
      <c r="AH248" s="677"/>
      <c r="AI248" s="677"/>
      <c r="AJ248" s="677"/>
      <c r="AK248" s="677"/>
    </row>
    <row r="249" spans="1:37" x14ac:dyDescent="0.3">
      <c r="A249" s="112" t="s">
        <v>33</v>
      </c>
      <c r="B249" s="594">
        <f>J249+L249+N249+P249+R249+T249+V249+X249+Z249+AB249+AD249+H249</f>
        <v>7711.1159999999991</v>
      </c>
      <c r="C249" s="712">
        <f>H249+J249+L249+N249+P249+R249+T249+V249+X249+Z249+AB249+AD249</f>
        <v>7711.116</v>
      </c>
      <c r="D249" s="715">
        <f>E249</f>
        <v>7602.6010000000006</v>
      </c>
      <c r="E249" s="712">
        <f>SUM(I249,K249,M249,O249,Q249,S249,U249,W249,Y249,AA249,AC249,AE249)</f>
        <v>7602.6010000000006</v>
      </c>
      <c r="F249" s="594">
        <f>IFERROR(E249/B249*100,0)</f>
        <v>98.592745848979604</v>
      </c>
      <c r="G249" s="594">
        <f>IFERROR(E249/C249*100,0)</f>
        <v>98.592745848979575</v>
      </c>
      <c r="H249" s="108">
        <v>989.09299999999996</v>
      </c>
      <c r="I249" s="108">
        <v>458.94</v>
      </c>
      <c r="J249" s="108">
        <v>628.05700000000002</v>
      </c>
      <c r="K249" s="108">
        <v>751.66499999999996</v>
      </c>
      <c r="L249" s="108">
        <v>499.03100000000001</v>
      </c>
      <c r="M249" s="108">
        <v>478.66800000000001</v>
      </c>
      <c r="N249" s="108">
        <v>734.63099999999997</v>
      </c>
      <c r="O249" s="108">
        <v>515.10199999999998</v>
      </c>
      <c r="P249" s="108">
        <v>570.18200000000002</v>
      </c>
      <c r="Q249" s="108">
        <v>604.596</v>
      </c>
      <c r="R249" s="108">
        <v>499.03100000000001</v>
      </c>
      <c r="S249" s="108">
        <v>517.54499999999996</v>
      </c>
      <c r="T249" s="108">
        <v>734.63099999999997</v>
      </c>
      <c r="U249" s="108">
        <v>957.596</v>
      </c>
      <c r="V249" s="108">
        <v>645.69799999999998</v>
      </c>
      <c r="W249" s="108">
        <v>716.14200000000005</v>
      </c>
      <c r="X249" s="108">
        <v>499.03100000000001</v>
      </c>
      <c r="Y249" s="108">
        <v>314.33699999999999</v>
      </c>
      <c r="Z249" s="108">
        <v>734.63099999999997</v>
      </c>
      <c r="AA249" s="108">
        <v>619.03700000000003</v>
      </c>
      <c r="AB249" s="108">
        <v>770.18200000000002</v>
      </c>
      <c r="AC249" s="108">
        <v>451.44600000000003</v>
      </c>
      <c r="AD249" s="108">
        <v>406.91800000000001</v>
      </c>
      <c r="AE249" s="108">
        <v>1217.527</v>
      </c>
      <c r="AF249" s="1100"/>
      <c r="AG249" s="99"/>
      <c r="AH249" s="677"/>
      <c r="AI249" s="677"/>
      <c r="AJ249" s="677"/>
      <c r="AK249" s="677"/>
    </row>
    <row r="250" spans="1:37" x14ac:dyDescent="0.3">
      <c r="A250" s="112" t="s">
        <v>170</v>
      </c>
      <c r="B250" s="113"/>
      <c r="C250" s="114"/>
      <c r="D250" s="115"/>
      <c r="E250" s="114"/>
      <c r="F250" s="113"/>
      <c r="G250" s="113"/>
      <c r="H250" s="108"/>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100"/>
      <c r="AG250" s="99"/>
      <c r="AH250" s="677"/>
      <c r="AI250" s="677"/>
      <c r="AJ250" s="677"/>
      <c r="AK250" s="677"/>
    </row>
    <row r="251" spans="1:37" ht="37.5" x14ac:dyDescent="0.3">
      <c r="A251" s="121" t="s">
        <v>210</v>
      </c>
      <c r="B251" s="101"/>
      <c r="C251" s="122"/>
      <c r="D251" s="122"/>
      <c r="E251" s="122"/>
      <c r="F251" s="122"/>
      <c r="G251" s="122"/>
      <c r="H251" s="101"/>
      <c r="I251" s="101"/>
      <c r="J251" s="101"/>
      <c r="K251" s="101"/>
      <c r="L251" s="101"/>
      <c r="M251" s="101"/>
      <c r="N251" s="101"/>
      <c r="O251" s="101"/>
      <c r="P251" s="101"/>
      <c r="Q251" s="101"/>
      <c r="R251" s="101"/>
      <c r="S251" s="101"/>
      <c r="T251" s="101"/>
      <c r="U251" s="101"/>
      <c r="V251" s="101"/>
      <c r="W251" s="101"/>
      <c r="X251" s="101"/>
      <c r="Y251" s="101"/>
      <c r="Z251" s="101"/>
      <c r="AA251" s="101"/>
      <c r="AB251" s="101"/>
      <c r="AC251" s="101"/>
      <c r="AD251" s="101"/>
      <c r="AE251" s="101"/>
      <c r="AF251" s="1112" t="s">
        <v>635</v>
      </c>
      <c r="AG251" s="99"/>
      <c r="AH251" s="677"/>
      <c r="AI251" s="677"/>
      <c r="AJ251" s="677"/>
      <c r="AK251" s="677"/>
    </row>
    <row r="252" spans="1:37" x14ac:dyDescent="0.3">
      <c r="A252" s="100" t="s">
        <v>31</v>
      </c>
      <c r="B252" s="101">
        <f>B253+B254+B255+B256</f>
        <v>74</v>
      </c>
      <c r="C252" s="101">
        <f>C253+C254+C255+C256</f>
        <v>74</v>
      </c>
      <c r="D252" s="101">
        <f>D253+D254+D255+D256</f>
        <v>74</v>
      </c>
      <c r="E252" s="101">
        <f>E253+E254+E255+E256</f>
        <v>74</v>
      </c>
      <c r="F252" s="104">
        <f>IFERROR(E252/B252*100,0)</f>
        <v>100</v>
      </c>
      <c r="G252" s="104">
        <f>IFERROR(E252/C252*100,0)</f>
        <v>100</v>
      </c>
      <c r="H252" s="101">
        <f t="shared" ref="H252:AE252" si="67">H253+H254+H255+H256</f>
        <v>0</v>
      </c>
      <c r="I252" s="101">
        <f t="shared" si="67"/>
        <v>0</v>
      </c>
      <c r="J252" s="101">
        <f t="shared" si="67"/>
        <v>0</v>
      </c>
      <c r="K252" s="101">
        <f t="shared" si="67"/>
        <v>0</v>
      </c>
      <c r="L252" s="101">
        <f t="shared" si="67"/>
        <v>0</v>
      </c>
      <c r="M252" s="101">
        <f t="shared" si="67"/>
        <v>0</v>
      </c>
      <c r="N252" s="101">
        <f t="shared" si="67"/>
        <v>0</v>
      </c>
      <c r="O252" s="101">
        <f t="shared" si="67"/>
        <v>0</v>
      </c>
      <c r="P252" s="101">
        <f t="shared" si="67"/>
        <v>0</v>
      </c>
      <c r="Q252" s="101">
        <f t="shared" si="67"/>
        <v>0</v>
      </c>
      <c r="R252" s="101">
        <f t="shared" si="67"/>
        <v>0</v>
      </c>
      <c r="S252" s="101">
        <f t="shared" si="67"/>
        <v>0</v>
      </c>
      <c r="T252" s="101">
        <f t="shared" si="67"/>
        <v>0</v>
      </c>
      <c r="U252" s="101">
        <f t="shared" si="67"/>
        <v>0</v>
      </c>
      <c r="V252" s="101">
        <f t="shared" si="67"/>
        <v>0</v>
      </c>
      <c r="W252" s="101">
        <f t="shared" si="67"/>
        <v>0</v>
      </c>
      <c r="X252" s="101">
        <f t="shared" si="67"/>
        <v>74</v>
      </c>
      <c r="Y252" s="101">
        <f t="shared" si="67"/>
        <v>74</v>
      </c>
      <c r="Z252" s="101">
        <f t="shared" si="67"/>
        <v>0</v>
      </c>
      <c r="AA252" s="101">
        <f t="shared" si="67"/>
        <v>0</v>
      </c>
      <c r="AB252" s="101">
        <f t="shared" si="67"/>
        <v>0</v>
      </c>
      <c r="AC252" s="101">
        <f t="shared" si="67"/>
        <v>0</v>
      </c>
      <c r="AD252" s="101">
        <f t="shared" si="67"/>
        <v>0</v>
      </c>
      <c r="AE252" s="101">
        <f t="shared" si="67"/>
        <v>0</v>
      </c>
      <c r="AF252" s="1100"/>
      <c r="AG252" s="99"/>
      <c r="AH252" s="677"/>
      <c r="AI252" s="677"/>
      <c r="AJ252" s="677"/>
      <c r="AK252" s="677"/>
    </row>
    <row r="253" spans="1:37" x14ac:dyDescent="0.3">
      <c r="A253" s="103" t="s">
        <v>169</v>
      </c>
      <c r="B253" s="104"/>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100"/>
      <c r="AG253" s="99"/>
      <c r="AH253" s="677"/>
      <c r="AI253" s="677"/>
      <c r="AJ253" s="677"/>
      <c r="AK253" s="677"/>
    </row>
    <row r="254" spans="1:37" x14ac:dyDescent="0.3">
      <c r="A254" s="103" t="s">
        <v>32</v>
      </c>
      <c r="B254" s="104">
        <f>B260</f>
        <v>74</v>
      </c>
      <c r="C254" s="104">
        <f>C260</f>
        <v>74</v>
      </c>
      <c r="D254" s="104">
        <f>D260</f>
        <v>74</v>
      </c>
      <c r="E254" s="104">
        <f>E260</f>
        <v>74</v>
      </c>
      <c r="F254" s="104">
        <f>IFERROR(E254/B254*100,0)</f>
        <v>100</v>
      </c>
      <c r="G254" s="104">
        <f>IFERROR(E254/C254*100,0)</f>
        <v>100</v>
      </c>
      <c r="H254" s="104">
        <f t="shared" ref="H254:AE254" si="68">H260</f>
        <v>0</v>
      </c>
      <c r="I254" s="104">
        <f t="shared" si="68"/>
        <v>0</v>
      </c>
      <c r="J254" s="104">
        <f t="shared" si="68"/>
        <v>0</v>
      </c>
      <c r="K254" s="104">
        <f t="shared" si="68"/>
        <v>0</v>
      </c>
      <c r="L254" s="104">
        <f t="shared" si="68"/>
        <v>0</v>
      </c>
      <c r="M254" s="104">
        <f t="shared" si="68"/>
        <v>0</v>
      </c>
      <c r="N254" s="104">
        <f t="shared" si="68"/>
        <v>0</v>
      </c>
      <c r="O254" s="104">
        <f t="shared" si="68"/>
        <v>0</v>
      </c>
      <c r="P254" s="104">
        <f t="shared" si="68"/>
        <v>0</v>
      </c>
      <c r="Q254" s="104">
        <f t="shared" si="68"/>
        <v>0</v>
      </c>
      <c r="R254" s="104">
        <f t="shared" si="68"/>
        <v>0</v>
      </c>
      <c r="S254" s="104">
        <f t="shared" si="68"/>
        <v>0</v>
      </c>
      <c r="T254" s="104">
        <f t="shared" si="68"/>
        <v>0</v>
      </c>
      <c r="U254" s="104">
        <f t="shared" si="68"/>
        <v>0</v>
      </c>
      <c r="V254" s="104">
        <f t="shared" si="68"/>
        <v>0</v>
      </c>
      <c r="W254" s="104">
        <f t="shared" si="68"/>
        <v>0</v>
      </c>
      <c r="X254" s="104">
        <f t="shared" si="68"/>
        <v>74</v>
      </c>
      <c r="Y254" s="104">
        <f t="shared" si="68"/>
        <v>74</v>
      </c>
      <c r="Z254" s="104">
        <f t="shared" si="68"/>
        <v>0</v>
      </c>
      <c r="AA254" s="104">
        <f t="shared" si="68"/>
        <v>0</v>
      </c>
      <c r="AB254" s="104">
        <f t="shared" si="68"/>
        <v>0</v>
      </c>
      <c r="AC254" s="104">
        <f t="shared" si="68"/>
        <v>0</v>
      </c>
      <c r="AD254" s="104">
        <f t="shared" si="68"/>
        <v>0</v>
      </c>
      <c r="AE254" s="104">
        <f t="shared" si="68"/>
        <v>0</v>
      </c>
      <c r="AF254" s="1100"/>
      <c r="AG254" s="99"/>
      <c r="AH254" s="677"/>
      <c r="AI254" s="677"/>
      <c r="AJ254" s="677"/>
      <c r="AK254" s="677"/>
    </row>
    <row r="255" spans="1:37" x14ac:dyDescent="0.3">
      <c r="A255" s="103" t="s">
        <v>33</v>
      </c>
      <c r="B255" s="104"/>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100"/>
      <c r="AG255" s="99"/>
      <c r="AH255" s="677"/>
      <c r="AI255" s="677"/>
      <c r="AJ255" s="677"/>
      <c r="AK255" s="677"/>
    </row>
    <row r="256" spans="1:37" x14ac:dyDescent="0.3">
      <c r="A256" s="103" t="s">
        <v>170</v>
      </c>
      <c r="B256" s="104"/>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100"/>
      <c r="AG256" s="99"/>
      <c r="AH256" s="677"/>
      <c r="AI256" s="677"/>
      <c r="AJ256" s="677"/>
      <c r="AK256" s="677"/>
    </row>
    <row r="257" spans="1:37" ht="93.75" x14ac:dyDescent="0.3">
      <c r="A257" s="119" t="s">
        <v>211</v>
      </c>
      <c r="B257" s="113"/>
      <c r="C257" s="120"/>
      <c r="D257" s="120"/>
      <c r="E257" s="120"/>
      <c r="F257" s="120"/>
      <c r="G257" s="120"/>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112"/>
      <c r="AG257" s="99"/>
      <c r="AH257" s="677"/>
      <c r="AI257" s="677"/>
      <c r="AJ257" s="677"/>
      <c r="AK257" s="677"/>
    </row>
    <row r="258" spans="1:37" x14ac:dyDescent="0.3">
      <c r="A258" s="109" t="s">
        <v>31</v>
      </c>
      <c r="B258" s="591">
        <f>B260+B261+B259+B262</f>
        <v>74</v>
      </c>
      <c r="C258" s="591">
        <f>C260+C261+C259+C262</f>
        <v>74</v>
      </c>
      <c r="D258" s="591">
        <f>D260+D261+D259+D262</f>
        <v>74</v>
      </c>
      <c r="E258" s="591">
        <f>E260+E261+E259+E262</f>
        <v>74</v>
      </c>
      <c r="F258" s="591">
        <f>IFERROR(E258/B258*100,0)</f>
        <v>100</v>
      </c>
      <c r="G258" s="591">
        <f>IFERROR(E258/C258*100,0)</f>
        <v>100</v>
      </c>
      <c r="H258" s="110">
        <f t="shared" ref="H258:AE258" si="69">H260+H261+H259+H262</f>
        <v>0</v>
      </c>
      <c r="I258" s="110">
        <f t="shared" si="69"/>
        <v>0</v>
      </c>
      <c r="J258" s="110">
        <f t="shared" si="69"/>
        <v>0</v>
      </c>
      <c r="K258" s="110">
        <f t="shared" si="69"/>
        <v>0</v>
      </c>
      <c r="L258" s="110">
        <f t="shared" si="69"/>
        <v>0</v>
      </c>
      <c r="M258" s="110">
        <f t="shared" si="69"/>
        <v>0</v>
      </c>
      <c r="N258" s="110">
        <f t="shared" si="69"/>
        <v>0</v>
      </c>
      <c r="O258" s="110">
        <f t="shared" si="69"/>
        <v>0</v>
      </c>
      <c r="P258" s="110">
        <f t="shared" si="69"/>
        <v>0</v>
      </c>
      <c r="Q258" s="110">
        <f t="shared" si="69"/>
        <v>0</v>
      </c>
      <c r="R258" s="110">
        <f t="shared" si="69"/>
        <v>0</v>
      </c>
      <c r="S258" s="110">
        <f t="shared" si="69"/>
        <v>0</v>
      </c>
      <c r="T258" s="110">
        <f t="shared" si="69"/>
        <v>0</v>
      </c>
      <c r="U258" s="110">
        <f t="shared" si="69"/>
        <v>0</v>
      </c>
      <c r="V258" s="110">
        <f t="shared" si="69"/>
        <v>0</v>
      </c>
      <c r="W258" s="110">
        <f t="shared" si="69"/>
        <v>0</v>
      </c>
      <c r="X258" s="110">
        <f t="shared" si="69"/>
        <v>74</v>
      </c>
      <c r="Y258" s="110">
        <f t="shared" si="69"/>
        <v>74</v>
      </c>
      <c r="Z258" s="110">
        <f t="shared" si="69"/>
        <v>0</v>
      </c>
      <c r="AA258" s="110">
        <f t="shared" si="69"/>
        <v>0</v>
      </c>
      <c r="AB258" s="110">
        <f t="shared" si="69"/>
        <v>0</v>
      </c>
      <c r="AC258" s="110">
        <f t="shared" si="69"/>
        <v>0</v>
      </c>
      <c r="AD258" s="110">
        <f t="shared" si="69"/>
        <v>0</v>
      </c>
      <c r="AE258" s="110">
        <f t="shared" si="69"/>
        <v>0</v>
      </c>
      <c r="AF258" s="1100"/>
      <c r="AG258" s="99"/>
      <c r="AH258" s="677"/>
      <c r="AI258" s="677"/>
      <c r="AJ258" s="677"/>
      <c r="AK258" s="677"/>
    </row>
    <row r="259" spans="1:37" x14ac:dyDescent="0.3">
      <c r="A259" s="112" t="s">
        <v>169</v>
      </c>
      <c r="B259" s="594"/>
      <c r="C259" s="712"/>
      <c r="D259" s="715"/>
      <c r="E259" s="712"/>
      <c r="F259" s="594"/>
      <c r="G259" s="594"/>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100"/>
      <c r="AG259" s="99"/>
      <c r="AH259" s="677"/>
      <c r="AI259" s="677"/>
      <c r="AJ259" s="677"/>
      <c r="AK259" s="677"/>
    </row>
    <row r="260" spans="1:37" x14ac:dyDescent="0.3">
      <c r="A260" s="124" t="s">
        <v>32</v>
      </c>
      <c r="B260" s="594">
        <f>J260+L260+N260+P260+R260+T260+V260+X260+Z260+AB260+AD260+H260</f>
        <v>74</v>
      </c>
      <c r="C260" s="712">
        <f>H260+J260+L260+N260+P260+R260+T260+V260+X260+Z260+AB260+AD260</f>
        <v>74</v>
      </c>
      <c r="D260" s="715">
        <f>E260</f>
        <v>74</v>
      </c>
      <c r="E260" s="712">
        <f>SUM(I260,K260,M260,O260,Q260,S260,U260,W260,Y260,AA260,AC260,AE260)</f>
        <v>74</v>
      </c>
      <c r="F260" s="594">
        <f>IFERROR(E260/B260*100,0)</f>
        <v>100</v>
      </c>
      <c r="G260" s="594">
        <f>IFERROR(E260/C260*100,0)</f>
        <v>100</v>
      </c>
      <c r="H260" s="108">
        <v>0</v>
      </c>
      <c r="I260" s="108">
        <v>0</v>
      </c>
      <c r="J260" s="108">
        <v>0</v>
      </c>
      <c r="K260" s="108">
        <v>0</v>
      </c>
      <c r="L260" s="108">
        <v>0</v>
      </c>
      <c r="M260" s="108">
        <v>0</v>
      </c>
      <c r="N260" s="108">
        <v>0</v>
      </c>
      <c r="O260" s="108">
        <v>0</v>
      </c>
      <c r="P260" s="108">
        <v>0</v>
      </c>
      <c r="Q260" s="108">
        <v>0</v>
      </c>
      <c r="R260" s="108">
        <v>0</v>
      </c>
      <c r="S260" s="108">
        <v>0</v>
      </c>
      <c r="T260" s="108">
        <v>0</v>
      </c>
      <c r="U260" s="108">
        <v>0</v>
      </c>
      <c r="V260" s="108">
        <v>0</v>
      </c>
      <c r="W260" s="108">
        <v>0</v>
      </c>
      <c r="X260" s="108">
        <v>74</v>
      </c>
      <c r="Y260" s="108">
        <v>74</v>
      </c>
      <c r="Z260" s="108">
        <v>0</v>
      </c>
      <c r="AA260" s="108">
        <v>0</v>
      </c>
      <c r="AB260" s="108">
        <v>0</v>
      </c>
      <c r="AC260" s="108">
        <v>0</v>
      </c>
      <c r="AD260" s="108">
        <v>0</v>
      </c>
      <c r="AE260" s="108">
        <v>0</v>
      </c>
      <c r="AF260" s="1100"/>
      <c r="AG260" s="99"/>
      <c r="AH260" s="677"/>
      <c r="AI260" s="677"/>
      <c r="AJ260" s="677"/>
      <c r="AK260" s="677"/>
    </row>
    <row r="261" spans="1:37" x14ac:dyDescent="0.3">
      <c r="A261" s="112" t="s">
        <v>33</v>
      </c>
      <c r="B261" s="594"/>
      <c r="C261" s="712"/>
      <c r="D261" s="715"/>
      <c r="E261" s="712"/>
      <c r="F261" s="594"/>
      <c r="G261" s="594"/>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100"/>
      <c r="AG261" s="99"/>
      <c r="AH261" s="677"/>
      <c r="AI261" s="677"/>
      <c r="AJ261" s="677"/>
      <c r="AK261" s="677"/>
    </row>
    <row r="262" spans="1:37" x14ac:dyDescent="0.3">
      <c r="A262" s="112" t="s">
        <v>170</v>
      </c>
      <c r="B262" s="113"/>
      <c r="C262" s="114"/>
      <c r="D262" s="115"/>
      <c r="E262" s="114"/>
      <c r="F262" s="113"/>
      <c r="G262" s="113"/>
      <c r="H262" s="108"/>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100"/>
      <c r="AG262" s="99"/>
      <c r="AH262" s="677"/>
      <c r="AI262" s="677"/>
      <c r="AJ262" s="677"/>
      <c r="AK262" s="677"/>
    </row>
    <row r="263" spans="1:37" ht="112.5" x14ac:dyDescent="0.3">
      <c r="A263" s="121" t="s">
        <v>212</v>
      </c>
      <c r="B263" s="104"/>
      <c r="C263" s="133"/>
      <c r="D263" s="133"/>
      <c r="E263" s="133"/>
      <c r="F263" s="133"/>
      <c r="G263" s="133"/>
      <c r="H263" s="138"/>
      <c r="I263" s="138"/>
      <c r="J263" s="138"/>
      <c r="K263" s="138"/>
      <c r="L263" s="138"/>
      <c r="M263" s="138"/>
      <c r="N263" s="138"/>
      <c r="O263" s="138"/>
      <c r="P263" s="138"/>
      <c r="Q263" s="138"/>
      <c r="R263" s="138"/>
      <c r="S263" s="138"/>
      <c r="T263" s="138"/>
      <c r="U263" s="138"/>
      <c r="V263" s="138"/>
      <c r="W263" s="138"/>
      <c r="X263" s="138"/>
      <c r="Y263" s="138"/>
      <c r="Z263" s="138"/>
      <c r="AA263" s="138"/>
      <c r="AB263" s="138"/>
      <c r="AC263" s="138"/>
      <c r="AD263" s="138"/>
      <c r="AE263" s="138"/>
      <c r="AF263" s="1097" t="s">
        <v>714</v>
      </c>
      <c r="AG263" s="99"/>
      <c r="AH263" s="677"/>
      <c r="AI263" s="677"/>
      <c r="AJ263" s="677"/>
      <c r="AK263" s="677"/>
    </row>
    <row r="264" spans="1:37" x14ac:dyDescent="0.3">
      <c r="A264" s="100" t="s">
        <v>31</v>
      </c>
      <c r="B264" s="101">
        <f>B266+B267+B265+B268</f>
        <v>56809.87999999999</v>
      </c>
      <c r="C264" s="101">
        <f>C266+C267+C265+C268</f>
        <v>56809.880000000005</v>
      </c>
      <c r="D264" s="101">
        <f>D266+D267+D265+D268</f>
        <v>53971.017999999996</v>
      </c>
      <c r="E264" s="101">
        <f>E266+E267+E265+E268</f>
        <v>53971.014999999999</v>
      </c>
      <c r="F264" s="101">
        <f>IFERROR(E264/B264*100,0)</f>
        <v>95.002867458970186</v>
      </c>
      <c r="G264" s="101">
        <f>IFERROR(E264/C264*100,0)</f>
        <v>95.002867458970158</v>
      </c>
      <c r="H264" s="101">
        <f t="shared" ref="H264:AE264" si="70">H266+H267+H265+H268</f>
        <v>2814.28</v>
      </c>
      <c r="I264" s="101">
        <f t="shared" si="70"/>
        <v>1088.49</v>
      </c>
      <c r="J264" s="101">
        <f t="shared" si="70"/>
        <v>4509.2539999999999</v>
      </c>
      <c r="K264" s="101">
        <f t="shared" si="70"/>
        <v>4107.49</v>
      </c>
      <c r="L264" s="101">
        <f t="shared" si="70"/>
        <v>4719.3559999999998</v>
      </c>
      <c r="M264" s="101">
        <f t="shared" si="70"/>
        <v>3260.3560000000002</v>
      </c>
      <c r="N264" s="101">
        <f t="shared" si="70"/>
        <v>4703.58</v>
      </c>
      <c r="O264" s="101">
        <f t="shared" si="70"/>
        <v>3724.99</v>
      </c>
      <c r="P264" s="101">
        <f t="shared" si="70"/>
        <v>4804.1009999999997</v>
      </c>
      <c r="Q264" s="101">
        <f t="shared" si="70"/>
        <v>5035.326</v>
      </c>
      <c r="R264" s="101">
        <f t="shared" si="70"/>
        <v>4775.8770000000004</v>
      </c>
      <c r="S264" s="101">
        <f t="shared" si="70"/>
        <v>5490.43</v>
      </c>
      <c r="T264" s="101">
        <f t="shared" si="70"/>
        <v>4682.0810000000001</v>
      </c>
      <c r="U264" s="101">
        <f t="shared" si="70"/>
        <v>5397.4340000000002</v>
      </c>
      <c r="V264" s="101">
        <f t="shared" si="70"/>
        <v>4486.7089999999998</v>
      </c>
      <c r="W264" s="101">
        <f t="shared" si="70"/>
        <v>3708.6410000000001</v>
      </c>
      <c r="X264" s="101">
        <f t="shared" si="70"/>
        <v>5215.9679999999998</v>
      </c>
      <c r="Y264" s="101">
        <f t="shared" si="70"/>
        <v>3555.366</v>
      </c>
      <c r="Z264" s="101">
        <f t="shared" si="70"/>
        <v>4855.5389999999998</v>
      </c>
      <c r="AA264" s="101">
        <f t="shared" si="70"/>
        <v>3797.8939999999998</v>
      </c>
      <c r="AB264" s="101">
        <f t="shared" si="70"/>
        <v>5189.143</v>
      </c>
      <c r="AC264" s="101">
        <f t="shared" si="70"/>
        <v>4456.6970000000001</v>
      </c>
      <c r="AD264" s="101">
        <f t="shared" si="70"/>
        <v>6053.9920000000002</v>
      </c>
      <c r="AE264" s="101">
        <f t="shared" si="70"/>
        <v>10347.901</v>
      </c>
      <c r="AF264" s="1113"/>
      <c r="AG264" s="99"/>
      <c r="AH264" s="677"/>
      <c r="AI264" s="677"/>
      <c r="AJ264" s="677"/>
      <c r="AK264" s="677"/>
    </row>
    <row r="265" spans="1:37" x14ac:dyDescent="0.3">
      <c r="A265" s="103" t="s">
        <v>169</v>
      </c>
      <c r="B265" s="104"/>
      <c r="C265" s="104"/>
      <c r="D265" s="104"/>
      <c r="E265" s="104"/>
      <c r="F265" s="104"/>
      <c r="G265" s="104"/>
      <c r="H265" s="138"/>
      <c r="I265" s="138"/>
      <c r="J265" s="138"/>
      <c r="K265" s="138"/>
      <c r="L265" s="138"/>
      <c r="M265" s="138"/>
      <c r="N265" s="138"/>
      <c r="O265" s="138"/>
      <c r="P265" s="138"/>
      <c r="Q265" s="138"/>
      <c r="R265" s="138"/>
      <c r="S265" s="138"/>
      <c r="T265" s="138"/>
      <c r="U265" s="138"/>
      <c r="V265" s="138"/>
      <c r="W265" s="138"/>
      <c r="X265" s="138"/>
      <c r="Y265" s="138"/>
      <c r="Z265" s="138"/>
      <c r="AA265" s="138"/>
      <c r="AB265" s="138"/>
      <c r="AC265" s="138"/>
      <c r="AD265" s="138"/>
      <c r="AE265" s="138"/>
      <c r="AF265" s="1113"/>
      <c r="AG265" s="99"/>
      <c r="AH265" s="677"/>
      <c r="AI265" s="677"/>
      <c r="AJ265" s="677"/>
      <c r="AK265" s="677"/>
    </row>
    <row r="266" spans="1:37" x14ac:dyDescent="0.3">
      <c r="A266" s="103" t="s">
        <v>32</v>
      </c>
      <c r="B266" s="104"/>
      <c r="C266" s="104"/>
      <c r="D266" s="104"/>
      <c r="E266" s="104"/>
      <c r="F266" s="104"/>
      <c r="G266" s="104"/>
      <c r="H266" s="138"/>
      <c r="I266" s="138"/>
      <c r="J266" s="138"/>
      <c r="K266" s="138"/>
      <c r="L266" s="138"/>
      <c r="M266" s="138"/>
      <c r="N266" s="138"/>
      <c r="O266" s="138"/>
      <c r="P266" s="138"/>
      <c r="Q266" s="138"/>
      <c r="R266" s="138"/>
      <c r="S266" s="138"/>
      <c r="T266" s="138"/>
      <c r="U266" s="138"/>
      <c r="V266" s="138"/>
      <c r="W266" s="138"/>
      <c r="X266" s="138"/>
      <c r="Y266" s="138"/>
      <c r="Z266" s="138"/>
      <c r="AA266" s="138"/>
      <c r="AB266" s="138"/>
      <c r="AC266" s="138"/>
      <c r="AD266" s="138"/>
      <c r="AE266" s="138"/>
      <c r="AF266" s="1113"/>
      <c r="AG266" s="99"/>
      <c r="AH266" s="677"/>
      <c r="AI266" s="677"/>
      <c r="AJ266" s="677"/>
      <c r="AK266" s="677"/>
    </row>
    <row r="267" spans="1:37" x14ac:dyDescent="0.3">
      <c r="A267" s="103" t="s">
        <v>33</v>
      </c>
      <c r="B267" s="104">
        <f>J267+L267+N267+P267+R267+T267+V267+X267+Z267+AB267+AD267+H267</f>
        <v>56809.87999999999</v>
      </c>
      <c r="C267" s="104">
        <f>H267+J267+L267+N267+P267+R267+T267+V267+X267+Z267+AB267+AD267</f>
        <v>56809.880000000005</v>
      </c>
      <c r="D267" s="104">
        <v>53971.017999999996</v>
      </c>
      <c r="E267" s="104">
        <f>SUM(I267,K267,M267,O267,Q267,S267,U267,W267,Y267,AA267,AC267,AE267)</f>
        <v>53971.014999999999</v>
      </c>
      <c r="F267" s="104">
        <f>IFERROR(E267/B267*100,0)</f>
        <v>95.002867458970186</v>
      </c>
      <c r="G267" s="104">
        <f>IFERROR(E267/C267*100,0)</f>
        <v>95.002867458970158</v>
      </c>
      <c r="H267" s="138">
        <v>2814.28</v>
      </c>
      <c r="I267" s="138">
        <v>1088.49</v>
      </c>
      <c r="J267" s="138">
        <v>4509.2539999999999</v>
      </c>
      <c r="K267" s="138">
        <v>4107.49</v>
      </c>
      <c r="L267" s="138">
        <v>4719.3559999999998</v>
      </c>
      <c r="M267" s="138">
        <v>3260.3560000000002</v>
      </c>
      <c r="N267" s="138">
        <v>4703.58</v>
      </c>
      <c r="O267" s="138">
        <v>3724.99</v>
      </c>
      <c r="P267" s="138">
        <v>4804.1009999999997</v>
      </c>
      <c r="Q267" s="138">
        <v>5035.326</v>
      </c>
      <c r="R267" s="138">
        <v>4775.8770000000004</v>
      </c>
      <c r="S267" s="138">
        <v>5490.43</v>
      </c>
      <c r="T267" s="138">
        <v>4682.0810000000001</v>
      </c>
      <c r="U267" s="138">
        <v>5397.4340000000002</v>
      </c>
      <c r="V267" s="138">
        <v>4486.7089999999998</v>
      </c>
      <c r="W267" s="138">
        <v>3708.6410000000001</v>
      </c>
      <c r="X267" s="138">
        <v>5215.9679999999998</v>
      </c>
      <c r="Y267" s="138">
        <v>3555.366</v>
      </c>
      <c r="Z267" s="138">
        <v>4855.5389999999998</v>
      </c>
      <c r="AA267" s="138">
        <v>3797.8939999999998</v>
      </c>
      <c r="AB267" s="138">
        <v>5189.143</v>
      </c>
      <c r="AC267" s="138">
        <v>4456.6970000000001</v>
      </c>
      <c r="AD267" s="138">
        <v>6053.9920000000002</v>
      </c>
      <c r="AE267" s="138">
        <v>10347.901</v>
      </c>
      <c r="AF267" s="1113"/>
      <c r="AG267" s="99"/>
      <c r="AH267" s="677"/>
      <c r="AI267" s="677"/>
      <c r="AJ267" s="677"/>
      <c r="AK267" s="677"/>
    </row>
    <row r="268" spans="1:37" x14ac:dyDescent="0.3">
      <c r="A268" s="103" t="s">
        <v>170</v>
      </c>
      <c r="B268" s="104"/>
      <c r="C268" s="104"/>
      <c r="D268" s="104"/>
      <c r="E268" s="104"/>
      <c r="F268" s="104"/>
      <c r="G268" s="104"/>
      <c r="H268" s="138"/>
      <c r="I268" s="138"/>
      <c r="J268" s="138"/>
      <c r="K268" s="138"/>
      <c r="L268" s="138"/>
      <c r="M268" s="138"/>
      <c r="N268" s="138"/>
      <c r="O268" s="138"/>
      <c r="P268" s="138"/>
      <c r="Q268" s="138"/>
      <c r="R268" s="138"/>
      <c r="S268" s="138"/>
      <c r="T268" s="138"/>
      <c r="U268" s="138"/>
      <c r="V268" s="138"/>
      <c r="W268" s="138"/>
      <c r="X268" s="138"/>
      <c r="Y268" s="138"/>
      <c r="Z268" s="138"/>
      <c r="AA268" s="138"/>
      <c r="AB268" s="138"/>
      <c r="AC268" s="138"/>
      <c r="AD268" s="138"/>
      <c r="AE268" s="138"/>
      <c r="AF268" s="1113"/>
      <c r="AG268" s="99"/>
      <c r="AH268" s="677"/>
      <c r="AI268" s="677"/>
      <c r="AJ268" s="677"/>
      <c r="AK268" s="677"/>
    </row>
    <row r="269" spans="1:37" x14ac:dyDescent="0.3">
      <c r="A269" s="1163" t="s">
        <v>213</v>
      </c>
      <c r="B269" s="1164"/>
      <c r="C269" s="1164"/>
      <c r="D269" s="1164"/>
      <c r="E269" s="1164"/>
      <c r="F269" s="1164"/>
      <c r="G269" s="1164"/>
      <c r="H269" s="1164"/>
      <c r="I269" s="1164"/>
      <c r="J269" s="1164"/>
      <c r="K269" s="1164"/>
      <c r="L269" s="1164"/>
      <c r="M269" s="1164"/>
      <c r="N269" s="1164"/>
      <c r="O269" s="1164"/>
      <c r="P269" s="1164"/>
      <c r="Q269" s="1164"/>
      <c r="R269" s="1164"/>
      <c r="S269" s="1164"/>
      <c r="T269" s="1164"/>
      <c r="U269" s="1164"/>
      <c r="V269" s="1164"/>
      <c r="W269" s="1164"/>
      <c r="X269" s="1164"/>
      <c r="Y269" s="1164"/>
      <c r="Z269" s="1164"/>
      <c r="AA269" s="1164"/>
      <c r="AB269" s="1164"/>
      <c r="AC269" s="1164"/>
      <c r="AD269" s="1164"/>
      <c r="AE269" s="1164"/>
      <c r="AF269" s="1165"/>
      <c r="AG269" s="99"/>
      <c r="AH269" s="677"/>
      <c r="AI269" s="677"/>
      <c r="AJ269" s="677"/>
      <c r="AK269" s="677"/>
    </row>
    <row r="270" spans="1:37" x14ac:dyDescent="0.3">
      <c r="A270" s="1163" t="s">
        <v>54</v>
      </c>
      <c r="B270" s="1164"/>
      <c r="C270" s="1164"/>
      <c r="D270" s="1164"/>
      <c r="E270" s="1164"/>
      <c r="F270" s="1164"/>
      <c r="G270" s="1164"/>
      <c r="H270" s="1164"/>
      <c r="I270" s="1164"/>
      <c r="J270" s="1164"/>
      <c r="K270" s="1164"/>
      <c r="L270" s="1164"/>
      <c r="M270" s="1164"/>
      <c r="N270" s="1164"/>
      <c r="O270" s="1164"/>
      <c r="P270" s="1164"/>
      <c r="Q270" s="1164"/>
      <c r="R270" s="1164"/>
      <c r="S270" s="1164"/>
      <c r="T270" s="1164"/>
      <c r="U270" s="1164"/>
      <c r="V270" s="1164"/>
      <c r="W270" s="1164"/>
      <c r="X270" s="1164"/>
      <c r="Y270" s="1164"/>
      <c r="Z270" s="1164"/>
      <c r="AA270" s="1164"/>
      <c r="AB270" s="1164"/>
      <c r="AC270" s="1164"/>
      <c r="AD270" s="1164"/>
      <c r="AE270" s="1164"/>
      <c r="AF270" s="1165"/>
      <c r="AG270" s="99"/>
      <c r="AH270" s="677"/>
      <c r="AI270" s="677"/>
      <c r="AJ270" s="677"/>
      <c r="AK270" s="677"/>
    </row>
    <row r="271" spans="1:37" ht="168.75" x14ac:dyDescent="0.3">
      <c r="A271" s="95" t="s">
        <v>214</v>
      </c>
      <c r="B271" s="139"/>
      <c r="C271" s="140"/>
      <c r="D271" s="140"/>
      <c r="E271" s="140"/>
      <c r="F271" s="140"/>
      <c r="G271" s="140"/>
      <c r="H271" s="139"/>
      <c r="I271" s="139"/>
      <c r="J271" s="139"/>
      <c r="K271" s="139"/>
      <c r="L271" s="139"/>
      <c r="M271" s="139"/>
      <c r="N271" s="139"/>
      <c r="O271" s="139"/>
      <c r="P271" s="139"/>
      <c r="Q271" s="139"/>
      <c r="R271" s="139"/>
      <c r="S271" s="139"/>
      <c r="T271" s="139"/>
      <c r="U271" s="139"/>
      <c r="V271" s="139"/>
      <c r="W271" s="139"/>
      <c r="X271" s="139"/>
      <c r="Y271" s="139"/>
      <c r="Z271" s="139"/>
      <c r="AA271" s="139"/>
      <c r="AB271" s="139"/>
      <c r="AC271" s="139"/>
      <c r="AD271" s="139"/>
      <c r="AE271" s="139"/>
      <c r="AF271" s="1115" t="s">
        <v>711</v>
      </c>
      <c r="AG271" s="99"/>
      <c r="AH271" s="677"/>
      <c r="AI271" s="677"/>
      <c r="AJ271" s="677"/>
      <c r="AK271" s="677"/>
    </row>
    <row r="272" spans="1:37" x14ac:dyDescent="0.3">
      <c r="A272" s="141" t="s">
        <v>31</v>
      </c>
      <c r="B272" s="101">
        <f>B273+B274+B275+B276</f>
        <v>7056.83</v>
      </c>
      <c r="C272" s="101">
        <f>C273+C274+C275+C276</f>
        <v>7056.83</v>
      </c>
      <c r="D272" s="101">
        <f>D273+D274+D275+D276</f>
        <v>7056.83</v>
      </c>
      <c r="E272" s="101">
        <f>E273+E274+E275+E276</f>
        <v>7056.83</v>
      </c>
      <c r="F272" s="104">
        <f>IFERROR(E272/B272*100,0)</f>
        <v>100</v>
      </c>
      <c r="G272" s="104">
        <f>IFERROR(E272/C272*100,0)</f>
        <v>100</v>
      </c>
      <c r="H272" s="101">
        <f t="shared" ref="H272:AE272" si="71">H273+H274+H275+H276</f>
        <v>0</v>
      </c>
      <c r="I272" s="101">
        <f t="shared" si="71"/>
        <v>0</v>
      </c>
      <c r="J272" s="101">
        <f t="shared" si="71"/>
        <v>2608.4</v>
      </c>
      <c r="K272" s="101">
        <f t="shared" si="71"/>
        <v>2571.3150000000001</v>
      </c>
      <c r="L272" s="101">
        <f t="shared" si="71"/>
        <v>710.24</v>
      </c>
      <c r="M272" s="101">
        <f t="shared" si="71"/>
        <v>435.7</v>
      </c>
      <c r="N272" s="101">
        <f t="shared" si="71"/>
        <v>151.56</v>
      </c>
      <c r="O272" s="101">
        <f t="shared" si="71"/>
        <v>105.6</v>
      </c>
      <c r="P272" s="101">
        <f t="shared" si="71"/>
        <v>154.83000000000001</v>
      </c>
      <c r="Q272" s="101">
        <f t="shared" si="71"/>
        <v>261.69</v>
      </c>
      <c r="R272" s="101">
        <f t="shared" si="71"/>
        <v>55.4</v>
      </c>
      <c r="S272" s="101">
        <f t="shared" si="71"/>
        <v>11.898</v>
      </c>
      <c r="T272" s="101">
        <f t="shared" si="71"/>
        <v>0</v>
      </c>
      <c r="U272" s="101">
        <f t="shared" si="71"/>
        <v>0</v>
      </c>
      <c r="V272" s="101">
        <f t="shared" si="71"/>
        <v>3289.1</v>
      </c>
      <c r="W272" s="101">
        <f t="shared" si="71"/>
        <v>3338.6</v>
      </c>
      <c r="X272" s="101">
        <f t="shared" si="71"/>
        <v>55.4</v>
      </c>
      <c r="Y272" s="101">
        <f t="shared" si="71"/>
        <v>71.25</v>
      </c>
      <c r="Z272" s="101">
        <f t="shared" si="71"/>
        <v>0</v>
      </c>
      <c r="AA272" s="101">
        <f t="shared" si="71"/>
        <v>0</v>
      </c>
      <c r="AB272" s="101">
        <f t="shared" si="71"/>
        <v>23.7</v>
      </c>
      <c r="AC272" s="101">
        <f t="shared" si="71"/>
        <v>65.510000000000005</v>
      </c>
      <c r="AD272" s="101">
        <f t="shared" si="71"/>
        <v>8.1999999999999993</v>
      </c>
      <c r="AE272" s="101">
        <f t="shared" si="71"/>
        <v>195.267</v>
      </c>
      <c r="AF272" s="1100"/>
      <c r="AG272" s="99"/>
      <c r="AH272" s="677"/>
      <c r="AI272" s="677"/>
      <c r="AJ272" s="677"/>
      <c r="AK272" s="677"/>
    </row>
    <row r="273" spans="1:37" x14ac:dyDescent="0.3">
      <c r="A273" s="142" t="s">
        <v>169</v>
      </c>
      <c r="B273" s="104"/>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100"/>
      <c r="AG273" s="99"/>
      <c r="AH273" s="677"/>
      <c r="AI273" s="677"/>
      <c r="AJ273" s="677"/>
      <c r="AK273" s="677"/>
    </row>
    <row r="274" spans="1:37" x14ac:dyDescent="0.3">
      <c r="A274" s="142" t="s">
        <v>32</v>
      </c>
      <c r="B274" s="104"/>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100"/>
      <c r="AG274" s="99"/>
      <c r="AH274" s="677"/>
      <c r="AI274" s="677"/>
      <c r="AJ274" s="677"/>
      <c r="AK274" s="677"/>
    </row>
    <row r="275" spans="1:37" x14ac:dyDescent="0.3">
      <c r="A275" s="142" t="s">
        <v>33</v>
      </c>
      <c r="B275" s="104">
        <f>B281+B287</f>
        <v>7056.83</v>
      </c>
      <c r="C275" s="104">
        <f>C281+C287</f>
        <v>7056.83</v>
      </c>
      <c r="D275" s="104">
        <f>D281+D287</f>
        <v>7056.83</v>
      </c>
      <c r="E275" s="104">
        <f>E281+E287</f>
        <v>7056.83</v>
      </c>
      <c r="F275" s="104">
        <f>IFERROR(E275/B275*100,0)</f>
        <v>100</v>
      </c>
      <c r="G275" s="104">
        <f>IFERROR(E275/C275*100,0)</f>
        <v>100</v>
      </c>
      <c r="H275" s="104">
        <f t="shared" ref="H275:AE275" si="72">H281+H287</f>
        <v>0</v>
      </c>
      <c r="I275" s="104">
        <f t="shared" si="72"/>
        <v>0</v>
      </c>
      <c r="J275" s="104">
        <f t="shared" si="72"/>
        <v>2608.4</v>
      </c>
      <c r="K275" s="104">
        <f t="shared" si="72"/>
        <v>2571.3150000000001</v>
      </c>
      <c r="L275" s="104">
        <f t="shared" si="72"/>
        <v>710.24</v>
      </c>
      <c r="M275" s="104">
        <f t="shared" si="72"/>
        <v>435.7</v>
      </c>
      <c r="N275" s="104">
        <f t="shared" si="72"/>
        <v>151.56</v>
      </c>
      <c r="O275" s="104">
        <f t="shared" si="72"/>
        <v>105.6</v>
      </c>
      <c r="P275" s="104">
        <f t="shared" si="72"/>
        <v>154.83000000000001</v>
      </c>
      <c r="Q275" s="104">
        <f t="shared" si="72"/>
        <v>261.69</v>
      </c>
      <c r="R275" s="104">
        <f t="shared" si="72"/>
        <v>55.4</v>
      </c>
      <c r="S275" s="104">
        <f t="shared" si="72"/>
        <v>11.898</v>
      </c>
      <c r="T275" s="104">
        <f t="shared" si="72"/>
        <v>0</v>
      </c>
      <c r="U275" s="104">
        <f t="shared" si="72"/>
        <v>0</v>
      </c>
      <c r="V275" s="104">
        <f t="shared" si="72"/>
        <v>3289.1</v>
      </c>
      <c r="W275" s="104">
        <f t="shared" si="72"/>
        <v>3338.6</v>
      </c>
      <c r="X275" s="104">
        <f t="shared" si="72"/>
        <v>55.4</v>
      </c>
      <c r="Y275" s="104">
        <f t="shared" si="72"/>
        <v>71.25</v>
      </c>
      <c r="Z275" s="104">
        <f t="shared" si="72"/>
        <v>0</v>
      </c>
      <c r="AA275" s="104">
        <f t="shared" si="72"/>
        <v>0</v>
      </c>
      <c r="AB275" s="104">
        <f t="shared" si="72"/>
        <v>23.7</v>
      </c>
      <c r="AC275" s="104">
        <f t="shared" si="72"/>
        <v>65.510000000000005</v>
      </c>
      <c r="AD275" s="104">
        <f t="shared" si="72"/>
        <v>8.1999999999999993</v>
      </c>
      <c r="AE275" s="104">
        <f t="shared" si="72"/>
        <v>195.267</v>
      </c>
      <c r="AF275" s="1100"/>
      <c r="AG275" s="99"/>
      <c r="AH275" s="677"/>
      <c r="AI275" s="677"/>
      <c r="AJ275" s="677"/>
      <c r="AK275" s="677"/>
    </row>
    <row r="276" spans="1:37" x14ac:dyDescent="0.3">
      <c r="A276" s="142" t="s">
        <v>170</v>
      </c>
      <c r="B276" s="104"/>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100"/>
      <c r="AG276" s="99"/>
      <c r="AH276" s="677"/>
      <c r="AI276" s="677"/>
      <c r="AJ276" s="677"/>
      <c r="AK276" s="677"/>
    </row>
    <row r="277" spans="1:37" ht="37.5" x14ac:dyDescent="0.3">
      <c r="A277" s="86" t="s">
        <v>215</v>
      </c>
      <c r="B277" s="113"/>
      <c r="C277" s="120"/>
      <c r="D277" s="120"/>
      <c r="E277" s="120"/>
      <c r="F277" s="120"/>
      <c r="G277" s="120"/>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103"/>
      <c r="AG277" s="99"/>
      <c r="AH277" s="677"/>
      <c r="AI277" s="677"/>
      <c r="AJ277" s="677"/>
      <c r="AK277" s="677"/>
    </row>
    <row r="278" spans="1:37" x14ac:dyDescent="0.3">
      <c r="A278" s="11" t="s">
        <v>31</v>
      </c>
      <c r="B278" s="591">
        <f>B280+B281+B279+B282</f>
        <v>7056.83</v>
      </c>
      <c r="C278" s="591">
        <f>C280+C281+C279+C282</f>
        <v>7056.83</v>
      </c>
      <c r="D278" s="591">
        <f>D280+D281+D279+D282</f>
        <v>7056.83</v>
      </c>
      <c r="E278" s="591">
        <f>E280+E281+E279+E282</f>
        <v>7056.83</v>
      </c>
      <c r="F278" s="591">
        <f>IFERROR(E278/B278*100,0)</f>
        <v>100</v>
      </c>
      <c r="G278" s="591">
        <f>IFERROR(E278/C278*100,0)</f>
        <v>100</v>
      </c>
      <c r="H278" s="591">
        <f t="shared" ref="H278:AE278" si="73">H280+H281+H279+H282</f>
        <v>0</v>
      </c>
      <c r="I278" s="110">
        <f t="shared" si="73"/>
        <v>0</v>
      </c>
      <c r="J278" s="110">
        <f t="shared" si="73"/>
        <v>2608.4</v>
      </c>
      <c r="K278" s="110">
        <f t="shared" si="73"/>
        <v>2571.3150000000001</v>
      </c>
      <c r="L278" s="110">
        <f t="shared" si="73"/>
        <v>710.24</v>
      </c>
      <c r="M278" s="110">
        <f t="shared" si="73"/>
        <v>435.7</v>
      </c>
      <c r="N278" s="110">
        <f t="shared" si="73"/>
        <v>151.56</v>
      </c>
      <c r="O278" s="110">
        <f t="shared" si="73"/>
        <v>105.6</v>
      </c>
      <c r="P278" s="110">
        <f t="shared" si="73"/>
        <v>154.83000000000001</v>
      </c>
      <c r="Q278" s="110">
        <f t="shared" si="73"/>
        <v>261.69</v>
      </c>
      <c r="R278" s="110">
        <f t="shared" si="73"/>
        <v>55.4</v>
      </c>
      <c r="S278" s="110">
        <f t="shared" si="73"/>
        <v>11.898</v>
      </c>
      <c r="T278" s="110">
        <f t="shared" si="73"/>
        <v>0</v>
      </c>
      <c r="U278" s="110">
        <f t="shared" si="73"/>
        <v>0</v>
      </c>
      <c r="V278" s="110">
        <f t="shared" si="73"/>
        <v>3289.1</v>
      </c>
      <c r="W278" s="110">
        <f t="shared" si="73"/>
        <v>3338.6</v>
      </c>
      <c r="X278" s="110">
        <f t="shared" si="73"/>
        <v>55.4</v>
      </c>
      <c r="Y278" s="110">
        <f t="shared" si="73"/>
        <v>71.25</v>
      </c>
      <c r="Z278" s="110">
        <f t="shared" si="73"/>
        <v>0</v>
      </c>
      <c r="AA278" s="110">
        <f t="shared" si="73"/>
        <v>0</v>
      </c>
      <c r="AB278" s="110">
        <f t="shared" si="73"/>
        <v>23.7</v>
      </c>
      <c r="AC278" s="110">
        <f t="shared" si="73"/>
        <v>65.510000000000005</v>
      </c>
      <c r="AD278" s="110">
        <f t="shared" si="73"/>
        <v>8.1999999999999993</v>
      </c>
      <c r="AE278" s="110">
        <f t="shared" si="73"/>
        <v>195.267</v>
      </c>
      <c r="AF278" s="1100"/>
      <c r="AG278" s="99"/>
      <c r="AH278" s="677"/>
      <c r="AI278" s="677"/>
      <c r="AJ278" s="677"/>
      <c r="AK278" s="677"/>
    </row>
    <row r="279" spans="1:37" x14ac:dyDescent="0.3">
      <c r="A279" s="7" t="s">
        <v>169</v>
      </c>
      <c r="B279" s="594"/>
      <c r="C279" s="712"/>
      <c r="D279" s="715"/>
      <c r="E279" s="712"/>
      <c r="F279" s="594"/>
      <c r="G279" s="594"/>
      <c r="H279" s="1064"/>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100"/>
      <c r="AG279" s="99"/>
      <c r="AH279" s="677"/>
      <c r="AI279" s="677"/>
      <c r="AJ279" s="677"/>
      <c r="AK279" s="677"/>
    </row>
    <row r="280" spans="1:37" x14ac:dyDescent="0.3">
      <c r="A280" s="143" t="s">
        <v>32</v>
      </c>
      <c r="B280" s="594"/>
      <c r="C280" s="712"/>
      <c r="D280" s="715"/>
      <c r="E280" s="712"/>
      <c r="F280" s="594"/>
      <c r="G280" s="594"/>
      <c r="H280" s="1064"/>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100"/>
      <c r="AG280" s="99"/>
      <c r="AH280" s="677"/>
      <c r="AI280" s="677"/>
      <c r="AJ280" s="677"/>
      <c r="AK280" s="677"/>
    </row>
    <row r="281" spans="1:37" x14ac:dyDescent="0.3">
      <c r="A281" s="143" t="s">
        <v>33</v>
      </c>
      <c r="B281" s="594">
        <f>J281+L281+N281+P281+R281+T281+V281+X281+Z281+AB281+AD281+H281</f>
        <v>7056.83</v>
      </c>
      <c r="C281" s="712">
        <f>H281+J281+L281+N281+P281+R281+T281+V281+X281+Z281+AB281+AD281</f>
        <v>7056.83</v>
      </c>
      <c r="D281" s="715">
        <f>E281</f>
        <v>7056.83</v>
      </c>
      <c r="E281" s="712">
        <f>SUM(I281,K281,M281,O281,Q281,S281,U281,W281,Y281,AA281,AC281,AE281)</f>
        <v>7056.83</v>
      </c>
      <c r="F281" s="594">
        <f>IFERROR(E281/B281*100,0)</f>
        <v>100</v>
      </c>
      <c r="G281" s="594">
        <f>IFERROR(E281/C281*100,0)</f>
        <v>100</v>
      </c>
      <c r="H281" s="1064">
        <v>0</v>
      </c>
      <c r="I281" s="108">
        <v>0</v>
      </c>
      <c r="J281" s="108">
        <v>2608.4</v>
      </c>
      <c r="K281" s="108">
        <v>2571.3150000000001</v>
      </c>
      <c r="L281" s="108">
        <v>710.24</v>
      </c>
      <c r="M281" s="108">
        <v>435.7</v>
      </c>
      <c r="N281" s="108">
        <v>151.56</v>
      </c>
      <c r="O281" s="108">
        <v>105.6</v>
      </c>
      <c r="P281" s="108">
        <v>154.83000000000001</v>
      </c>
      <c r="Q281" s="108">
        <v>261.69</v>
      </c>
      <c r="R281" s="108">
        <v>55.4</v>
      </c>
      <c r="S281" s="108">
        <v>11.898</v>
      </c>
      <c r="T281" s="108">
        <v>0</v>
      </c>
      <c r="U281" s="108">
        <v>0</v>
      </c>
      <c r="V281" s="108">
        <v>3289.1</v>
      </c>
      <c r="W281" s="108">
        <v>3338.6</v>
      </c>
      <c r="X281" s="108">
        <v>55.4</v>
      </c>
      <c r="Y281" s="108">
        <v>71.25</v>
      </c>
      <c r="Z281" s="108">
        <v>0</v>
      </c>
      <c r="AA281" s="108">
        <v>0</v>
      </c>
      <c r="AB281" s="108">
        <v>23.7</v>
      </c>
      <c r="AC281" s="108">
        <v>65.510000000000005</v>
      </c>
      <c r="AD281" s="108">
        <v>8.1999999999999993</v>
      </c>
      <c r="AE281" s="108">
        <v>195.267</v>
      </c>
      <c r="AF281" s="1100"/>
      <c r="AG281" s="99"/>
      <c r="AH281" s="677"/>
      <c r="AI281" s="677"/>
      <c r="AJ281" s="677"/>
      <c r="AK281" s="677"/>
    </row>
    <row r="282" spans="1:37" x14ac:dyDescent="0.3">
      <c r="A282" s="7" t="s">
        <v>170</v>
      </c>
      <c r="B282" s="594"/>
      <c r="C282" s="712"/>
      <c r="D282" s="715"/>
      <c r="E282" s="712"/>
      <c r="F282" s="594"/>
      <c r="G282" s="594"/>
      <c r="H282" s="1064"/>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100"/>
      <c r="AG282" s="99"/>
      <c r="AH282" s="677"/>
      <c r="AI282" s="677"/>
      <c r="AJ282" s="677"/>
      <c r="AK282" s="677"/>
    </row>
    <row r="283" spans="1:37" ht="41.25" customHeight="1" x14ac:dyDescent="0.3">
      <c r="A283" s="86" t="s">
        <v>216</v>
      </c>
      <c r="B283" s="113"/>
      <c r="C283" s="120"/>
      <c r="D283" s="120"/>
      <c r="E283" s="120"/>
      <c r="F283" s="120"/>
      <c r="G283" s="120"/>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100"/>
      <c r="AG283" s="99"/>
      <c r="AH283" s="677"/>
      <c r="AI283" s="677"/>
      <c r="AJ283" s="677"/>
      <c r="AK283" s="677"/>
    </row>
    <row r="284" spans="1:37" x14ac:dyDescent="0.3">
      <c r="A284" s="11" t="s">
        <v>31</v>
      </c>
      <c r="B284" s="591">
        <f>B286+B287+B285+B288</f>
        <v>0</v>
      </c>
      <c r="C284" s="591">
        <f>C286+C287+C285+C288</f>
        <v>0</v>
      </c>
      <c r="D284" s="110">
        <f>D286+D287+D285+D288</f>
        <v>0</v>
      </c>
      <c r="E284" s="110">
        <f>E286+E287+E285+E288</f>
        <v>0</v>
      </c>
      <c r="F284" s="110">
        <f>IFERROR(E284/B284*100,0)</f>
        <v>0</v>
      </c>
      <c r="G284" s="110">
        <f>IFERROR(E284/C284*100,0)</f>
        <v>0</v>
      </c>
      <c r="H284" s="110">
        <f t="shared" ref="H284:AE284" si="74">H286+H287+H285+H288</f>
        <v>0</v>
      </c>
      <c r="I284" s="110">
        <f t="shared" si="74"/>
        <v>0</v>
      </c>
      <c r="J284" s="110">
        <f t="shared" si="74"/>
        <v>0</v>
      </c>
      <c r="K284" s="110">
        <f t="shared" si="74"/>
        <v>0</v>
      </c>
      <c r="L284" s="110">
        <f t="shared" si="74"/>
        <v>0</v>
      </c>
      <c r="M284" s="110">
        <f t="shared" si="74"/>
        <v>0</v>
      </c>
      <c r="N284" s="110">
        <f t="shared" si="74"/>
        <v>0</v>
      </c>
      <c r="O284" s="110">
        <f t="shared" si="74"/>
        <v>0</v>
      </c>
      <c r="P284" s="110">
        <f t="shared" si="74"/>
        <v>0</v>
      </c>
      <c r="Q284" s="110">
        <f t="shared" si="74"/>
        <v>0</v>
      </c>
      <c r="R284" s="110">
        <f t="shared" si="74"/>
        <v>0</v>
      </c>
      <c r="S284" s="110">
        <f t="shared" si="74"/>
        <v>0</v>
      </c>
      <c r="T284" s="110">
        <f t="shared" si="74"/>
        <v>0</v>
      </c>
      <c r="U284" s="110">
        <f t="shared" si="74"/>
        <v>0</v>
      </c>
      <c r="V284" s="110">
        <f t="shared" si="74"/>
        <v>0</v>
      </c>
      <c r="W284" s="110">
        <f t="shared" si="74"/>
        <v>0</v>
      </c>
      <c r="X284" s="110">
        <f t="shared" si="74"/>
        <v>0</v>
      </c>
      <c r="Y284" s="110">
        <f t="shared" si="74"/>
        <v>0</v>
      </c>
      <c r="Z284" s="110">
        <f t="shared" si="74"/>
        <v>0</v>
      </c>
      <c r="AA284" s="110">
        <f t="shared" si="74"/>
        <v>0</v>
      </c>
      <c r="AB284" s="110">
        <f t="shared" si="74"/>
        <v>0</v>
      </c>
      <c r="AC284" s="110">
        <f t="shared" si="74"/>
        <v>0</v>
      </c>
      <c r="AD284" s="110">
        <f t="shared" si="74"/>
        <v>0</v>
      </c>
      <c r="AE284" s="110">
        <f t="shared" si="74"/>
        <v>0</v>
      </c>
      <c r="AF284" s="1100"/>
      <c r="AG284" s="99"/>
      <c r="AH284" s="677"/>
      <c r="AI284" s="677"/>
      <c r="AJ284" s="677"/>
      <c r="AK284" s="677"/>
    </row>
    <row r="285" spans="1:37" x14ac:dyDescent="0.3">
      <c r="A285" s="7" t="s">
        <v>169</v>
      </c>
      <c r="B285" s="113"/>
      <c r="C285" s="114"/>
      <c r="D285" s="115"/>
      <c r="E285" s="114"/>
      <c r="F285" s="113"/>
      <c r="G285" s="113"/>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100"/>
      <c r="AG285" s="99"/>
      <c r="AH285" s="677"/>
      <c r="AI285" s="677"/>
      <c r="AJ285" s="677"/>
      <c r="AK285" s="677"/>
    </row>
    <row r="286" spans="1:37" x14ac:dyDescent="0.3">
      <c r="A286" s="143" t="s">
        <v>32</v>
      </c>
      <c r="B286" s="113"/>
      <c r="C286" s="114"/>
      <c r="D286" s="115"/>
      <c r="E286" s="114"/>
      <c r="F286" s="113"/>
      <c r="G286" s="113"/>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100"/>
      <c r="AG286" s="99"/>
      <c r="AH286" s="677"/>
      <c r="AI286" s="677"/>
      <c r="AJ286" s="677"/>
      <c r="AK286" s="677"/>
    </row>
    <row r="287" spans="1:37" x14ac:dyDescent="0.3">
      <c r="A287" s="143" t="s">
        <v>33</v>
      </c>
      <c r="B287" s="113">
        <f>J287+L287+N287+P287+R287+T287+V287+X287+Z287+AB287+AD287+H287</f>
        <v>0</v>
      </c>
      <c r="C287" s="114">
        <f>SUM(H287)</f>
        <v>0</v>
      </c>
      <c r="D287" s="115">
        <f>E287</f>
        <v>0</v>
      </c>
      <c r="E287" s="114">
        <f>SUM(I287,K287,M287,O287,Q287,S287,U287,W287,Y287,AA287,AC287,AE287)</f>
        <v>0</v>
      </c>
      <c r="F287" s="113">
        <f>IFERROR(E287/B287*100,0)</f>
        <v>0</v>
      </c>
      <c r="G287" s="113">
        <f>IFERROR(E287/C287*100,0)</f>
        <v>0</v>
      </c>
      <c r="H287" s="108">
        <v>0</v>
      </c>
      <c r="I287" s="108">
        <v>0</v>
      </c>
      <c r="J287" s="108">
        <v>0</v>
      </c>
      <c r="K287" s="108">
        <v>0</v>
      </c>
      <c r="L287" s="108">
        <v>0</v>
      </c>
      <c r="M287" s="108">
        <v>0</v>
      </c>
      <c r="N287" s="108">
        <v>0</v>
      </c>
      <c r="O287" s="108">
        <v>0</v>
      </c>
      <c r="P287" s="108">
        <v>0</v>
      </c>
      <c r="Q287" s="108">
        <v>0</v>
      </c>
      <c r="R287" s="108">
        <v>0</v>
      </c>
      <c r="S287" s="108">
        <v>0</v>
      </c>
      <c r="T287" s="108">
        <v>0</v>
      </c>
      <c r="U287" s="108">
        <v>0</v>
      </c>
      <c r="V287" s="108">
        <v>0</v>
      </c>
      <c r="W287" s="108">
        <v>0</v>
      </c>
      <c r="X287" s="108">
        <v>0</v>
      </c>
      <c r="Y287" s="108">
        <v>0</v>
      </c>
      <c r="Z287" s="108">
        <v>0</v>
      </c>
      <c r="AA287" s="108">
        <v>0</v>
      </c>
      <c r="AB287" s="108">
        <v>0</v>
      </c>
      <c r="AC287" s="108">
        <v>0</v>
      </c>
      <c r="AD287" s="108">
        <v>0</v>
      </c>
      <c r="AE287" s="108">
        <v>0</v>
      </c>
      <c r="AF287" s="1100"/>
      <c r="AG287" s="99"/>
      <c r="AH287" s="677"/>
      <c r="AI287" s="677"/>
      <c r="AJ287" s="677"/>
      <c r="AK287" s="677"/>
    </row>
    <row r="288" spans="1:37" x14ac:dyDescent="0.3">
      <c r="A288" s="7" t="s">
        <v>170</v>
      </c>
      <c r="B288" s="113"/>
      <c r="C288" s="114"/>
      <c r="D288" s="115"/>
      <c r="E288" s="114"/>
      <c r="F288" s="113"/>
      <c r="G288" s="113"/>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100"/>
      <c r="AG288" s="99"/>
      <c r="AH288" s="677"/>
      <c r="AI288" s="677"/>
      <c r="AJ288" s="677"/>
      <c r="AK288" s="677"/>
    </row>
    <row r="289" spans="1:37" s="1094" customFormat="1" ht="78.75" customHeight="1" x14ac:dyDescent="0.25">
      <c r="A289" s="1091" t="s">
        <v>217</v>
      </c>
      <c r="B289" s="1092">
        <f>B290+B291+B292+B293</f>
        <v>552862.40500000003</v>
      </c>
      <c r="C289" s="1092">
        <f>C290+C291+C292+C293</f>
        <v>552862.40500000003</v>
      </c>
      <c r="D289" s="1092">
        <f>D290+D291+D292+D293</f>
        <v>545734.91800000006</v>
      </c>
      <c r="E289" s="1092">
        <f>E290+E291+E292+E293</f>
        <v>535593.2781600001</v>
      </c>
      <c r="F289" s="1092">
        <f>IFERROR(E289/B289*100,0)</f>
        <v>96.876415056654125</v>
      </c>
      <c r="G289" s="1092">
        <f>IFERROR(E289/C289*100,0)</f>
        <v>96.876415056654125</v>
      </c>
      <c r="H289" s="1092">
        <f t="shared" ref="H289:AE289" si="75">H290+H291+H292+H293</f>
        <v>32995.696000000004</v>
      </c>
      <c r="I289" s="1092">
        <f t="shared" si="75"/>
        <v>20436.099000000002</v>
      </c>
      <c r="J289" s="1092">
        <f t="shared" si="75"/>
        <v>44896.995999999999</v>
      </c>
      <c r="K289" s="1092">
        <f t="shared" si="75"/>
        <v>34681.095000000001</v>
      </c>
      <c r="L289" s="1092">
        <f t="shared" si="75"/>
        <v>36327.868000000009</v>
      </c>
      <c r="M289" s="1092">
        <f t="shared" si="75"/>
        <v>33072.077000000005</v>
      </c>
      <c r="N289" s="1092">
        <f t="shared" si="75"/>
        <v>45619.654999999999</v>
      </c>
      <c r="O289" s="1092">
        <f t="shared" si="75"/>
        <v>34141.377000000008</v>
      </c>
      <c r="P289" s="1092">
        <f t="shared" si="75"/>
        <v>61221.613000000005</v>
      </c>
      <c r="Q289" s="1092">
        <f t="shared" si="75"/>
        <v>38244.430159999996</v>
      </c>
      <c r="R289" s="1092">
        <f t="shared" si="75"/>
        <v>46141.773000000001</v>
      </c>
      <c r="S289" s="1092">
        <f t="shared" si="75"/>
        <v>60910.345999999998</v>
      </c>
      <c r="T289" s="1092">
        <f t="shared" si="75"/>
        <v>49011.03</v>
      </c>
      <c r="U289" s="1092">
        <f t="shared" si="75"/>
        <v>61801.572999999997</v>
      </c>
      <c r="V289" s="1092">
        <f>V290+V291+V292+V293</f>
        <v>43859.579999999994</v>
      </c>
      <c r="W289" s="1092">
        <f t="shared" si="75"/>
        <v>33046.707999999999</v>
      </c>
      <c r="X289" s="1092">
        <f t="shared" si="75"/>
        <v>36414.339999999997</v>
      </c>
      <c r="Y289" s="1092">
        <f t="shared" si="75"/>
        <v>35904.224000000002</v>
      </c>
      <c r="Z289" s="1092">
        <f t="shared" si="75"/>
        <v>49603.540000000008</v>
      </c>
      <c r="AA289" s="1092">
        <f t="shared" si="75"/>
        <v>55674.95900000001</v>
      </c>
      <c r="AB289" s="1092">
        <f t="shared" si="75"/>
        <v>43892.241000000002</v>
      </c>
      <c r="AC289" s="1092">
        <f t="shared" si="75"/>
        <v>35823.815000000002</v>
      </c>
      <c r="AD289" s="1092">
        <f t="shared" si="75"/>
        <v>62878.072999999997</v>
      </c>
      <c r="AE289" s="1092">
        <f t="shared" si="75"/>
        <v>91856.575000000012</v>
      </c>
      <c r="AF289" s="1101"/>
      <c r="AG289" s="1093"/>
      <c r="AH289" s="1325"/>
      <c r="AI289" s="1325"/>
      <c r="AJ289" s="1325"/>
      <c r="AK289" s="1325"/>
    </row>
    <row r="290" spans="1:37" x14ac:dyDescent="0.3">
      <c r="A290" s="146" t="s">
        <v>169</v>
      </c>
      <c r="B290" s="147">
        <f>J290+L290+N290+P290+R290+T290+V290+X290+Z290+AB290+AD290+H290</f>
        <v>105.21</v>
      </c>
      <c r="C290" s="147">
        <f>H290+J290+L290+N290+P290+R290+T290+V290+X290+Z290+AB290+AD290</f>
        <v>105.21</v>
      </c>
      <c r="D290" s="147">
        <f>D40+D79+D115+D160+D197+D235+D253+D265+D273+D153+D139+D19+D13</f>
        <v>105.21</v>
      </c>
      <c r="E290" s="147">
        <f>SUM(I290,K290,M290,O290,Q290,S290,U290,W290,Y290,AA290,AC290,AE290)</f>
        <v>105.21</v>
      </c>
      <c r="F290" s="147">
        <f>IFERROR(E290/B290*100,0)</f>
        <v>100</v>
      </c>
      <c r="G290" s="147">
        <f t="shared" ref="G290:G306" si="76">IFERROR(E290/C290*100,0)</f>
        <v>100</v>
      </c>
      <c r="H290" s="147">
        <f t="shared" ref="H290:AE290" si="77">H40+H79+H115+H160+H197+H235+H253+H265+H273+H153+H139+H19+H13+H25+H32</f>
        <v>0</v>
      </c>
      <c r="I290" s="147">
        <f t="shared" si="77"/>
        <v>0</v>
      </c>
      <c r="J290" s="147">
        <f t="shared" si="77"/>
        <v>0</v>
      </c>
      <c r="K290" s="147">
        <f t="shared" si="77"/>
        <v>0</v>
      </c>
      <c r="L290" s="147">
        <f t="shared" si="77"/>
        <v>0</v>
      </c>
      <c r="M290" s="147">
        <f t="shared" si="77"/>
        <v>0</v>
      </c>
      <c r="N290" s="147">
        <f t="shared" si="77"/>
        <v>0</v>
      </c>
      <c r="O290" s="147">
        <f t="shared" si="77"/>
        <v>0</v>
      </c>
      <c r="P290" s="147">
        <f t="shared" si="77"/>
        <v>0</v>
      </c>
      <c r="Q290" s="147">
        <f t="shared" si="77"/>
        <v>0</v>
      </c>
      <c r="R290" s="147">
        <f t="shared" si="77"/>
        <v>105.21</v>
      </c>
      <c r="S290" s="147">
        <f t="shared" si="77"/>
        <v>105.21</v>
      </c>
      <c r="T290" s="147">
        <f t="shared" si="77"/>
        <v>0</v>
      </c>
      <c r="U290" s="147">
        <f t="shared" si="77"/>
        <v>0</v>
      </c>
      <c r="V290" s="147">
        <f t="shared" si="77"/>
        <v>0</v>
      </c>
      <c r="W290" s="147">
        <f t="shared" si="77"/>
        <v>0</v>
      </c>
      <c r="X290" s="147">
        <f t="shared" si="77"/>
        <v>0</v>
      </c>
      <c r="Y290" s="147">
        <f t="shared" si="77"/>
        <v>0</v>
      </c>
      <c r="Z290" s="147">
        <f t="shared" si="77"/>
        <v>0</v>
      </c>
      <c r="AA290" s="147">
        <f t="shared" si="77"/>
        <v>0</v>
      </c>
      <c r="AB290" s="147">
        <f t="shared" si="77"/>
        <v>0</v>
      </c>
      <c r="AC290" s="147">
        <f t="shared" si="77"/>
        <v>0</v>
      </c>
      <c r="AD290" s="147">
        <f t="shared" si="77"/>
        <v>0</v>
      </c>
      <c r="AE290" s="147">
        <f t="shared" si="77"/>
        <v>0</v>
      </c>
      <c r="AF290" s="1102"/>
      <c r="AG290" s="99"/>
      <c r="AH290" s="677"/>
      <c r="AI290" s="677"/>
      <c r="AJ290" s="677"/>
      <c r="AK290" s="677"/>
    </row>
    <row r="291" spans="1:37" x14ac:dyDescent="0.3">
      <c r="A291" s="146" t="s">
        <v>32</v>
      </c>
      <c r="B291" s="147">
        <f>J291+L291+N291+P291+R291+T291+V291+X291+Z291+AB291+AD291+H291</f>
        <v>1169.08</v>
      </c>
      <c r="C291" s="147">
        <f>H291+J291+L291+N291+P291+R291+T291+V291+X291+Z291+AB291+AD291</f>
        <v>1169.08</v>
      </c>
      <c r="D291" s="147">
        <v>1169.0820000000001</v>
      </c>
      <c r="E291" s="147">
        <f>SUM(I291,K291,M291,O291,Q291,S291,U291,W291,Y291,AA291,AC291,AE291)</f>
        <v>1169.08</v>
      </c>
      <c r="F291" s="147">
        <f t="shared" ref="F291:F306" si="78">IFERROR(E291/B291*100,0)</f>
        <v>100</v>
      </c>
      <c r="G291" s="147">
        <f t="shared" si="76"/>
        <v>100</v>
      </c>
      <c r="H291" s="147">
        <f>H14+H20+H26+H33+H41+H80+H116+H140+H154+H161+H198+H236+H254+H266+H274</f>
        <v>0</v>
      </c>
      <c r="I291" s="147">
        <f t="shared" ref="I291:AE291" si="79">I14+I20+I26+I33+I41+I80+I116+I140+I154+I161+I198+I236+I254+I266+I274</f>
        <v>0</v>
      </c>
      <c r="J291" s="147">
        <f t="shared" si="79"/>
        <v>0</v>
      </c>
      <c r="K291" s="147">
        <f t="shared" si="79"/>
        <v>0</v>
      </c>
      <c r="L291" s="147">
        <f t="shared" si="79"/>
        <v>10.8</v>
      </c>
      <c r="M291" s="147">
        <f t="shared" si="79"/>
        <v>10.8</v>
      </c>
      <c r="N291" s="147">
        <f t="shared" si="79"/>
        <v>19.899999999999999</v>
      </c>
      <c r="O291" s="147">
        <f t="shared" si="79"/>
        <v>19.899999999999999</v>
      </c>
      <c r="P291" s="147">
        <f t="shared" si="79"/>
        <v>346.56</v>
      </c>
      <c r="Q291" s="147">
        <f t="shared" si="79"/>
        <v>346.56</v>
      </c>
      <c r="R291" s="147">
        <f t="shared" si="79"/>
        <v>151.39000000000001</v>
      </c>
      <c r="S291" s="147">
        <f t="shared" si="79"/>
        <v>151.39000000000001</v>
      </c>
      <c r="T291" s="147">
        <f t="shared" si="79"/>
        <v>22.8</v>
      </c>
      <c r="U291" s="147">
        <f t="shared" si="79"/>
        <v>22.8</v>
      </c>
      <c r="V291" s="147">
        <f t="shared" si="79"/>
        <v>265.39999999999998</v>
      </c>
      <c r="W291" s="147">
        <f t="shared" si="79"/>
        <v>265.39999999999998</v>
      </c>
      <c r="X291" s="147">
        <f t="shared" si="79"/>
        <v>273</v>
      </c>
      <c r="Y291" s="147">
        <f t="shared" si="79"/>
        <v>273</v>
      </c>
      <c r="Z291" s="147">
        <f t="shared" si="79"/>
        <v>22.8</v>
      </c>
      <c r="AA291" s="147">
        <f t="shared" si="79"/>
        <v>22.8</v>
      </c>
      <c r="AB291" s="147">
        <f t="shared" si="79"/>
        <v>22.8</v>
      </c>
      <c r="AC291" s="147">
        <f t="shared" si="79"/>
        <v>22.8</v>
      </c>
      <c r="AD291" s="147">
        <f t="shared" si="79"/>
        <v>33.629999999999995</v>
      </c>
      <c r="AE291" s="147">
        <f t="shared" si="79"/>
        <v>33.629999999999995</v>
      </c>
      <c r="AF291" s="1102"/>
      <c r="AG291" s="99"/>
      <c r="AH291" s="677"/>
      <c r="AI291" s="677"/>
      <c r="AJ291" s="677"/>
      <c r="AK291" s="677"/>
    </row>
    <row r="292" spans="1:37" x14ac:dyDescent="0.3">
      <c r="A292" s="146" t="s">
        <v>33</v>
      </c>
      <c r="B292" s="147">
        <f>J292+L292+N292+P292+R292+T292+V292+X292+Z292+AB292+AD292+H292</f>
        <v>544968.83499999996</v>
      </c>
      <c r="C292" s="147">
        <f>H292+J292+L292+N292+P292+R292+T292+V292+X292+Z292+AB292+AD292</f>
        <v>544968.83499999996</v>
      </c>
      <c r="D292" s="147">
        <f>D42+D81+D117+D162+D199+D237+D255+D267+D275+D155+D141+D21+D15+D27+D34</f>
        <v>537841.34600000002</v>
      </c>
      <c r="E292" s="147">
        <f>SUM(I292,K292,M292,O292,Q292,S292,U292,W292,Y292,AA292,AC292,AE292)</f>
        <v>527699.70816000004</v>
      </c>
      <c r="F292" s="147">
        <f>IFERROR(E292/B292*100,0)</f>
        <v>96.831171668743238</v>
      </c>
      <c r="G292" s="147">
        <f t="shared" si="76"/>
        <v>96.831171668743238</v>
      </c>
      <c r="H292" s="147">
        <f>H42+H81+H117+H162+H199+H237+H255+H267+H275+H155+H141+H21+H15+H27+H34</f>
        <v>32995.696000000004</v>
      </c>
      <c r="I292" s="147">
        <f>I42+I81+I117+I162+I199+I237+I255+I267+I275+I155+I141+I21+I15+I27+I34</f>
        <v>20436.099000000002</v>
      </c>
      <c r="J292" s="147">
        <f>J42+J81+J117+J162+J199+J237+J255+J267+J275+J155+J141+J21+J15+J27+J34</f>
        <v>44896.995999999999</v>
      </c>
      <c r="K292" s="147">
        <f>K42+K81+K117+K162+K199+K237+K255+K267+K275+K155+K141+K21+K15+K27+K34</f>
        <v>34681.095000000001</v>
      </c>
      <c r="L292" s="147">
        <f t="shared" ref="L292:AE292" si="80">L42+L81+L117+L162+L199+L237+L255+L267+L275+L155+L141+L21+L15+L27+L34</f>
        <v>36317.068000000007</v>
      </c>
      <c r="M292" s="147">
        <f t="shared" si="80"/>
        <v>33061.277000000002</v>
      </c>
      <c r="N292" s="147">
        <f t="shared" si="80"/>
        <v>45599.754999999997</v>
      </c>
      <c r="O292" s="147">
        <f t="shared" si="80"/>
        <v>34121.477000000006</v>
      </c>
      <c r="P292" s="147">
        <f t="shared" si="80"/>
        <v>60875.053000000007</v>
      </c>
      <c r="Q292" s="147">
        <f t="shared" si="80"/>
        <v>37897.870159999999</v>
      </c>
      <c r="R292" s="147">
        <f t="shared" si="80"/>
        <v>45885.173000000003</v>
      </c>
      <c r="S292" s="147">
        <f t="shared" si="80"/>
        <v>60653.745999999999</v>
      </c>
      <c r="T292" s="147">
        <f t="shared" si="80"/>
        <v>48988.229999999996</v>
      </c>
      <c r="U292" s="147">
        <f t="shared" si="80"/>
        <v>61778.772999999994</v>
      </c>
      <c r="V292" s="147">
        <f t="shared" si="80"/>
        <v>43594.179999999993</v>
      </c>
      <c r="W292" s="147">
        <f t="shared" si="80"/>
        <v>32781.307999999997</v>
      </c>
      <c r="X292" s="147">
        <f t="shared" si="80"/>
        <v>36036.06</v>
      </c>
      <c r="Y292" s="147">
        <f t="shared" si="80"/>
        <v>35631.224000000002</v>
      </c>
      <c r="Z292" s="147">
        <f t="shared" si="80"/>
        <v>49580.740000000005</v>
      </c>
      <c r="AA292" s="147">
        <f t="shared" si="80"/>
        <v>55652.159000000007</v>
      </c>
      <c r="AB292" s="147">
        <f t="shared" si="80"/>
        <v>39955.440999999999</v>
      </c>
      <c r="AC292" s="147">
        <f t="shared" si="80"/>
        <v>35801.014999999999</v>
      </c>
      <c r="AD292" s="147">
        <f t="shared" si="80"/>
        <v>60244.442999999999</v>
      </c>
      <c r="AE292" s="147">
        <f t="shared" si="80"/>
        <v>85203.665000000008</v>
      </c>
      <c r="AF292" s="1102"/>
      <c r="AG292" s="99"/>
      <c r="AH292" s="677"/>
      <c r="AI292" s="677"/>
      <c r="AJ292" s="677"/>
      <c r="AK292" s="677"/>
    </row>
    <row r="293" spans="1:37" x14ac:dyDescent="0.3">
      <c r="A293" s="148" t="s">
        <v>170</v>
      </c>
      <c r="B293" s="147">
        <f>J293+L293+N293+P293+R293+T293+V293+X293+Z293+AB293+AD293+H293</f>
        <v>6619.2800000000007</v>
      </c>
      <c r="C293" s="147">
        <f>H293+J293+L293+N293+P293+R293+T293+V293+X293+Z293+AB293+AD293</f>
        <v>6619.2800000000007</v>
      </c>
      <c r="D293" s="147">
        <f>D43+D82+D118+D163+D200+D238+D256+D268+D276+D156+D142+D22+D16</f>
        <v>6619.28</v>
      </c>
      <c r="E293" s="147">
        <f>SUM(I293,K293,M293,O293,Q293,S293,U293,W293,Y293,AA293,AC293,AE293)</f>
        <v>6619.28</v>
      </c>
      <c r="F293" s="147">
        <f t="shared" si="78"/>
        <v>99.999999999999986</v>
      </c>
      <c r="G293" s="147">
        <f t="shared" si="76"/>
        <v>99.999999999999986</v>
      </c>
      <c r="H293" s="147">
        <f>H43+H82+H118+H163+H200+H238+H256+H268+H276+H156+H142+H22+H16</f>
        <v>0</v>
      </c>
      <c r="I293" s="147">
        <f t="shared" ref="I293:AE293" si="81">I43+I82+I118+I163+I200+I238+I256+I268+I276+I156+I142+I22+I16</f>
        <v>0</v>
      </c>
      <c r="J293" s="147">
        <f t="shared" si="81"/>
        <v>0</v>
      </c>
      <c r="K293" s="147">
        <f t="shared" si="81"/>
        <v>0</v>
      </c>
      <c r="L293" s="147">
        <f t="shared" si="81"/>
        <v>0</v>
      </c>
      <c r="M293" s="147">
        <f t="shared" si="81"/>
        <v>0</v>
      </c>
      <c r="N293" s="147">
        <f t="shared" si="81"/>
        <v>0</v>
      </c>
      <c r="O293" s="147">
        <f t="shared" si="81"/>
        <v>0</v>
      </c>
      <c r="P293" s="147">
        <f t="shared" si="81"/>
        <v>0</v>
      </c>
      <c r="Q293" s="147">
        <f t="shared" si="81"/>
        <v>0</v>
      </c>
      <c r="R293" s="147">
        <f t="shared" si="81"/>
        <v>0</v>
      </c>
      <c r="S293" s="147">
        <f t="shared" si="81"/>
        <v>0</v>
      </c>
      <c r="T293" s="147">
        <f t="shared" si="81"/>
        <v>0</v>
      </c>
      <c r="U293" s="147">
        <f t="shared" si="81"/>
        <v>0</v>
      </c>
      <c r="V293" s="147">
        <f t="shared" si="81"/>
        <v>0</v>
      </c>
      <c r="W293" s="147">
        <f t="shared" si="81"/>
        <v>0</v>
      </c>
      <c r="X293" s="147">
        <f t="shared" si="81"/>
        <v>105.28</v>
      </c>
      <c r="Y293" s="147">
        <f t="shared" si="81"/>
        <v>0</v>
      </c>
      <c r="Z293" s="147">
        <f t="shared" si="81"/>
        <v>0</v>
      </c>
      <c r="AA293" s="147">
        <f t="shared" si="81"/>
        <v>0</v>
      </c>
      <c r="AB293" s="147">
        <f t="shared" si="81"/>
        <v>3914</v>
      </c>
      <c r="AC293" s="147">
        <f t="shared" si="81"/>
        <v>0</v>
      </c>
      <c r="AD293" s="147">
        <f t="shared" si="81"/>
        <v>2600</v>
      </c>
      <c r="AE293" s="147">
        <f t="shared" si="81"/>
        <v>6619.28</v>
      </c>
      <c r="AF293" s="1102"/>
      <c r="AG293" s="99"/>
      <c r="AH293" s="677"/>
      <c r="AI293" s="677"/>
      <c r="AJ293" s="677"/>
      <c r="AK293" s="677"/>
    </row>
    <row r="294" spans="1:37" ht="37.5" x14ac:dyDescent="0.3">
      <c r="A294" s="149" t="s">
        <v>174</v>
      </c>
      <c r="B294" s="150">
        <f>B49+B68+B76+B29+B36</f>
        <v>260.10000000000002</v>
      </c>
      <c r="C294" s="150">
        <f>C49+C68+C76+C29+C36</f>
        <v>260.10000000000002</v>
      </c>
      <c r="D294" s="150">
        <f>D49+D68+D76+D29+D36</f>
        <v>260.10000000000002</v>
      </c>
      <c r="E294" s="150">
        <f>E49+E68+E76+E29+E36</f>
        <v>260.10000000000002</v>
      </c>
      <c r="F294" s="150">
        <f t="shared" si="78"/>
        <v>100</v>
      </c>
      <c r="G294" s="150">
        <f t="shared" si="76"/>
        <v>100</v>
      </c>
      <c r="H294" s="150">
        <f t="shared" ref="H294:AE294" si="82">H49+H68</f>
        <v>0</v>
      </c>
      <c r="I294" s="150">
        <f t="shared" si="82"/>
        <v>0</v>
      </c>
      <c r="J294" s="150">
        <f t="shared" si="82"/>
        <v>0</v>
      </c>
      <c r="K294" s="150">
        <f t="shared" si="82"/>
        <v>0</v>
      </c>
      <c r="L294" s="150">
        <f t="shared" si="82"/>
        <v>9.4</v>
      </c>
      <c r="M294" s="150">
        <f t="shared" si="82"/>
        <v>9.4</v>
      </c>
      <c r="N294" s="150">
        <f t="shared" si="82"/>
        <v>3.6</v>
      </c>
      <c r="O294" s="150">
        <f t="shared" si="82"/>
        <v>3.6</v>
      </c>
      <c r="P294" s="150">
        <f t="shared" si="82"/>
        <v>11.2</v>
      </c>
      <c r="Q294" s="150">
        <f t="shared" si="82"/>
        <v>11.2</v>
      </c>
      <c r="R294" s="150">
        <f t="shared" si="82"/>
        <v>42</v>
      </c>
      <c r="S294" s="150">
        <f t="shared" si="82"/>
        <v>42</v>
      </c>
      <c r="T294" s="150">
        <f t="shared" si="82"/>
        <v>0.7</v>
      </c>
      <c r="U294" s="150">
        <f t="shared" si="82"/>
        <v>0.7</v>
      </c>
      <c r="V294" s="150">
        <f t="shared" si="82"/>
        <v>0.7</v>
      </c>
      <c r="W294" s="150">
        <f t="shared" si="82"/>
        <v>0.7</v>
      </c>
      <c r="X294" s="150">
        <f t="shared" si="82"/>
        <v>13.3</v>
      </c>
      <c r="Y294" s="150">
        <f t="shared" si="82"/>
        <v>13.3</v>
      </c>
      <c r="Z294" s="150">
        <f t="shared" si="82"/>
        <v>0.7</v>
      </c>
      <c r="AA294" s="150">
        <f t="shared" si="82"/>
        <v>0.7</v>
      </c>
      <c r="AB294" s="150">
        <f t="shared" si="82"/>
        <v>0.7</v>
      </c>
      <c r="AC294" s="150">
        <f t="shared" si="82"/>
        <v>0.7</v>
      </c>
      <c r="AD294" s="150">
        <f t="shared" si="82"/>
        <v>0.7</v>
      </c>
      <c r="AE294" s="150">
        <f t="shared" si="82"/>
        <v>0.7</v>
      </c>
      <c r="AF294" s="1101"/>
      <c r="AG294" s="99"/>
      <c r="AH294" s="677"/>
      <c r="AI294" s="677"/>
      <c r="AJ294" s="677"/>
      <c r="AK294" s="677"/>
    </row>
    <row r="295" spans="1:37" ht="37.5" x14ac:dyDescent="0.3">
      <c r="A295" s="144" t="s">
        <v>218</v>
      </c>
      <c r="B295" s="145">
        <f>B296+B297+B298+B299</f>
        <v>597.09999999999991</v>
      </c>
      <c r="C295" s="145">
        <f>C296+C297+C298</f>
        <v>597.09999999999991</v>
      </c>
      <c r="D295" s="145">
        <f>D296+D297+D298</f>
        <v>597.09999999999991</v>
      </c>
      <c r="E295" s="145">
        <f>E296+E297+E298</f>
        <v>597.09999999999991</v>
      </c>
      <c r="F295" s="145">
        <f t="shared" si="78"/>
        <v>100</v>
      </c>
      <c r="G295" s="145">
        <f t="shared" si="76"/>
        <v>100</v>
      </c>
      <c r="H295" s="145">
        <f t="shared" ref="H295:AE295" si="83">H296+H297+H298+H299</f>
        <v>0</v>
      </c>
      <c r="I295" s="145">
        <f t="shared" si="83"/>
        <v>0</v>
      </c>
      <c r="J295" s="145">
        <f t="shared" si="83"/>
        <v>0</v>
      </c>
      <c r="K295" s="145">
        <f t="shared" si="83"/>
        <v>0</v>
      </c>
      <c r="L295" s="145">
        <f t="shared" si="83"/>
        <v>100</v>
      </c>
      <c r="M295" s="145">
        <f t="shared" si="83"/>
        <v>68.11</v>
      </c>
      <c r="N295" s="145">
        <f t="shared" si="83"/>
        <v>0</v>
      </c>
      <c r="O295" s="145">
        <f t="shared" si="83"/>
        <v>17.399999999999999</v>
      </c>
      <c r="P295" s="145">
        <f t="shared" si="83"/>
        <v>0</v>
      </c>
      <c r="Q295" s="145">
        <f t="shared" si="83"/>
        <v>14.49</v>
      </c>
      <c r="R295" s="145">
        <f t="shared" si="83"/>
        <v>0</v>
      </c>
      <c r="S295" s="145">
        <f t="shared" si="83"/>
        <v>0</v>
      </c>
      <c r="T295" s="145">
        <f t="shared" si="83"/>
        <v>0</v>
      </c>
      <c r="U295" s="145">
        <f t="shared" si="83"/>
        <v>0</v>
      </c>
      <c r="V295" s="145">
        <f>V296+V297+V298+V299</f>
        <v>347.1</v>
      </c>
      <c r="W295" s="145">
        <f t="shared" si="83"/>
        <v>347.1</v>
      </c>
      <c r="X295" s="145">
        <f t="shared" si="83"/>
        <v>150</v>
      </c>
      <c r="Y295" s="145">
        <f t="shared" si="83"/>
        <v>150</v>
      </c>
      <c r="Z295" s="145">
        <f t="shared" si="83"/>
        <v>0</v>
      </c>
      <c r="AA295" s="145">
        <f t="shared" si="83"/>
        <v>0</v>
      </c>
      <c r="AB295" s="145">
        <f t="shared" si="83"/>
        <v>0</v>
      </c>
      <c r="AC295" s="145">
        <f t="shared" si="83"/>
        <v>0</v>
      </c>
      <c r="AD295" s="145">
        <f t="shared" si="83"/>
        <v>0</v>
      </c>
      <c r="AE295" s="145">
        <f t="shared" si="83"/>
        <v>0</v>
      </c>
      <c r="AF295" s="1101"/>
      <c r="AG295" s="99"/>
      <c r="AH295" s="677"/>
      <c r="AI295" s="677"/>
      <c r="AJ295" s="677"/>
      <c r="AK295" s="677"/>
    </row>
    <row r="296" spans="1:37" x14ac:dyDescent="0.3">
      <c r="A296" s="146" t="s">
        <v>169</v>
      </c>
      <c r="B296" s="147">
        <f>B13+B19+B153+B25+B32</f>
        <v>0</v>
      </c>
      <c r="C296" s="147">
        <f t="shared" ref="C296:E296" si="84">C13+C19+C153+C25+C32</f>
        <v>0</v>
      </c>
      <c r="D296" s="147">
        <f t="shared" si="84"/>
        <v>0</v>
      </c>
      <c r="E296" s="147">
        <f t="shared" si="84"/>
        <v>0</v>
      </c>
      <c r="F296" s="147">
        <f t="shared" si="78"/>
        <v>0</v>
      </c>
      <c r="G296" s="147">
        <f t="shared" si="76"/>
        <v>0</v>
      </c>
      <c r="H296" s="147">
        <f t="shared" ref="H296:AE296" si="85">H13+H19+H153</f>
        <v>0</v>
      </c>
      <c r="I296" s="147">
        <f t="shared" si="85"/>
        <v>0</v>
      </c>
      <c r="J296" s="147">
        <f t="shared" si="85"/>
        <v>0</v>
      </c>
      <c r="K296" s="147">
        <f t="shared" si="85"/>
        <v>0</v>
      </c>
      <c r="L296" s="147">
        <f t="shared" si="85"/>
        <v>0</v>
      </c>
      <c r="M296" s="147">
        <f t="shared" si="85"/>
        <v>0</v>
      </c>
      <c r="N296" s="147">
        <f t="shared" si="85"/>
        <v>0</v>
      </c>
      <c r="O296" s="147">
        <f t="shared" si="85"/>
        <v>0</v>
      </c>
      <c r="P296" s="147">
        <f t="shared" si="85"/>
        <v>0</v>
      </c>
      <c r="Q296" s="147">
        <f t="shared" si="85"/>
        <v>0</v>
      </c>
      <c r="R296" s="147">
        <f t="shared" si="85"/>
        <v>0</v>
      </c>
      <c r="S296" s="147">
        <f t="shared" si="85"/>
        <v>0</v>
      </c>
      <c r="T296" s="147">
        <f t="shared" si="85"/>
        <v>0</v>
      </c>
      <c r="U296" s="147">
        <f t="shared" si="85"/>
        <v>0</v>
      </c>
      <c r="V296" s="147">
        <f t="shared" si="85"/>
        <v>0</v>
      </c>
      <c r="W296" s="147">
        <f t="shared" si="85"/>
        <v>0</v>
      </c>
      <c r="X296" s="147">
        <f t="shared" si="85"/>
        <v>0</v>
      </c>
      <c r="Y296" s="147">
        <f t="shared" si="85"/>
        <v>0</v>
      </c>
      <c r="Z296" s="147">
        <f t="shared" si="85"/>
        <v>0</v>
      </c>
      <c r="AA296" s="147">
        <f t="shared" si="85"/>
        <v>0</v>
      </c>
      <c r="AB296" s="147">
        <f t="shared" si="85"/>
        <v>0</v>
      </c>
      <c r="AC296" s="147">
        <f t="shared" si="85"/>
        <v>0</v>
      </c>
      <c r="AD296" s="147">
        <f t="shared" si="85"/>
        <v>0</v>
      </c>
      <c r="AE296" s="147">
        <f t="shared" si="85"/>
        <v>0</v>
      </c>
      <c r="AF296" s="1102"/>
      <c r="AG296" s="99"/>
      <c r="AH296" s="677"/>
      <c r="AI296" s="677"/>
      <c r="AJ296" s="677"/>
      <c r="AK296" s="677"/>
    </row>
    <row r="297" spans="1:37" x14ac:dyDescent="0.3">
      <c r="A297" s="146" t="s">
        <v>32</v>
      </c>
      <c r="B297" s="147">
        <f>B14+B20+B154+B26+B33</f>
        <v>347.4</v>
      </c>
      <c r="C297" s="147">
        <f t="shared" ref="C297" si="86">C14+C20+C154+C26+C33</f>
        <v>347.4</v>
      </c>
      <c r="D297" s="147">
        <f>D14+D20+D154+D26+D33</f>
        <v>347.4</v>
      </c>
      <c r="E297" s="147">
        <f>E14+E20+E154+E26+E33</f>
        <v>347.4</v>
      </c>
      <c r="F297" s="147">
        <f t="shared" si="78"/>
        <v>100</v>
      </c>
      <c r="G297" s="147">
        <f t="shared" si="76"/>
        <v>100</v>
      </c>
      <c r="H297" s="147">
        <f>H14+H20+H154+H26+H33</f>
        <v>0</v>
      </c>
      <c r="I297" s="147">
        <f t="shared" ref="I297:AE297" si="87">I14+I20+I154+I26+I33</f>
        <v>0</v>
      </c>
      <c r="J297" s="147">
        <f t="shared" si="87"/>
        <v>0</v>
      </c>
      <c r="K297" s="147">
        <f t="shared" si="87"/>
        <v>0</v>
      </c>
      <c r="L297" s="147">
        <f t="shared" si="87"/>
        <v>0</v>
      </c>
      <c r="M297" s="147">
        <f t="shared" si="87"/>
        <v>0</v>
      </c>
      <c r="N297" s="147">
        <f t="shared" si="87"/>
        <v>0</v>
      </c>
      <c r="O297" s="147">
        <f t="shared" si="87"/>
        <v>0</v>
      </c>
      <c r="P297" s="147">
        <f t="shared" si="87"/>
        <v>0</v>
      </c>
      <c r="Q297" s="147">
        <f t="shared" si="87"/>
        <v>0</v>
      </c>
      <c r="R297" s="147">
        <f t="shared" si="87"/>
        <v>0</v>
      </c>
      <c r="S297" s="147">
        <f t="shared" si="87"/>
        <v>0</v>
      </c>
      <c r="T297" s="147">
        <f t="shared" si="87"/>
        <v>0</v>
      </c>
      <c r="U297" s="147">
        <f t="shared" si="87"/>
        <v>0</v>
      </c>
      <c r="V297" s="147">
        <f t="shared" si="87"/>
        <v>242.6</v>
      </c>
      <c r="W297" s="147">
        <f t="shared" si="87"/>
        <v>242.6</v>
      </c>
      <c r="X297" s="147">
        <f t="shared" si="87"/>
        <v>104.8</v>
      </c>
      <c r="Y297" s="147">
        <f t="shared" si="87"/>
        <v>104.8</v>
      </c>
      <c r="Z297" s="147">
        <f t="shared" si="87"/>
        <v>0</v>
      </c>
      <c r="AA297" s="147">
        <f t="shared" si="87"/>
        <v>0</v>
      </c>
      <c r="AB297" s="147">
        <f t="shared" si="87"/>
        <v>0</v>
      </c>
      <c r="AC297" s="147">
        <f t="shared" si="87"/>
        <v>0</v>
      </c>
      <c r="AD297" s="147">
        <f t="shared" si="87"/>
        <v>0</v>
      </c>
      <c r="AE297" s="147">
        <f t="shared" si="87"/>
        <v>0</v>
      </c>
      <c r="AF297" s="1102"/>
      <c r="AG297" s="99"/>
      <c r="AH297" s="677"/>
      <c r="AI297" s="677"/>
      <c r="AJ297" s="677"/>
      <c r="AK297" s="677"/>
    </row>
    <row r="298" spans="1:37" x14ac:dyDescent="0.3">
      <c r="A298" s="146" t="s">
        <v>33</v>
      </c>
      <c r="B298" s="147">
        <f>B15+B21+B155+B27+B34</f>
        <v>249.7</v>
      </c>
      <c r="C298" s="147">
        <f t="shared" ref="C298:E298" si="88">C15+C21+C155+C27+C34</f>
        <v>249.7</v>
      </c>
      <c r="D298" s="147">
        <f t="shared" si="88"/>
        <v>249.7</v>
      </c>
      <c r="E298" s="147">
        <f t="shared" si="88"/>
        <v>249.7</v>
      </c>
      <c r="F298" s="147">
        <f>IFERROR(E298/B298*100,0)</f>
        <v>100</v>
      </c>
      <c r="G298" s="147">
        <f t="shared" si="76"/>
        <v>100</v>
      </c>
      <c r="H298" s="147">
        <f t="shared" ref="H298:AE298" si="89">H15+H21+H155+H27+H34</f>
        <v>0</v>
      </c>
      <c r="I298" s="147">
        <f t="shared" si="89"/>
        <v>0</v>
      </c>
      <c r="J298" s="147">
        <f t="shared" si="89"/>
        <v>0</v>
      </c>
      <c r="K298" s="147">
        <f t="shared" si="89"/>
        <v>0</v>
      </c>
      <c r="L298" s="147">
        <f t="shared" si="89"/>
        <v>100</v>
      </c>
      <c r="M298" s="147">
        <f t="shared" si="89"/>
        <v>68.11</v>
      </c>
      <c r="N298" s="147">
        <f t="shared" si="89"/>
        <v>0</v>
      </c>
      <c r="O298" s="147">
        <f t="shared" si="89"/>
        <v>17.399999999999999</v>
      </c>
      <c r="P298" s="147">
        <f t="shared" si="89"/>
        <v>0</v>
      </c>
      <c r="Q298" s="147">
        <f t="shared" si="89"/>
        <v>14.49</v>
      </c>
      <c r="R298" s="147">
        <f t="shared" si="89"/>
        <v>0</v>
      </c>
      <c r="S298" s="147">
        <f t="shared" si="89"/>
        <v>0</v>
      </c>
      <c r="T298" s="147">
        <f t="shared" si="89"/>
        <v>0</v>
      </c>
      <c r="U298" s="147">
        <f t="shared" si="89"/>
        <v>0</v>
      </c>
      <c r="V298" s="147">
        <f t="shared" si="89"/>
        <v>104.5</v>
      </c>
      <c r="W298" s="147">
        <f t="shared" si="89"/>
        <v>104.5</v>
      </c>
      <c r="X298" s="147">
        <f t="shared" si="89"/>
        <v>45.2</v>
      </c>
      <c r="Y298" s="147">
        <f t="shared" si="89"/>
        <v>45.2</v>
      </c>
      <c r="Z298" s="147">
        <f t="shared" si="89"/>
        <v>0</v>
      </c>
      <c r="AA298" s="147">
        <f t="shared" si="89"/>
        <v>0</v>
      </c>
      <c r="AB298" s="147">
        <f t="shared" si="89"/>
        <v>0</v>
      </c>
      <c r="AC298" s="147">
        <f t="shared" si="89"/>
        <v>0</v>
      </c>
      <c r="AD298" s="147">
        <f t="shared" si="89"/>
        <v>0</v>
      </c>
      <c r="AE298" s="147">
        <f t="shared" si="89"/>
        <v>0</v>
      </c>
      <c r="AF298" s="1102"/>
      <c r="AG298" s="99"/>
      <c r="AH298" s="677"/>
      <c r="AI298" s="677"/>
      <c r="AJ298" s="677"/>
      <c r="AK298" s="677"/>
    </row>
    <row r="299" spans="1:37" x14ac:dyDescent="0.3">
      <c r="A299" s="148" t="s">
        <v>170</v>
      </c>
      <c r="B299" s="147">
        <f>B16+B22+B156+B28+B35</f>
        <v>0</v>
      </c>
      <c r="C299" s="147">
        <f t="shared" ref="C299:E299" si="90">C16+C22+C156+C28+C35</f>
        <v>0</v>
      </c>
      <c r="D299" s="147">
        <f t="shared" si="90"/>
        <v>0</v>
      </c>
      <c r="E299" s="147">
        <f t="shared" si="90"/>
        <v>0</v>
      </c>
      <c r="F299" s="147">
        <f t="shared" si="78"/>
        <v>0</v>
      </c>
      <c r="G299" s="147">
        <f t="shared" si="76"/>
        <v>0</v>
      </c>
      <c r="H299" s="147">
        <f t="shared" ref="H299:AE299" si="91">H16+H22+H156</f>
        <v>0</v>
      </c>
      <c r="I299" s="147">
        <f t="shared" si="91"/>
        <v>0</v>
      </c>
      <c r="J299" s="147">
        <f t="shared" si="91"/>
        <v>0</v>
      </c>
      <c r="K299" s="147">
        <f t="shared" si="91"/>
        <v>0</v>
      </c>
      <c r="L299" s="147">
        <f t="shared" si="91"/>
        <v>0</v>
      </c>
      <c r="M299" s="147">
        <f t="shared" si="91"/>
        <v>0</v>
      </c>
      <c r="N299" s="147">
        <f t="shared" si="91"/>
        <v>0</v>
      </c>
      <c r="O299" s="147">
        <f t="shared" si="91"/>
        <v>0</v>
      </c>
      <c r="P299" s="147">
        <f t="shared" si="91"/>
        <v>0</v>
      </c>
      <c r="Q299" s="147">
        <f t="shared" si="91"/>
        <v>0</v>
      </c>
      <c r="R299" s="147">
        <f t="shared" si="91"/>
        <v>0</v>
      </c>
      <c r="S299" s="147">
        <f t="shared" si="91"/>
        <v>0</v>
      </c>
      <c r="T299" s="147">
        <f t="shared" si="91"/>
        <v>0</v>
      </c>
      <c r="U299" s="147">
        <f t="shared" si="91"/>
        <v>0</v>
      </c>
      <c r="V299" s="147">
        <f t="shared" si="91"/>
        <v>0</v>
      </c>
      <c r="W299" s="147">
        <f t="shared" si="91"/>
        <v>0</v>
      </c>
      <c r="X299" s="147">
        <f t="shared" si="91"/>
        <v>0</v>
      </c>
      <c r="Y299" s="147">
        <f t="shared" si="91"/>
        <v>0</v>
      </c>
      <c r="Z299" s="147">
        <f t="shared" si="91"/>
        <v>0</v>
      </c>
      <c r="AA299" s="147">
        <f t="shared" si="91"/>
        <v>0</v>
      </c>
      <c r="AB299" s="147">
        <f t="shared" si="91"/>
        <v>0</v>
      </c>
      <c r="AC299" s="147">
        <f t="shared" si="91"/>
        <v>0</v>
      </c>
      <c r="AD299" s="147">
        <f t="shared" si="91"/>
        <v>0</v>
      </c>
      <c r="AE299" s="147">
        <f t="shared" si="91"/>
        <v>0</v>
      </c>
      <c r="AF299" s="1102"/>
      <c r="AG299" s="99"/>
      <c r="AH299" s="677"/>
      <c r="AI299" s="677"/>
      <c r="AJ299" s="677"/>
      <c r="AK299" s="677"/>
    </row>
    <row r="300" spans="1:37" ht="37.5" x14ac:dyDescent="0.3">
      <c r="A300" s="149" t="s">
        <v>174</v>
      </c>
      <c r="B300" s="150">
        <f>B29+B36</f>
        <v>149.69999999999999</v>
      </c>
      <c r="C300" s="150">
        <f t="shared" ref="C300:E300" si="92">C29+C36</f>
        <v>149.69999999999999</v>
      </c>
      <c r="D300" s="150">
        <f t="shared" si="92"/>
        <v>149.69999999999999</v>
      </c>
      <c r="E300" s="150">
        <f t="shared" si="92"/>
        <v>149.69999999999999</v>
      </c>
      <c r="F300" s="150">
        <f t="shared" ref="F300" si="93">IFERROR(E300/B300*100,0)</f>
        <v>100</v>
      </c>
      <c r="G300" s="150">
        <f t="shared" ref="G300" si="94">IFERROR(E300/C300*100,0)</f>
        <v>100</v>
      </c>
      <c r="H300" s="150">
        <f t="shared" ref="H300:AE300" si="95">H29+H36</f>
        <v>0</v>
      </c>
      <c r="I300" s="150">
        <f t="shared" si="95"/>
        <v>0</v>
      </c>
      <c r="J300" s="150">
        <f t="shared" si="95"/>
        <v>0</v>
      </c>
      <c r="K300" s="150">
        <f t="shared" si="95"/>
        <v>0</v>
      </c>
      <c r="L300" s="150">
        <f t="shared" si="95"/>
        <v>0</v>
      </c>
      <c r="M300" s="150">
        <f t="shared" si="95"/>
        <v>0</v>
      </c>
      <c r="N300" s="150">
        <f t="shared" si="95"/>
        <v>0</v>
      </c>
      <c r="O300" s="150">
        <f t="shared" si="95"/>
        <v>0</v>
      </c>
      <c r="P300" s="150">
        <f t="shared" si="95"/>
        <v>0</v>
      </c>
      <c r="Q300" s="150">
        <f t="shared" si="95"/>
        <v>0</v>
      </c>
      <c r="R300" s="150">
        <f t="shared" si="95"/>
        <v>0</v>
      </c>
      <c r="S300" s="150">
        <f t="shared" si="95"/>
        <v>0</v>
      </c>
      <c r="T300" s="150">
        <f t="shared" si="95"/>
        <v>0</v>
      </c>
      <c r="U300" s="150">
        <f t="shared" si="95"/>
        <v>0</v>
      </c>
      <c r="V300" s="150">
        <f>V29+V36</f>
        <v>104.5</v>
      </c>
      <c r="W300" s="150">
        <f t="shared" si="95"/>
        <v>104.5</v>
      </c>
      <c r="X300" s="150">
        <f t="shared" si="95"/>
        <v>45.2</v>
      </c>
      <c r="Y300" s="150">
        <f t="shared" si="95"/>
        <v>45.2</v>
      </c>
      <c r="Z300" s="150">
        <f t="shared" si="95"/>
        <v>0</v>
      </c>
      <c r="AA300" s="150">
        <f t="shared" si="95"/>
        <v>0</v>
      </c>
      <c r="AB300" s="150">
        <f t="shared" si="95"/>
        <v>0</v>
      </c>
      <c r="AC300" s="150">
        <f t="shared" si="95"/>
        <v>0</v>
      </c>
      <c r="AD300" s="150">
        <f t="shared" si="95"/>
        <v>0</v>
      </c>
      <c r="AE300" s="150">
        <f t="shared" si="95"/>
        <v>0</v>
      </c>
      <c r="AF300" s="1101"/>
      <c r="AG300" s="99"/>
      <c r="AH300" s="677"/>
      <c r="AI300" s="677"/>
      <c r="AJ300" s="677"/>
      <c r="AK300" s="677"/>
    </row>
    <row r="301" spans="1:37" ht="37.5" x14ac:dyDescent="0.3">
      <c r="A301" s="144" t="s">
        <v>219</v>
      </c>
      <c r="B301" s="145">
        <f>B302+B303+B304+B305</f>
        <v>552265.30499999993</v>
      </c>
      <c r="C301" s="145">
        <f>C302+C303+C304+C305</f>
        <v>552265.30500000005</v>
      </c>
      <c r="D301" s="145">
        <f>D302+D303+D304+D305</f>
        <v>545137.81599999999</v>
      </c>
      <c r="E301" s="145">
        <f>E302+E303+E304+E305</f>
        <v>534996.17816000001</v>
      </c>
      <c r="F301" s="145">
        <f t="shared" si="78"/>
        <v>96.873037888918276</v>
      </c>
      <c r="G301" s="145">
        <f t="shared" si="76"/>
        <v>96.873037888918262</v>
      </c>
      <c r="H301" s="145">
        <f t="shared" ref="H301:AE301" si="96">H302+H303+H304+H305</f>
        <v>32995.696000000004</v>
      </c>
      <c r="I301" s="145">
        <f t="shared" si="96"/>
        <v>20436.099000000002</v>
      </c>
      <c r="J301" s="145">
        <f t="shared" si="96"/>
        <v>44896.996000000006</v>
      </c>
      <c r="K301" s="145">
        <f t="shared" si="96"/>
        <v>34681.095000000001</v>
      </c>
      <c r="L301" s="145">
        <f t="shared" si="96"/>
        <v>36227.868000000002</v>
      </c>
      <c r="M301" s="145">
        <f t="shared" si="96"/>
        <v>33003.966999999997</v>
      </c>
      <c r="N301" s="145">
        <f t="shared" si="96"/>
        <v>45619.654999999999</v>
      </c>
      <c r="O301" s="145">
        <f t="shared" si="96"/>
        <v>34123.976999999999</v>
      </c>
      <c r="P301" s="145">
        <f t="shared" si="96"/>
        <v>61221.613000000005</v>
      </c>
      <c r="Q301" s="145">
        <f t="shared" si="96"/>
        <v>38229.940159999998</v>
      </c>
      <c r="R301" s="145">
        <f t="shared" si="96"/>
        <v>46141.773000000001</v>
      </c>
      <c r="S301" s="145">
        <f t="shared" si="96"/>
        <v>60910.346000000005</v>
      </c>
      <c r="T301" s="145">
        <f t="shared" si="96"/>
        <v>49011.030000000006</v>
      </c>
      <c r="U301" s="145">
        <f t="shared" si="96"/>
        <v>61801.572999999997</v>
      </c>
      <c r="V301" s="145">
        <f>V302+V303+V304</f>
        <v>43512.480000000003</v>
      </c>
      <c r="W301" s="145">
        <f t="shared" si="96"/>
        <v>32699.608</v>
      </c>
      <c r="X301" s="145">
        <f t="shared" si="96"/>
        <v>36264.339999999997</v>
      </c>
      <c r="Y301" s="145">
        <f t="shared" si="96"/>
        <v>35754.223999999995</v>
      </c>
      <c r="Z301" s="145">
        <f t="shared" si="96"/>
        <v>49603.54</v>
      </c>
      <c r="AA301" s="145">
        <f t="shared" si="96"/>
        <v>55674.959000000003</v>
      </c>
      <c r="AB301" s="145">
        <f t="shared" si="96"/>
        <v>43892.240999999995</v>
      </c>
      <c r="AC301" s="145">
        <f t="shared" si="96"/>
        <v>35823.81500000001</v>
      </c>
      <c r="AD301" s="145">
        <f t="shared" si="96"/>
        <v>62878.072999999997</v>
      </c>
      <c r="AE301" s="145">
        <f t="shared" si="96"/>
        <v>91856.575000000012</v>
      </c>
      <c r="AF301" s="1101"/>
      <c r="AG301" s="99"/>
      <c r="AH301" s="677"/>
      <c r="AI301" s="677"/>
      <c r="AJ301" s="677"/>
      <c r="AK301" s="677"/>
    </row>
    <row r="302" spans="1:37" x14ac:dyDescent="0.3">
      <c r="A302" s="146" t="s">
        <v>169</v>
      </c>
      <c r="B302" s="147">
        <f>B40+B79+B115+B139+B160+B197+B235+B253+B265+B273</f>
        <v>105.21</v>
      </c>
      <c r="C302" s="147">
        <f t="shared" ref="C302:E302" si="97">C40+C79+C115+C139+C160+C197+C235+C253+C265+C273</f>
        <v>105.21</v>
      </c>
      <c r="D302" s="147">
        <f t="shared" si="97"/>
        <v>105.21</v>
      </c>
      <c r="E302" s="147">
        <f t="shared" si="97"/>
        <v>105.21</v>
      </c>
      <c r="F302" s="147">
        <f t="shared" si="78"/>
        <v>100</v>
      </c>
      <c r="G302" s="147">
        <f t="shared" si="76"/>
        <v>100</v>
      </c>
      <c r="H302" s="147">
        <f t="shared" ref="H302:AE302" si="98">H40+H79+H115+H139+H160+H197+H235+H253+H265+H273</f>
        <v>0</v>
      </c>
      <c r="I302" s="147">
        <f t="shared" si="98"/>
        <v>0</v>
      </c>
      <c r="J302" s="147">
        <f t="shared" si="98"/>
        <v>0</v>
      </c>
      <c r="K302" s="147">
        <f t="shared" si="98"/>
        <v>0</v>
      </c>
      <c r="L302" s="147">
        <f t="shared" si="98"/>
        <v>0</v>
      </c>
      <c r="M302" s="147">
        <f t="shared" si="98"/>
        <v>0</v>
      </c>
      <c r="N302" s="147">
        <f t="shared" si="98"/>
        <v>0</v>
      </c>
      <c r="O302" s="147">
        <f t="shared" si="98"/>
        <v>0</v>
      </c>
      <c r="P302" s="147">
        <f t="shared" si="98"/>
        <v>0</v>
      </c>
      <c r="Q302" s="147">
        <f t="shared" si="98"/>
        <v>0</v>
      </c>
      <c r="R302" s="147">
        <f t="shared" si="98"/>
        <v>105.21</v>
      </c>
      <c r="S302" s="147">
        <f t="shared" si="98"/>
        <v>105.21</v>
      </c>
      <c r="T302" s="147">
        <f t="shared" si="98"/>
        <v>0</v>
      </c>
      <c r="U302" s="147">
        <f t="shared" si="98"/>
        <v>0</v>
      </c>
      <c r="V302" s="147">
        <f t="shared" si="98"/>
        <v>0</v>
      </c>
      <c r="W302" s="147">
        <f t="shared" si="98"/>
        <v>0</v>
      </c>
      <c r="X302" s="147">
        <f t="shared" si="98"/>
        <v>0</v>
      </c>
      <c r="Y302" s="147">
        <f t="shared" si="98"/>
        <v>0</v>
      </c>
      <c r="Z302" s="147">
        <f t="shared" si="98"/>
        <v>0</v>
      </c>
      <c r="AA302" s="147">
        <f t="shared" si="98"/>
        <v>0</v>
      </c>
      <c r="AB302" s="147">
        <f t="shared" si="98"/>
        <v>0</v>
      </c>
      <c r="AC302" s="147">
        <f t="shared" si="98"/>
        <v>0</v>
      </c>
      <c r="AD302" s="147">
        <f t="shared" si="98"/>
        <v>0</v>
      </c>
      <c r="AE302" s="147">
        <f t="shared" si="98"/>
        <v>0</v>
      </c>
      <c r="AF302" s="1102"/>
      <c r="AG302" s="99"/>
      <c r="AH302" s="677"/>
      <c r="AI302" s="677"/>
      <c r="AJ302" s="677"/>
      <c r="AK302" s="677"/>
    </row>
    <row r="303" spans="1:37" x14ac:dyDescent="0.3">
      <c r="A303" s="146" t="s">
        <v>32</v>
      </c>
      <c r="B303" s="147">
        <f>B41++B80+B116+B140+B161+B198+B236+B254+B266+B274</f>
        <v>821.68000000000006</v>
      </c>
      <c r="C303" s="147">
        <f t="shared" ref="C303:E303" si="99">C41++C80+C116+C140+C161+C198+C236+C254+C266+C274</f>
        <v>821.68000000000006</v>
      </c>
      <c r="D303" s="147">
        <f t="shared" si="99"/>
        <v>821.68000000000006</v>
      </c>
      <c r="E303" s="147">
        <f t="shared" si="99"/>
        <v>821.68000000000006</v>
      </c>
      <c r="F303" s="147">
        <f t="shared" si="78"/>
        <v>100</v>
      </c>
      <c r="G303" s="147">
        <f t="shared" si="76"/>
        <v>100</v>
      </c>
      <c r="H303" s="147">
        <f t="shared" ref="H303:AE303" si="100">H41++H80+H116+H140+H161+H198+H236+H254+H266+H274</f>
        <v>0</v>
      </c>
      <c r="I303" s="147">
        <f t="shared" si="100"/>
        <v>0</v>
      </c>
      <c r="J303" s="147">
        <f t="shared" si="100"/>
        <v>0</v>
      </c>
      <c r="K303" s="147">
        <f t="shared" si="100"/>
        <v>0</v>
      </c>
      <c r="L303" s="147">
        <f t="shared" si="100"/>
        <v>10.8</v>
      </c>
      <c r="M303" s="147">
        <f t="shared" si="100"/>
        <v>10.8</v>
      </c>
      <c r="N303" s="147">
        <f t="shared" si="100"/>
        <v>19.899999999999999</v>
      </c>
      <c r="O303" s="147">
        <f t="shared" si="100"/>
        <v>19.899999999999999</v>
      </c>
      <c r="P303" s="147">
        <f t="shared" si="100"/>
        <v>346.56</v>
      </c>
      <c r="Q303" s="147">
        <f t="shared" si="100"/>
        <v>346.56</v>
      </c>
      <c r="R303" s="147">
        <f t="shared" si="100"/>
        <v>151.39000000000001</v>
      </c>
      <c r="S303" s="147">
        <f t="shared" si="100"/>
        <v>151.39000000000001</v>
      </c>
      <c r="T303" s="147">
        <f t="shared" si="100"/>
        <v>22.8</v>
      </c>
      <c r="U303" s="147">
        <f t="shared" si="100"/>
        <v>22.8</v>
      </c>
      <c r="V303" s="147">
        <f t="shared" si="100"/>
        <v>22.8</v>
      </c>
      <c r="W303" s="147">
        <f t="shared" si="100"/>
        <v>22.8</v>
      </c>
      <c r="X303" s="147">
        <f t="shared" si="100"/>
        <v>168.2</v>
      </c>
      <c r="Y303" s="147">
        <f t="shared" si="100"/>
        <v>168.2</v>
      </c>
      <c r="Z303" s="147">
        <f t="shared" si="100"/>
        <v>22.8</v>
      </c>
      <c r="AA303" s="147">
        <f t="shared" si="100"/>
        <v>22.8</v>
      </c>
      <c r="AB303" s="147">
        <f t="shared" si="100"/>
        <v>22.8</v>
      </c>
      <c r="AC303" s="147">
        <f t="shared" si="100"/>
        <v>22.8</v>
      </c>
      <c r="AD303" s="147">
        <f t="shared" si="100"/>
        <v>33.629999999999995</v>
      </c>
      <c r="AE303" s="147">
        <f t="shared" si="100"/>
        <v>33.629999999999995</v>
      </c>
      <c r="AF303" s="1102"/>
      <c r="AG303" s="99"/>
      <c r="AH303" s="677"/>
      <c r="AI303" s="677"/>
      <c r="AJ303" s="677"/>
      <c r="AK303" s="677"/>
    </row>
    <row r="304" spans="1:37" x14ac:dyDescent="0.3">
      <c r="A304" s="146" t="s">
        <v>33</v>
      </c>
      <c r="B304" s="147">
        <f>B42+B81+B117+B141+B162+B199+B237+B255+B267+B275</f>
        <v>544719.13499999989</v>
      </c>
      <c r="C304" s="147">
        <f>C42+C81+C117+C141+C162+C199+C237+C255+C267+C275</f>
        <v>544719.13500000001</v>
      </c>
      <c r="D304" s="147">
        <f>D42+D81+D117+D141+D162+D199+D237+D255+D267+D275</f>
        <v>537591.64599999995</v>
      </c>
      <c r="E304" s="147">
        <f>E42+E81+E117+E141+E162+E199+E237+E255+E267+E275</f>
        <v>527450.00815999997</v>
      </c>
      <c r="F304" s="147">
        <f t="shared" si="78"/>
        <v>96.829719073481797</v>
      </c>
      <c r="G304" s="147">
        <f t="shared" si="76"/>
        <v>96.829719073481783</v>
      </c>
      <c r="H304" s="147">
        <f>H42+H81+H117+H141+H162+H199+H237+H255+H267+H275</f>
        <v>32995.696000000004</v>
      </c>
      <c r="I304" s="147">
        <f t="shared" ref="I304:AE304" si="101">I42+I81+I117+I141+I162+I199+I237+I255+I267+I275</f>
        <v>20436.099000000002</v>
      </c>
      <c r="J304" s="147">
        <f t="shared" si="101"/>
        <v>44896.996000000006</v>
      </c>
      <c r="K304" s="147">
        <f t="shared" si="101"/>
        <v>34681.095000000001</v>
      </c>
      <c r="L304" s="147">
        <f t="shared" si="101"/>
        <v>36217.067999999999</v>
      </c>
      <c r="M304" s="147">
        <f t="shared" si="101"/>
        <v>32993.166999999994</v>
      </c>
      <c r="N304" s="147">
        <f t="shared" si="101"/>
        <v>45599.754999999997</v>
      </c>
      <c r="O304" s="147">
        <f t="shared" si="101"/>
        <v>34104.076999999997</v>
      </c>
      <c r="P304" s="147">
        <f t="shared" si="101"/>
        <v>60875.053000000007</v>
      </c>
      <c r="Q304" s="147">
        <f t="shared" si="101"/>
        <v>37883.380160000001</v>
      </c>
      <c r="R304" s="147">
        <f t="shared" si="101"/>
        <v>45885.173000000003</v>
      </c>
      <c r="S304" s="147">
        <f t="shared" si="101"/>
        <v>60653.746000000006</v>
      </c>
      <c r="T304" s="147">
        <f t="shared" si="101"/>
        <v>48988.23</v>
      </c>
      <c r="U304" s="147">
        <f t="shared" si="101"/>
        <v>61778.772999999994</v>
      </c>
      <c r="V304" s="147">
        <f t="shared" si="101"/>
        <v>43489.68</v>
      </c>
      <c r="W304" s="147">
        <f t="shared" si="101"/>
        <v>32676.808000000001</v>
      </c>
      <c r="X304" s="147">
        <f t="shared" si="101"/>
        <v>35990.86</v>
      </c>
      <c r="Y304" s="147">
        <f t="shared" si="101"/>
        <v>35586.023999999998</v>
      </c>
      <c r="Z304" s="147">
        <f t="shared" si="101"/>
        <v>49580.74</v>
      </c>
      <c r="AA304" s="147">
        <f t="shared" si="101"/>
        <v>55652.159</v>
      </c>
      <c r="AB304" s="147">
        <f t="shared" si="101"/>
        <v>39955.440999999992</v>
      </c>
      <c r="AC304" s="147">
        <f t="shared" si="101"/>
        <v>35801.015000000007</v>
      </c>
      <c r="AD304" s="147">
        <f t="shared" si="101"/>
        <v>60244.442999999999</v>
      </c>
      <c r="AE304" s="147">
        <f t="shared" si="101"/>
        <v>85203.665000000008</v>
      </c>
      <c r="AF304" s="1102"/>
      <c r="AG304" s="99"/>
      <c r="AH304" s="677"/>
      <c r="AI304" s="677"/>
      <c r="AJ304" s="677"/>
      <c r="AK304" s="677"/>
    </row>
    <row r="305" spans="1:37" x14ac:dyDescent="0.3">
      <c r="A305" s="148" t="s">
        <v>170</v>
      </c>
      <c r="B305" s="147">
        <f>B43+B82+B118+B142+B163+B200+B238+B256+B268+B276</f>
        <v>6619.28</v>
      </c>
      <c r="C305" s="147">
        <f t="shared" ref="C305:E305" si="102">C43+C82+C118+C142+C163+C200+C238+C256+C268+C276</f>
        <v>6619.28</v>
      </c>
      <c r="D305" s="147">
        <f t="shared" si="102"/>
        <v>6619.28</v>
      </c>
      <c r="E305" s="147">
        <f t="shared" si="102"/>
        <v>6619.28</v>
      </c>
      <c r="F305" s="147">
        <f t="shared" si="78"/>
        <v>100</v>
      </c>
      <c r="G305" s="147">
        <f>IFERROR(E305/C305*100,0)</f>
        <v>100</v>
      </c>
      <c r="H305" s="147">
        <f t="shared" ref="H305:AE305" si="103">H43+H82+H118+H142+H163+H200+H238+H256+H268+H276</f>
        <v>0</v>
      </c>
      <c r="I305" s="147">
        <f t="shared" si="103"/>
        <v>0</v>
      </c>
      <c r="J305" s="147">
        <f t="shared" si="103"/>
        <v>0</v>
      </c>
      <c r="K305" s="147">
        <f t="shared" si="103"/>
        <v>0</v>
      </c>
      <c r="L305" s="147">
        <f t="shared" si="103"/>
        <v>0</v>
      </c>
      <c r="M305" s="147">
        <f t="shared" si="103"/>
        <v>0</v>
      </c>
      <c r="N305" s="147">
        <f t="shared" si="103"/>
        <v>0</v>
      </c>
      <c r="O305" s="147">
        <f t="shared" si="103"/>
        <v>0</v>
      </c>
      <c r="P305" s="147">
        <f t="shared" si="103"/>
        <v>0</v>
      </c>
      <c r="Q305" s="147">
        <f t="shared" si="103"/>
        <v>0</v>
      </c>
      <c r="R305" s="147">
        <f t="shared" si="103"/>
        <v>0</v>
      </c>
      <c r="S305" s="147">
        <f t="shared" si="103"/>
        <v>0</v>
      </c>
      <c r="T305" s="147">
        <f t="shared" si="103"/>
        <v>0</v>
      </c>
      <c r="U305" s="147">
        <f t="shared" si="103"/>
        <v>0</v>
      </c>
      <c r="V305" s="147">
        <f t="shared" si="103"/>
        <v>0</v>
      </c>
      <c r="W305" s="147">
        <f t="shared" si="103"/>
        <v>0</v>
      </c>
      <c r="X305" s="147">
        <f t="shared" si="103"/>
        <v>105.28</v>
      </c>
      <c r="Y305" s="147">
        <f t="shared" si="103"/>
        <v>0</v>
      </c>
      <c r="Z305" s="147">
        <f t="shared" si="103"/>
        <v>0</v>
      </c>
      <c r="AA305" s="147">
        <f t="shared" si="103"/>
        <v>0</v>
      </c>
      <c r="AB305" s="147">
        <f t="shared" si="103"/>
        <v>3914</v>
      </c>
      <c r="AC305" s="147">
        <f t="shared" si="103"/>
        <v>0</v>
      </c>
      <c r="AD305" s="147">
        <f t="shared" si="103"/>
        <v>2600</v>
      </c>
      <c r="AE305" s="147">
        <f t="shared" si="103"/>
        <v>6619.28</v>
      </c>
      <c r="AF305" s="1102"/>
      <c r="AG305" s="99"/>
      <c r="AH305" s="677"/>
      <c r="AI305" s="677"/>
      <c r="AJ305" s="677"/>
      <c r="AK305" s="677"/>
    </row>
    <row r="306" spans="1:37" ht="37.5" x14ac:dyDescent="0.3">
      <c r="A306" s="149" t="s">
        <v>174</v>
      </c>
      <c r="B306" s="1121">
        <f>B49+B68+B76</f>
        <v>110.4</v>
      </c>
      <c r="C306" s="1121">
        <f t="shared" ref="C306:E306" si="104">C49+C68+C76</f>
        <v>110.4</v>
      </c>
      <c r="D306" s="1121">
        <f t="shared" si="104"/>
        <v>110.4</v>
      </c>
      <c r="E306" s="1121">
        <f t="shared" si="104"/>
        <v>110.4</v>
      </c>
      <c r="F306" s="1121">
        <f t="shared" si="78"/>
        <v>100</v>
      </c>
      <c r="G306" s="1121">
        <f t="shared" si="76"/>
        <v>100</v>
      </c>
      <c r="H306" s="1121">
        <f t="shared" ref="H306:AE306" si="105">H49+H68+H76</f>
        <v>0</v>
      </c>
      <c r="I306" s="1121">
        <f t="shared" si="105"/>
        <v>0</v>
      </c>
      <c r="J306" s="1121">
        <f t="shared" si="105"/>
        <v>11.65</v>
      </c>
      <c r="K306" s="1121">
        <f t="shared" si="105"/>
        <v>11.65</v>
      </c>
      <c r="L306" s="1121">
        <f t="shared" si="105"/>
        <v>10.25</v>
      </c>
      <c r="M306" s="1121">
        <f t="shared" si="105"/>
        <v>10.25</v>
      </c>
      <c r="N306" s="1121">
        <f t="shared" si="105"/>
        <v>4.45</v>
      </c>
      <c r="O306" s="1121">
        <f t="shared" si="105"/>
        <v>4.45</v>
      </c>
      <c r="P306" s="1121">
        <f t="shared" si="105"/>
        <v>18.48</v>
      </c>
      <c r="Q306" s="1121">
        <f t="shared" si="105"/>
        <v>18.48</v>
      </c>
      <c r="R306" s="1121">
        <f t="shared" si="105"/>
        <v>42.85</v>
      </c>
      <c r="S306" s="1121">
        <f t="shared" si="105"/>
        <v>42.85</v>
      </c>
      <c r="T306" s="1121">
        <f t="shared" si="105"/>
        <v>1.5499999999999998</v>
      </c>
      <c r="U306" s="1121">
        <f t="shared" si="105"/>
        <v>1.5499999999999998</v>
      </c>
      <c r="V306" s="1121">
        <f t="shared" si="105"/>
        <v>1.5499999999999998</v>
      </c>
      <c r="W306" s="1121">
        <f t="shared" si="105"/>
        <v>1.5499999999999998</v>
      </c>
      <c r="X306" s="1121">
        <f t="shared" si="105"/>
        <v>14.15</v>
      </c>
      <c r="Y306" s="1121">
        <f t="shared" si="105"/>
        <v>14.15</v>
      </c>
      <c r="Z306" s="1121">
        <f t="shared" si="105"/>
        <v>1.5499999999999998</v>
      </c>
      <c r="AA306" s="1121">
        <f t="shared" si="105"/>
        <v>1.5499999999999998</v>
      </c>
      <c r="AB306" s="1121">
        <f t="shared" si="105"/>
        <v>1.5499999999999998</v>
      </c>
      <c r="AC306" s="1121">
        <f t="shared" si="105"/>
        <v>1.5499999999999998</v>
      </c>
      <c r="AD306" s="1121">
        <f t="shared" si="105"/>
        <v>2.37</v>
      </c>
      <c r="AE306" s="1121">
        <f t="shared" si="105"/>
        <v>2.37</v>
      </c>
      <c r="AF306" s="1101"/>
      <c r="AG306" s="99"/>
      <c r="AH306" s="677"/>
      <c r="AI306" s="677"/>
      <c r="AJ306" s="677"/>
      <c r="AK306" s="677"/>
    </row>
    <row r="307" spans="1:37" x14ac:dyDescent="0.3">
      <c r="B307" s="151"/>
      <c r="C307" s="151"/>
      <c r="D307" s="151"/>
      <c r="E307" s="151"/>
      <c r="F307" s="151"/>
      <c r="G307" s="151"/>
      <c r="H307" s="151"/>
      <c r="I307" s="151"/>
      <c r="J307" s="151"/>
      <c r="K307" s="151"/>
      <c r="L307" s="151"/>
      <c r="M307" s="151"/>
      <c r="N307" s="151"/>
      <c r="O307" s="151"/>
      <c r="P307" s="151"/>
      <c r="Q307" s="151"/>
      <c r="R307" s="151"/>
      <c r="S307" s="151"/>
      <c r="T307" s="151"/>
      <c r="U307" s="151"/>
      <c r="V307" s="151"/>
      <c r="W307" s="151"/>
      <c r="X307" s="151"/>
      <c r="Y307" s="151"/>
      <c r="Z307" s="151"/>
      <c r="AA307" s="151"/>
      <c r="AB307" s="151"/>
      <c r="AC307" s="151"/>
      <c r="AD307" s="151"/>
      <c r="AE307" s="151"/>
      <c r="AG307" s="99"/>
    </row>
    <row r="308" spans="1:37" x14ac:dyDescent="0.3">
      <c r="A308" s="152"/>
      <c r="B308" s="151"/>
      <c r="C308" s="151"/>
      <c r="D308" s="151"/>
      <c r="E308" s="151"/>
      <c r="F308" s="151"/>
      <c r="G308" s="151"/>
      <c r="H308" s="151"/>
      <c r="I308" s="151"/>
      <c r="J308" s="151"/>
      <c r="K308" s="151"/>
      <c r="L308" s="151"/>
      <c r="M308" s="151"/>
      <c r="N308" s="151"/>
      <c r="O308" s="151"/>
      <c r="P308" s="151"/>
      <c r="Q308" s="151"/>
      <c r="R308" s="151"/>
      <c r="S308" s="151"/>
      <c r="T308" s="151"/>
      <c r="U308" s="151"/>
      <c r="V308" s="151"/>
      <c r="W308" s="151"/>
      <c r="X308" s="151"/>
      <c r="Y308" s="151"/>
      <c r="Z308" s="151"/>
      <c r="AA308" s="151"/>
      <c r="AB308" s="151"/>
      <c r="AC308" s="151"/>
      <c r="AD308" s="151"/>
      <c r="AE308" s="151"/>
      <c r="AG308" s="99"/>
    </row>
    <row r="309" spans="1:37" x14ac:dyDescent="0.3">
      <c r="A309" s="152"/>
      <c r="B309" s="151"/>
      <c r="C309" s="151"/>
      <c r="D309" s="151"/>
      <c r="E309" s="151"/>
      <c r="F309" s="151"/>
      <c r="G309" s="151"/>
      <c r="H309" s="151"/>
      <c r="I309" s="151"/>
      <c r="J309" s="151"/>
      <c r="K309" s="151"/>
      <c r="L309" s="151"/>
      <c r="M309" s="151"/>
      <c r="N309" s="151"/>
      <c r="O309" s="151"/>
      <c r="P309" s="151"/>
      <c r="Q309" s="151"/>
      <c r="R309" s="151"/>
      <c r="S309" s="151"/>
      <c r="T309" s="151"/>
      <c r="U309" s="151"/>
      <c r="V309" s="151"/>
      <c r="W309" s="151"/>
      <c r="X309" s="151"/>
      <c r="Y309" s="151"/>
      <c r="Z309" s="151"/>
      <c r="AA309" s="151"/>
      <c r="AB309" s="151"/>
      <c r="AC309" s="151"/>
      <c r="AD309" s="151"/>
      <c r="AE309" s="151"/>
      <c r="AG309" s="99"/>
    </row>
    <row r="310" spans="1:37" x14ac:dyDescent="0.3">
      <c r="A310" s="152"/>
      <c r="B310" s="151"/>
      <c r="C310" s="151"/>
      <c r="D310" s="151"/>
      <c r="E310" s="151"/>
      <c r="F310" s="151"/>
      <c r="G310" s="151"/>
      <c r="H310" s="151"/>
      <c r="I310" s="151"/>
      <c r="J310" s="151"/>
      <c r="K310" s="151"/>
      <c r="L310" s="151"/>
      <c r="M310" s="151"/>
      <c r="N310" s="151"/>
      <c r="O310" s="151"/>
      <c r="P310" s="151"/>
      <c r="Q310" s="151"/>
      <c r="R310" s="151"/>
      <c r="S310" s="151"/>
      <c r="T310" s="151"/>
      <c r="U310" s="151"/>
      <c r="V310" s="151"/>
      <c r="W310" s="151"/>
      <c r="X310" s="151"/>
      <c r="Y310" s="151"/>
      <c r="Z310" s="151"/>
      <c r="AA310" s="151"/>
      <c r="AB310" s="151"/>
      <c r="AC310" s="151"/>
      <c r="AD310" s="151"/>
      <c r="AE310" s="151"/>
      <c r="AG310" s="99"/>
    </row>
    <row r="311" spans="1:37" x14ac:dyDescent="0.3">
      <c r="A311" s="152"/>
      <c r="B311" s="151"/>
      <c r="C311" s="151"/>
      <c r="D311" s="151"/>
      <c r="E311" s="151"/>
      <c r="F311" s="151"/>
      <c r="G311" s="151"/>
      <c r="H311" s="151"/>
      <c r="I311" s="151"/>
      <c r="J311" s="151"/>
      <c r="K311" s="151"/>
      <c r="L311" s="151"/>
      <c r="M311" s="151"/>
      <c r="N311" s="151"/>
      <c r="O311" s="151"/>
      <c r="P311" s="151"/>
      <c r="Q311" s="151"/>
      <c r="R311" s="151"/>
      <c r="S311" s="151"/>
      <c r="T311" s="151"/>
      <c r="U311" s="151"/>
      <c r="V311" s="151"/>
      <c r="W311" s="151"/>
      <c r="X311" s="151"/>
      <c r="Y311" s="151"/>
      <c r="Z311" s="151"/>
      <c r="AA311" s="151"/>
      <c r="AB311" s="151"/>
      <c r="AC311" s="151"/>
      <c r="AD311" s="151"/>
      <c r="AE311" s="151"/>
      <c r="AG311" s="99"/>
    </row>
    <row r="314" spans="1:37" x14ac:dyDescent="0.3">
      <c r="B314" s="151"/>
    </row>
    <row r="316" spans="1:37" x14ac:dyDescent="0.3">
      <c r="B316" s="151"/>
      <c r="C316" s="151"/>
      <c r="D316" s="151"/>
      <c r="E316" s="151"/>
      <c r="F316" s="151"/>
      <c r="G316" s="151"/>
      <c r="H316" s="151"/>
      <c r="I316" s="151"/>
      <c r="J316" s="151"/>
      <c r="K316" s="151"/>
      <c r="L316" s="151"/>
      <c r="M316" s="151"/>
      <c r="N316" s="151"/>
      <c r="O316" s="151"/>
      <c r="P316" s="151"/>
      <c r="Q316" s="151"/>
      <c r="R316" s="151"/>
      <c r="S316" s="151"/>
      <c r="T316" s="151"/>
      <c r="U316" s="151"/>
      <c r="V316" s="151"/>
      <c r="W316" s="151"/>
      <c r="X316" s="151"/>
      <c r="Y316" s="151"/>
      <c r="Z316" s="151"/>
      <c r="AA316" s="151"/>
      <c r="AB316" s="151"/>
      <c r="AC316" s="151"/>
      <c r="AD316" s="151"/>
      <c r="AE316" s="151"/>
    </row>
    <row r="317" spans="1:37" x14ac:dyDescent="0.3">
      <c r="B317" s="151"/>
      <c r="C317" s="151"/>
      <c r="D317" s="151"/>
      <c r="E317" s="151"/>
      <c r="F317" s="151"/>
      <c r="G317" s="151"/>
      <c r="H317" s="151"/>
      <c r="I317" s="151"/>
      <c r="J317" s="151"/>
      <c r="K317" s="151"/>
      <c r="L317" s="151"/>
      <c r="M317" s="151"/>
      <c r="N317" s="151"/>
      <c r="O317" s="151"/>
      <c r="P317" s="151"/>
      <c r="Q317" s="151"/>
      <c r="R317" s="151"/>
      <c r="S317" s="151"/>
      <c r="T317" s="151"/>
      <c r="U317" s="151"/>
      <c r="V317" s="151"/>
      <c r="W317" s="151"/>
      <c r="X317" s="151"/>
      <c r="Y317" s="151"/>
      <c r="Z317" s="151"/>
      <c r="AA317" s="151"/>
      <c r="AB317" s="151"/>
      <c r="AC317" s="151"/>
      <c r="AD317" s="151"/>
      <c r="AE317" s="151"/>
    </row>
    <row r="318" spans="1:37" x14ac:dyDescent="0.3">
      <c r="B318" s="151"/>
      <c r="C318" s="151"/>
      <c r="D318" s="151"/>
      <c r="E318" s="151"/>
      <c r="F318" s="151"/>
      <c r="G318" s="151"/>
      <c r="H318" s="151"/>
      <c r="I318" s="151"/>
      <c r="J318" s="151"/>
      <c r="K318" s="151"/>
      <c r="L318" s="151"/>
      <c r="M318" s="151"/>
      <c r="N318" s="151"/>
      <c r="O318" s="151"/>
      <c r="P318" s="151"/>
      <c r="Q318" s="151"/>
      <c r="R318" s="151"/>
      <c r="S318" s="151"/>
      <c r="T318" s="151"/>
      <c r="U318" s="151"/>
      <c r="V318" s="151"/>
      <c r="W318" s="151"/>
      <c r="X318" s="151"/>
      <c r="Y318" s="151"/>
      <c r="Z318" s="151"/>
      <c r="AA318" s="151"/>
      <c r="AB318" s="151"/>
      <c r="AC318" s="151"/>
      <c r="AD318" s="151"/>
      <c r="AE318" s="151"/>
    </row>
    <row r="319" spans="1:37" x14ac:dyDescent="0.3">
      <c r="B319" s="151"/>
      <c r="C319" s="151"/>
      <c r="D319" s="151"/>
      <c r="E319" s="151"/>
      <c r="F319" s="151"/>
      <c r="G319" s="151"/>
      <c r="H319" s="151"/>
      <c r="I319" s="151"/>
      <c r="J319" s="151"/>
      <c r="K319" s="151"/>
      <c r="L319" s="151"/>
      <c r="M319" s="151"/>
      <c r="N319" s="151"/>
      <c r="O319" s="151"/>
      <c r="P319" s="151"/>
      <c r="Q319" s="151"/>
      <c r="R319" s="151"/>
      <c r="S319" s="151"/>
      <c r="T319" s="151"/>
      <c r="U319" s="151"/>
      <c r="V319" s="151"/>
      <c r="W319" s="151"/>
      <c r="X319" s="151"/>
      <c r="Y319" s="151"/>
      <c r="Z319" s="151"/>
      <c r="AA319" s="151"/>
      <c r="AB319" s="151"/>
      <c r="AC319" s="151"/>
      <c r="AD319" s="151"/>
      <c r="AE319" s="151"/>
    </row>
  </sheetData>
  <customSheetViews>
    <customSheetView guid="{7C130984-112A-4861-AA43-E2940708E3DC}" scale="60">
      <pane xSplit="7" ySplit="10" topLeftCell="H248" activePane="bottomRight" state="frozen"/>
      <selection pane="bottomRight" activeCell="E292" sqref="E292"/>
      <pageMargins left="0.7" right="0.7" top="0.75" bottom="0.75" header="0.3" footer="0.3"/>
      <pageSetup paperSize="9" scale="50" orientation="landscape" r:id="rId1"/>
    </customSheetView>
    <customSheetView guid="{533DC55B-6AD4-4674-9488-685EF2039F3E}" scale="60">
      <pane xSplit="7" ySplit="10" topLeftCell="H11" activePane="bottomRight" state="frozen"/>
      <selection pane="bottomRight" activeCell="F314" sqref="F314"/>
      <pageMargins left="0.7" right="0.7" top="0.75" bottom="0.75" header="0.3" footer="0.3"/>
      <pageSetup paperSize="9" scale="50" orientation="landscape" r:id="rId2"/>
    </customSheetView>
    <customSheetView guid="{09C3E205-981E-4A4E-BE89-8B7044192060}" scale="60">
      <pane xSplit="2" ySplit="11" topLeftCell="C15" activePane="bottomRight" state="frozen"/>
      <selection pane="bottomRight" activeCell="AA274" sqref="AA274"/>
      <pageMargins left="0.7" right="0.7" top="0.75" bottom="0.75" header="0.3" footer="0.3"/>
      <pageSetup paperSize="9" scale="50" orientation="landscape" r:id="rId3"/>
    </customSheetView>
    <customSheetView guid="{B1BF08D1-D416-4B47-ADD0-4F59132DC9E8}" scale="60">
      <pane xSplit="2" ySplit="11" topLeftCell="C15" activePane="bottomRight" state="frozen"/>
      <selection pane="bottomRight" activeCell="AA274" sqref="AA274"/>
      <pageMargins left="0.7" right="0.7" top="0.75" bottom="0.75" header="0.3" footer="0.3"/>
      <pageSetup paperSize="9" scale="50" orientation="landscape" r:id="rId4"/>
    </customSheetView>
    <customSheetView guid="{4F41B9CC-959D-442C-80B0-1F0DB2C76D27}" scale="60">
      <pane xSplit="2" ySplit="11" topLeftCell="C267" activePane="bottomRight" state="frozen"/>
      <selection pane="bottomRight" activeCell="AA274" sqref="AA274"/>
      <pageMargins left="0.7" right="0.7" top="0.75" bottom="0.75" header="0.3" footer="0.3"/>
      <pageSetup paperSize="9" scale="50" orientation="landscape" r:id="rId5"/>
    </customSheetView>
    <customSheetView guid="{84867370-1F3E-4368-AF79-FBCE46FFFE92}" scale="60">
      <pane xSplit="2" ySplit="11" topLeftCell="H267" activePane="bottomRight" state="frozen"/>
      <selection pane="bottomRight" activeCell="AA274" sqref="AA274"/>
      <pageMargins left="0.7" right="0.7" top="0.75" bottom="0.75" header="0.3" footer="0.3"/>
      <pageSetup paperSize="9" scale="50" orientation="landscape" r:id="rId6"/>
    </customSheetView>
    <customSheetView guid="{E508E171-4ED9-4B07-84DF-DA28C60E1969}" scale="60">
      <pane xSplit="2" ySplit="11" topLeftCell="H267" activePane="bottomRight" state="frozen"/>
      <selection pane="bottomRight" activeCell="AA274" sqref="AA274"/>
      <pageMargins left="0.7" right="0.7" top="0.75" bottom="0.75" header="0.3" footer="0.3"/>
      <pageSetup paperSize="9" scale="50" orientation="landscape" r:id="rId7"/>
    </customSheetView>
    <customSheetView guid="{602C8EDB-B9EF-4C85-B0D5-0558C3A0ABAB}" scale="60">
      <pane xSplit="2" ySplit="11" topLeftCell="H228" activePane="bottomRight" state="frozen"/>
      <selection pane="bottomRight" activeCell="AA274" sqref="AA274"/>
      <pageMargins left="0.7" right="0.7" top="0.75" bottom="0.75" header="0.3" footer="0.3"/>
      <pageSetup paperSize="9" scale="50" orientation="landscape" r:id="rId8"/>
    </customSheetView>
    <customSheetView guid="{84B3377A-1CDD-4881-99FA-112F8B470D6F}" scale="60">
      <pane xSplit="2" ySplit="11" topLeftCell="H228" activePane="bottomRight" state="frozen"/>
      <selection pane="bottomRight" activeCell="AA274" sqref="AA274"/>
      <pageMargins left="0.7" right="0.7" top="0.75" bottom="0.75" header="0.3" footer="0.3"/>
      <pageSetup paperSize="9" scale="50" orientation="landscape" r:id="rId9"/>
    </customSheetView>
    <customSheetView guid="{87218168-6C8E-4D5B-A5E5-DCCC26803AA3}" scale="60">
      <pane xSplit="2" ySplit="11" topLeftCell="H228" activePane="bottomRight" state="frozen"/>
      <selection pane="bottomRight" activeCell="AA274" sqref="AA274"/>
      <pageMargins left="0.7" right="0.7" top="0.75" bottom="0.75" header="0.3" footer="0.3"/>
      <pageSetup paperSize="9" scale="50" orientation="landscape" r:id="rId10"/>
    </customSheetView>
    <customSheetView guid="{6A602CB8-B24C-4ED4-B378-B27354BE0A1A}" scale="60">
      <pane xSplit="2" ySplit="11" topLeftCell="H228" activePane="bottomRight" state="frozen"/>
      <selection pane="bottomRight" activeCell="AA274" sqref="AA274"/>
      <pageMargins left="0.7" right="0.7" top="0.75" bottom="0.75" header="0.3" footer="0.3"/>
      <pageSetup paperSize="9" scale="50" orientation="landscape" r:id="rId11"/>
    </customSheetView>
    <customSheetView guid="{D01FA037-9AEC-4167-ADB8-2F327C01ECE6}" scale="60">
      <pane xSplit="2" ySplit="11" topLeftCell="C120" activePane="bottomRight" state="frozen"/>
      <selection pane="bottomRight" activeCell="AF164" sqref="AF164"/>
      <pageMargins left="0.7" right="0.7" top="0.75" bottom="0.75" header="0.3" footer="0.3"/>
      <pageSetup paperSize="9" scale="50" orientation="landscape" r:id="rId12"/>
    </customSheetView>
    <customSheetView guid="{74870EE6-26B9-40F7-9DC9-260EF16D8959}" scale="60">
      <pane xSplit="2" ySplit="11" topLeftCell="C120" activePane="bottomRight" state="frozen"/>
      <selection pane="bottomRight" activeCell="AF164" sqref="AF164"/>
      <pageMargins left="0.7" right="0.7" top="0.75" bottom="0.75" header="0.3" footer="0.3"/>
      <pageSetup paperSize="9" scale="50" orientation="landscape" r:id="rId13"/>
    </customSheetView>
    <customSheetView guid="{7226EA2B-7866-416F-9240-410CC1BF0336}" scale="60">
      <pane xSplit="2" ySplit="11" topLeftCell="C120" activePane="bottomRight" state="frozen"/>
      <selection pane="bottomRight" activeCell="AF164" sqref="AF164"/>
      <pageMargins left="0.7" right="0.7" top="0.75" bottom="0.75" header="0.3" footer="0.3"/>
      <pageSetup paperSize="9" scale="50" orientation="landscape" r:id="rId14"/>
    </customSheetView>
    <customSheetView guid="{F8CAB90F-9980-4EC7-B30B-1637EB515304}" scale="60">
      <pane xSplit="2" ySplit="11" topLeftCell="H192" activePane="bottomRight" state="frozen"/>
      <selection pane="bottomRight" activeCell="W275" sqref="W275"/>
      <pageMargins left="0.7" right="0.7" top="0.75" bottom="0.75" header="0.3" footer="0.3"/>
      <pageSetup paperSize="9" scale="50" orientation="landscape" r:id="rId15"/>
    </customSheetView>
    <customSheetView guid="{415078CD-EB99-432D-90BA-2F3D5A746E20}" scale="60">
      <pane xSplit="2" ySplit="11" topLeftCell="H192" activePane="bottomRight" state="frozen"/>
      <selection pane="bottomRight" activeCell="W275" sqref="W275"/>
      <pageMargins left="0.7" right="0.7" top="0.75" bottom="0.75" header="0.3" footer="0.3"/>
      <pageSetup paperSize="9" scale="50" orientation="landscape" r:id="rId16"/>
    </customSheetView>
    <customSheetView guid="{CB4792DB-A624-4844-AEB6-A6ADA80946BB}" scale="70">
      <pane xSplit="2" ySplit="11" topLeftCell="C63" activePane="bottomRight" state="frozen"/>
      <selection pane="bottomRight" activeCell="Q22" sqref="Q22"/>
      <pageMargins left="0.7" right="0.7" top="0.75" bottom="0.75" header="0.3" footer="0.3"/>
      <pageSetup paperSize="9" scale="50" orientation="landscape" r:id="rId17"/>
    </customSheetView>
    <customSheetView guid="{0C2B9C2A-7B94-41EF-A2E6-F8AC9A67DE25}" scale="70">
      <pane xSplit="2" ySplit="11" topLeftCell="C63" activePane="bottomRight" state="frozen"/>
      <selection pane="bottomRight" activeCell="Q22" sqref="Q22"/>
      <pageMargins left="0.7" right="0.7" top="0.75" bottom="0.75" header="0.3" footer="0.3"/>
      <pageSetup paperSize="9" scale="50" orientation="landscape" r:id="rId18"/>
    </customSheetView>
    <customSheetView guid="{391AB76E-B386-49C1-800F-016A48AA1A46}" scale="70">
      <pane xSplit="2" ySplit="11" topLeftCell="C282" activePane="bottomRight" state="frozen"/>
      <selection pane="bottomRight" activeCell="C292" sqref="C292"/>
      <pageMargins left="0.7" right="0.7" top="0.75" bottom="0.75" header="0.3" footer="0.3"/>
      <pageSetup paperSize="9" scale="50" orientation="landscape" r:id="rId19"/>
    </customSheetView>
    <customSheetView guid="{959E901C-5DDE-42EE-AE94-AB8976B5E00B}" scale="70">
      <pane xSplit="2" ySplit="11" topLeftCell="S235" activePane="bottomRight" state="frozen"/>
      <selection pane="bottomRight" activeCell="AF56" sqref="AF56"/>
      <pageMargins left="0.7" right="0.7" top="0.75" bottom="0.75" header="0.3" footer="0.3"/>
    </customSheetView>
    <customSheetView guid="{F679EF4A-C5FD-4B86-B87B-D85968E0F2CA}" scale="70">
      <pane xSplit="2" ySplit="11" topLeftCell="C282" activePane="bottomRight" state="frozen"/>
      <selection pane="bottomRight" activeCell="E288" sqref="E288"/>
      <pageMargins left="0.7" right="0.7" top="0.75" bottom="0.75" header="0.3" footer="0.3"/>
    </customSheetView>
    <customSheetView guid="{009B3074-D8EC-4952-BF50-43CD64449612}" scale="70">
      <pane xSplit="2" ySplit="11" topLeftCell="F12" activePane="bottomRight" state="frozen"/>
      <selection pane="bottomRight" activeCell="A35" sqref="A35"/>
      <pageMargins left="0.7" right="0.7" top="0.75" bottom="0.75" header="0.3" footer="0.3"/>
    </customSheetView>
    <customSheetView guid="{770624BF-07F3-44B6-94C3-4CC447CDD45C}" scale="70">
      <pane xSplit="2" ySplit="11" topLeftCell="E12" activePane="bottomRight" state="frozen"/>
      <selection pane="bottomRight" activeCell="B13" sqref="B13"/>
      <pageMargins left="0.7" right="0.7" top="0.75" bottom="0.75" header="0.3" footer="0.3"/>
    </customSheetView>
    <customSheetView guid="{B82BA08A-1A30-4F4D-A478-74A6BD09EA97}" scale="70">
      <pane xSplit="2" ySplit="11" topLeftCell="E12" activePane="bottomRight" state="frozen"/>
      <selection pane="bottomRight" activeCell="B13" sqref="B13"/>
      <pageMargins left="0.7" right="0.7" top="0.75" bottom="0.75" header="0.3" footer="0.3"/>
    </customSheetView>
    <customSheetView guid="{874882D1-E741-4CCA-BF0D-E72FA60B771D}" scale="70">
      <pane xSplit="2" ySplit="11" topLeftCell="E12" activePane="bottomRight" state="frozen"/>
      <selection pane="bottomRight" activeCell="N25" sqref="N25"/>
      <pageMargins left="0.7" right="0.7" top="0.75" bottom="0.75" header="0.3" footer="0.3"/>
    </customSheetView>
    <customSheetView guid="{C236B307-BD63-48C4-A75F-B3F3717BF55C}" scale="70">
      <pane xSplit="2" ySplit="11" topLeftCell="C294" activePane="bottomRight" state="frozen"/>
      <selection pane="bottomRight" activeCell="J272" sqref="J272"/>
      <pageMargins left="0.7" right="0.7" top="0.75" bottom="0.75" header="0.3" footer="0.3"/>
    </customSheetView>
    <customSheetView guid="{BCD82A82-B724-4763-8580-D765356E09BA}" scale="70">
      <pane xSplit="2" ySplit="11" topLeftCell="K12" activePane="bottomRight" state="frozen"/>
      <selection pane="bottomRight" activeCell="A4" sqref="A4:AF4"/>
      <pageMargins left="0.7" right="0.7" top="0.75" bottom="0.75" header="0.3" footer="0.3"/>
    </customSheetView>
    <customSheetView guid="{85F4575B-DBC5-482A-9916-255D8F0BC94E}" scale="70">
      <pane xSplit="2" ySplit="11" topLeftCell="S235" activePane="bottomRight" state="frozen"/>
      <selection pane="bottomRight" activeCell="AF56" sqref="AF56"/>
      <pageMargins left="0.7" right="0.7" top="0.75" bottom="0.75" header="0.3" footer="0.3"/>
    </customSheetView>
    <customSheetView guid="{4D0DFB57-2CBA-42F2-9A97-C453A6851FBA}" scale="70">
      <pane xSplit="2" ySplit="11" topLeftCell="C282" activePane="bottomRight" state="frozen"/>
      <selection pane="bottomRight" activeCell="C292" sqref="C292"/>
      <pageMargins left="0.7" right="0.7" top="0.75" bottom="0.75" header="0.3" footer="0.3"/>
      <pageSetup paperSize="9" scale="50" orientation="landscape" r:id="rId20"/>
    </customSheetView>
    <customSheetView guid="{CE1CCA00-200D-4EAA-9FBE-F8EE7C5F82FE}" scale="70">
      <pane xSplit="2" ySplit="11" topLeftCell="C282" activePane="bottomRight" state="frozen"/>
      <selection pane="bottomRight" activeCell="C292" sqref="C292"/>
      <pageMargins left="0.7" right="0.7" top="0.75" bottom="0.75" header="0.3" footer="0.3"/>
      <pageSetup paperSize="9" scale="50" orientation="landscape" r:id="rId21"/>
    </customSheetView>
    <customSheetView guid="{AC2D5927-4079-4C74-AF69-1BFAC505648F}" scale="70">
      <pane xSplit="2" ySplit="11" topLeftCell="C282" activePane="bottomRight" state="frozen"/>
      <selection pane="bottomRight" activeCell="C292" sqref="C292"/>
      <pageMargins left="0.7" right="0.7" top="0.75" bottom="0.75" header="0.3" footer="0.3"/>
      <pageSetup paperSize="9" scale="50" orientation="landscape" r:id="rId22"/>
    </customSheetView>
    <customSheetView guid="{3C3F523F-5F34-4CF7-831E-F1ABC4278CEB}" scale="70">
      <pane xSplit="2" ySplit="11" topLeftCell="C267" activePane="bottomRight" state="frozen"/>
      <selection pane="bottomRight" activeCell="Q22" sqref="Q22"/>
      <pageMargins left="0.7" right="0.7" top="0.75" bottom="0.75" header="0.3" footer="0.3"/>
      <pageSetup paperSize="9" scale="50" orientation="landscape" r:id="rId23"/>
    </customSheetView>
    <customSheetView guid="{69DABE6F-6182-4403-A4A2-969F10F1C13A}" scale="60">
      <pane xSplit="2" ySplit="11" topLeftCell="H228" activePane="bottomRight" state="frozen"/>
      <selection pane="bottomRight" activeCell="AA274" sqref="AA274"/>
      <pageMargins left="0.7" right="0.7" top="0.75" bottom="0.75" header="0.3" footer="0.3"/>
      <pageSetup paperSize="9" scale="50" orientation="landscape" r:id="rId24"/>
    </customSheetView>
    <customSheetView guid="{DAA8A688-7558-4B5B-8DBD-E2629BD9E9A8}" scale="60">
      <pane xSplit="2" ySplit="11" topLeftCell="H228" activePane="bottomRight" state="frozen"/>
      <selection pane="bottomRight" activeCell="AA274" sqref="AA274"/>
      <pageMargins left="0.7" right="0.7" top="0.75" bottom="0.75" header="0.3" footer="0.3"/>
      <pageSetup paperSize="9" scale="50" orientation="landscape" r:id="rId25"/>
    </customSheetView>
    <customSheetView guid="{47B983AB-FE5F-4725-860C-A2F29420596D}" scale="60">
      <pane xSplit="2" ySplit="11" topLeftCell="H228" activePane="bottomRight" state="frozen"/>
      <selection pane="bottomRight" activeCell="AA274" sqref="AA274"/>
      <pageMargins left="0.7" right="0.7" top="0.75" bottom="0.75" header="0.3" footer="0.3"/>
      <pageSetup paperSize="9" scale="50" orientation="landscape" r:id="rId26"/>
    </customSheetView>
    <customSheetView guid="{442F2C94-DD1B-4A01-8694-513D4D6F3BD9}" scale="60">
      <pane xSplit="2" ySplit="11" topLeftCell="H267" activePane="bottomRight" state="frozen"/>
      <selection pane="bottomRight" activeCell="AA274" sqref="AA274"/>
      <pageMargins left="0.7" right="0.7" top="0.75" bottom="0.75" header="0.3" footer="0.3"/>
      <pageSetup paperSize="9" scale="50" orientation="landscape" r:id="rId27"/>
    </customSheetView>
    <customSheetView guid="{472DFAFE-DC7C-463D-92A0-F6A14555FDD6}" scale="60">
      <pane xSplit="2" ySplit="11" topLeftCell="C267" activePane="bottomRight" state="frozen"/>
      <selection pane="bottomRight" activeCell="AA274" sqref="AA274"/>
      <pageMargins left="0.7" right="0.7" top="0.75" bottom="0.75" header="0.3" footer="0.3"/>
      <pageSetup paperSize="9" scale="50" orientation="landscape" r:id="rId28"/>
    </customSheetView>
    <customSheetView guid="{B43381A8-767B-4F49-BD2E-0056691293F3}" scale="60">
      <pane xSplit="2" ySplit="11" topLeftCell="C267" activePane="bottomRight" state="frozen"/>
      <selection pane="bottomRight" activeCell="AA274" sqref="AA274"/>
      <pageMargins left="0.7" right="0.7" top="0.75" bottom="0.75" header="0.3" footer="0.3"/>
      <pageSetup paperSize="9" scale="50" orientation="landscape" r:id="rId29"/>
    </customSheetView>
  </customSheetViews>
  <mergeCells count="26">
    <mergeCell ref="A231:AF231"/>
    <mergeCell ref="A232:AF232"/>
    <mergeCell ref="A269:AF269"/>
    <mergeCell ref="A270:AF270"/>
    <mergeCell ref="A9:AF9"/>
    <mergeCell ref="A10:AF10"/>
    <mergeCell ref="A37:AF37"/>
    <mergeCell ref="A149:AF149"/>
    <mergeCell ref="A150:AF150"/>
    <mergeCell ref="A157:AF157"/>
    <mergeCell ref="AF6:AF7"/>
    <mergeCell ref="A4:AF4"/>
    <mergeCell ref="A6:A7"/>
    <mergeCell ref="F6:G6"/>
    <mergeCell ref="H6:I6"/>
    <mergeCell ref="J6:K6"/>
    <mergeCell ref="L6:M6"/>
    <mergeCell ref="N6:O6"/>
    <mergeCell ref="P6:Q6"/>
    <mergeCell ref="R6:S6"/>
    <mergeCell ref="T6:U6"/>
    <mergeCell ref="V6:W6"/>
    <mergeCell ref="X6:Y6"/>
    <mergeCell ref="Z6:AA6"/>
    <mergeCell ref="AB6:AC6"/>
    <mergeCell ref="AD6:AE6"/>
  </mergeCells>
  <hyperlinks>
    <hyperlink ref="A4:AF4" location="Оглавление!A1" display="Комплексный план (сетевой график) по реализации муниципальной программы  &quot;Культурное пространство города Когалыма&quot;"/>
  </hyperlinks>
  <pageMargins left="0.7" right="0.7" top="0.75" bottom="0.75" header="0.3" footer="0.3"/>
  <pageSetup paperSize="9" scale="50" orientation="landscape" r:id="rId3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6"/>
  <sheetViews>
    <sheetView zoomScale="55" zoomScaleNormal="55" zoomScaleSheetLayoutView="70" workbookViewId="0">
      <pane xSplit="2" ySplit="10" topLeftCell="C11" activePane="bottomRight" state="frozen"/>
      <selection activeCell="F284" sqref="F284:G284"/>
      <selection pane="topRight" activeCell="F284" sqref="F284:G284"/>
      <selection pane="bottomLeft" activeCell="F284" sqref="F284:G284"/>
      <selection pane="bottomRight" activeCell="C7" sqref="C7"/>
    </sheetView>
  </sheetViews>
  <sheetFormatPr defaultColWidth="9.140625" defaultRowHeight="18.75" x14ac:dyDescent="0.3"/>
  <cols>
    <col min="1" max="1" width="68.140625" style="10" customWidth="1"/>
    <col min="2" max="5" width="15.140625" style="10" customWidth="1"/>
    <col min="6" max="6" width="16.140625" style="10" customWidth="1"/>
    <col min="7" max="7" width="19.42578125" style="10" customWidth="1"/>
    <col min="8" max="31" width="13.85546875" style="10" customWidth="1"/>
    <col min="32" max="32" width="34.7109375" style="10" customWidth="1"/>
    <col min="33" max="33" width="9.140625" style="155"/>
    <col min="34" max="16384" width="9.140625" style="10"/>
  </cols>
  <sheetData>
    <row r="1" spans="1:33" ht="18.75" customHeight="1" x14ac:dyDescent="0.3">
      <c r="A1" s="1166"/>
      <c r="B1" s="1166"/>
      <c r="C1" s="1166"/>
      <c r="D1" s="1166"/>
      <c r="E1" s="1166"/>
      <c r="F1" s="1166"/>
      <c r="G1" s="1166"/>
      <c r="H1" s="1166"/>
      <c r="I1" s="1166"/>
      <c r="J1" s="1166"/>
      <c r="K1" s="1166"/>
      <c r="L1" s="1166"/>
      <c r="M1" s="1166"/>
      <c r="N1" s="1166"/>
      <c r="O1" s="1166"/>
      <c r="P1" s="1166"/>
      <c r="Q1" s="1166"/>
      <c r="R1" s="1166"/>
      <c r="S1" s="1166"/>
      <c r="T1" s="1166"/>
      <c r="U1" s="1166"/>
      <c r="V1" s="1166"/>
      <c r="W1" s="1166"/>
      <c r="X1" s="1166"/>
      <c r="Y1" s="1166"/>
      <c r="Z1" s="1166"/>
      <c r="AA1" s="1166"/>
      <c r="AB1" s="1166"/>
      <c r="AC1" s="1166"/>
      <c r="AD1" s="1166"/>
      <c r="AE1" s="153"/>
      <c r="AF1" s="154"/>
    </row>
    <row r="2" spans="1:33" ht="18.75" customHeight="1" x14ac:dyDescent="0.3">
      <c r="A2" s="1166"/>
      <c r="B2" s="1166"/>
      <c r="C2" s="1166"/>
      <c r="D2" s="1166"/>
      <c r="E2" s="1166"/>
      <c r="F2" s="1166"/>
      <c r="G2" s="1166"/>
      <c r="H2" s="1166"/>
      <c r="I2" s="1166"/>
      <c r="J2" s="1166"/>
      <c r="K2" s="1166"/>
      <c r="L2" s="1166"/>
      <c r="M2" s="1166"/>
      <c r="N2" s="1166"/>
      <c r="O2" s="1166"/>
      <c r="P2" s="1166"/>
      <c r="Q2" s="1166"/>
      <c r="R2" s="1166"/>
      <c r="S2" s="1166"/>
      <c r="T2" s="1166"/>
      <c r="U2" s="1166"/>
      <c r="V2" s="1166"/>
      <c r="W2" s="1166"/>
      <c r="X2" s="1166"/>
      <c r="Y2" s="1166"/>
      <c r="Z2" s="1166"/>
      <c r="AA2" s="1166"/>
      <c r="AB2" s="1166"/>
      <c r="AC2" s="1166"/>
      <c r="AD2" s="1166"/>
      <c r="AE2" s="153"/>
      <c r="AF2" s="154"/>
    </row>
    <row r="3" spans="1:33" ht="18.75" customHeight="1" x14ac:dyDescent="0.3">
      <c r="A3" s="1166"/>
      <c r="B3" s="1166"/>
      <c r="C3" s="1166"/>
      <c r="D3" s="1166"/>
      <c r="E3" s="1166"/>
      <c r="F3" s="1166"/>
      <c r="G3" s="1166"/>
      <c r="H3" s="1166"/>
      <c r="I3" s="1166"/>
      <c r="J3" s="1166"/>
      <c r="K3" s="1166"/>
      <c r="L3" s="1166"/>
      <c r="M3" s="1166"/>
      <c r="N3" s="1166"/>
      <c r="O3" s="1166"/>
      <c r="P3" s="1166"/>
      <c r="Q3" s="1166"/>
      <c r="R3" s="1166"/>
      <c r="S3" s="1166"/>
      <c r="T3" s="1166"/>
      <c r="U3" s="1166"/>
      <c r="V3" s="1166"/>
      <c r="W3" s="1166"/>
      <c r="X3" s="1166"/>
      <c r="Y3" s="1166"/>
      <c r="Z3" s="1166"/>
      <c r="AA3" s="1166"/>
      <c r="AB3" s="1166"/>
      <c r="AC3" s="1166"/>
      <c r="AD3" s="1166"/>
      <c r="AE3" s="153"/>
      <c r="AF3" s="154"/>
    </row>
    <row r="4" spans="1:33" s="159" customFormat="1" ht="18.75" customHeight="1" x14ac:dyDescent="0.25">
      <c r="A4" s="1167" t="s">
        <v>444</v>
      </c>
      <c r="B4" s="1167"/>
      <c r="C4" s="1167"/>
      <c r="D4" s="1167"/>
      <c r="E4" s="1167"/>
      <c r="F4" s="1167"/>
      <c r="G4" s="1167"/>
      <c r="H4" s="1167"/>
      <c r="I4" s="1167"/>
      <c r="J4" s="1167"/>
      <c r="K4" s="1167"/>
      <c r="L4" s="1167"/>
      <c r="M4" s="1167"/>
      <c r="N4" s="1167"/>
      <c r="O4" s="1167"/>
      <c r="P4" s="1167"/>
      <c r="Q4" s="1167"/>
      <c r="R4" s="1167"/>
      <c r="S4" s="1167"/>
      <c r="T4" s="1167"/>
      <c r="U4" s="1167"/>
      <c r="V4" s="1167"/>
      <c r="W4" s="1167"/>
      <c r="X4" s="1167"/>
      <c r="Y4" s="1167"/>
      <c r="Z4" s="1167"/>
      <c r="AA4" s="1167"/>
      <c r="AB4" s="1167"/>
      <c r="AC4" s="1167"/>
      <c r="AD4" s="1167"/>
      <c r="AE4" s="156"/>
      <c r="AF4" s="157"/>
      <c r="AG4" s="158"/>
    </row>
    <row r="5" spans="1:33" ht="18.75" customHeight="1" x14ac:dyDescent="0.3">
      <c r="A5" s="160"/>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168"/>
      <c r="AC5" s="1168"/>
      <c r="AD5" s="1168"/>
      <c r="AE5" s="161"/>
      <c r="AF5" s="162"/>
    </row>
    <row r="6" spans="1:33" ht="37.5" customHeight="1" x14ac:dyDescent="0.3">
      <c r="A6" s="1158" t="s">
        <v>163</v>
      </c>
      <c r="B6" s="92" t="s">
        <v>3</v>
      </c>
      <c r="C6" s="92" t="s">
        <v>3</v>
      </c>
      <c r="D6" s="92" t="s">
        <v>4</v>
      </c>
      <c r="E6" s="92" t="s">
        <v>5</v>
      </c>
      <c r="F6" s="1159" t="s">
        <v>6</v>
      </c>
      <c r="G6" s="1160"/>
      <c r="H6" s="1159" t="s">
        <v>7</v>
      </c>
      <c r="I6" s="1161"/>
      <c r="J6" s="1159" t="s">
        <v>8</v>
      </c>
      <c r="K6" s="1161"/>
      <c r="L6" s="1159" t="s">
        <v>9</v>
      </c>
      <c r="M6" s="1161"/>
      <c r="N6" s="1159" t="s">
        <v>10</v>
      </c>
      <c r="O6" s="1161"/>
      <c r="P6" s="1159" t="s">
        <v>11</v>
      </c>
      <c r="Q6" s="1161"/>
      <c r="R6" s="1159" t="s">
        <v>12</v>
      </c>
      <c r="S6" s="1161"/>
      <c r="T6" s="1159" t="s">
        <v>13</v>
      </c>
      <c r="U6" s="1161"/>
      <c r="V6" s="1159" t="s">
        <v>14</v>
      </c>
      <c r="W6" s="1161"/>
      <c r="X6" s="1159" t="s">
        <v>15</v>
      </c>
      <c r="Y6" s="1161"/>
      <c r="Z6" s="1159" t="s">
        <v>16</v>
      </c>
      <c r="AA6" s="1161"/>
      <c r="AB6" s="1159" t="s">
        <v>17</v>
      </c>
      <c r="AC6" s="1161"/>
      <c r="AD6" s="1162" t="s">
        <v>18</v>
      </c>
      <c r="AE6" s="1162"/>
      <c r="AF6" s="1141" t="s">
        <v>19</v>
      </c>
    </row>
    <row r="7" spans="1:33" ht="37.5" x14ac:dyDescent="0.3">
      <c r="A7" s="1158"/>
      <c r="B7" s="3">
        <v>2024</v>
      </c>
      <c r="C7" s="4">
        <v>45352</v>
      </c>
      <c r="D7" s="4">
        <v>45352</v>
      </c>
      <c r="E7" s="4">
        <v>45352</v>
      </c>
      <c r="F7" s="5" t="s">
        <v>20</v>
      </c>
      <c r="G7" s="5" t="s">
        <v>21</v>
      </c>
      <c r="H7" s="5" t="s">
        <v>22</v>
      </c>
      <c r="I7" s="93" t="s">
        <v>164</v>
      </c>
      <c r="J7" s="5" t="s">
        <v>22</v>
      </c>
      <c r="K7" s="93" t="s">
        <v>164</v>
      </c>
      <c r="L7" s="5" t="s">
        <v>22</v>
      </c>
      <c r="M7" s="93" t="s">
        <v>164</v>
      </c>
      <c r="N7" s="5" t="s">
        <v>22</v>
      </c>
      <c r="O7" s="93" t="s">
        <v>164</v>
      </c>
      <c r="P7" s="5" t="s">
        <v>22</v>
      </c>
      <c r="Q7" s="93" t="s">
        <v>164</v>
      </c>
      <c r="R7" s="5" t="s">
        <v>22</v>
      </c>
      <c r="S7" s="93" t="s">
        <v>164</v>
      </c>
      <c r="T7" s="5" t="s">
        <v>22</v>
      </c>
      <c r="U7" s="93" t="s">
        <v>164</v>
      </c>
      <c r="V7" s="5" t="s">
        <v>22</v>
      </c>
      <c r="W7" s="93" t="s">
        <v>164</v>
      </c>
      <c r="X7" s="5" t="s">
        <v>22</v>
      </c>
      <c r="Y7" s="93" t="s">
        <v>164</v>
      </c>
      <c r="Z7" s="5" t="s">
        <v>22</v>
      </c>
      <c r="AA7" s="93" t="s">
        <v>164</v>
      </c>
      <c r="AB7" s="5" t="s">
        <v>22</v>
      </c>
      <c r="AC7" s="93" t="s">
        <v>164</v>
      </c>
      <c r="AD7" s="5" t="s">
        <v>22</v>
      </c>
      <c r="AE7" s="93" t="s">
        <v>164</v>
      </c>
      <c r="AF7" s="1142"/>
    </row>
    <row r="8" spans="1:33" x14ac:dyDescent="0.3">
      <c r="A8" s="163">
        <v>1</v>
      </c>
      <c r="B8" s="6">
        <v>2</v>
      </c>
      <c r="C8" s="6">
        <v>3</v>
      </c>
      <c r="D8" s="6">
        <v>4</v>
      </c>
      <c r="E8" s="6">
        <v>5</v>
      </c>
      <c r="F8" s="6">
        <v>6</v>
      </c>
      <c r="G8" s="6">
        <v>7</v>
      </c>
      <c r="H8" s="6">
        <v>8</v>
      </c>
      <c r="I8" s="6">
        <v>9</v>
      </c>
      <c r="J8" s="6">
        <v>10</v>
      </c>
      <c r="K8" s="6">
        <v>11</v>
      </c>
      <c r="L8" s="6">
        <v>12</v>
      </c>
      <c r="M8" s="6">
        <v>13</v>
      </c>
      <c r="N8" s="6">
        <v>14</v>
      </c>
      <c r="O8" s="6">
        <v>15</v>
      </c>
      <c r="P8" s="6">
        <v>16</v>
      </c>
      <c r="Q8" s="6">
        <v>17</v>
      </c>
      <c r="R8" s="6">
        <v>18</v>
      </c>
      <c r="S8" s="6">
        <v>19</v>
      </c>
      <c r="T8" s="6">
        <v>20</v>
      </c>
      <c r="U8" s="6">
        <v>21</v>
      </c>
      <c r="V8" s="6">
        <v>22</v>
      </c>
      <c r="W8" s="6">
        <v>23</v>
      </c>
      <c r="X8" s="6">
        <v>24</v>
      </c>
      <c r="Y8" s="6">
        <v>25</v>
      </c>
      <c r="Z8" s="6">
        <v>26</v>
      </c>
      <c r="AA8" s="6">
        <v>27</v>
      </c>
      <c r="AB8" s="6">
        <v>28</v>
      </c>
      <c r="AC8" s="6">
        <v>29</v>
      </c>
      <c r="AD8" s="6">
        <v>30</v>
      </c>
      <c r="AE8" s="6">
        <v>31</v>
      </c>
      <c r="AF8" s="6">
        <v>32</v>
      </c>
    </row>
    <row r="9" spans="1:33" s="164" customFormat="1" x14ac:dyDescent="0.3">
      <c r="A9" s="1172" t="s">
        <v>220</v>
      </c>
      <c r="B9" s="1173"/>
      <c r="C9" s="1173"/>
      <c r="D9" s="1173"/>
      <c r="E9" s="1173"/>
      <c r="F9" s="1173"/>
      <c r="G9" s="1173"/>
      <c r="H9" s="1173"/>
      <c r="I9" s="1173"/>
      <c r="J9" s="1173"/>
      <c r="K9" s="1173"/>
      <c r="L9" s="1173"/>
      <c r="M9" s="1173"/>
      <c r="N9" s="1173"/>
      <c r="O9" s="1173"/>
      <c r="P9" s="1173"/>
      <c r="Q9" s="1173"/>
      <c r="R9" s="1173"/>
      <c r="S9" s="1173"/>
      <c r="T9" s="1173"/>
      <c r="U9" s="1173"/>
      <c r="V9" s="1173"/>
      <c r="W9" s="1173"/>
      <c r="X9" s="1173"/>
      <c r="Y9" s="1173"/>
      <c r="Z9" s="1173"/>
      <c r="AA9" s="1173"/>
      <c r="AB9" s="1173"/>
      <c r="AC9" s="1173"/>
      <c r="AD9" s="1173"/>
      <c r="AE9" s="1173"/>
      <c r="AF9" s="1174"/>
    </row>
    <row r="10" spans="1:33" s="164" customFormat="1" x14ac:dyDescent="0.3">
      <c r="A10" s="1172" t="s">
        <v>54</v>
      </c>
      <c r="B10" s="1173"/>
      <c r="C10" s="1173"/>
      <c r="D10" s="1173"/>
      <c r="E10" s="1173"/>
      <c r="F10" s="1173"/>
      <c r="G10" s="1173"/>
      <c r="H10" s="1173"/>
      <c r="I10" s="1173"/>
      <c r="J10" s="1173"/>
      <c r="K10" s="1173"/>
      <c r="L10" s="1173"/>
      <c r="M10" s="1173"/>
      <c r="N10" s="1173"/>
      <c r="O10" s="1173"/>
      <c r="P10" s="1173"/>
      <c r="Q10" s="1173"/>
      <c r="R10" s="1173"/>
      <c r="S10" s="1173"/>
      <c r="T10" s="1173"/>
      <c r="U10" s="1173"/>
      <c r="V10" s="1173"/>
      <c r="W10" s="1173"/>
      <c r="X10" s="1173"/>
      <c r="Y10" s="1173"/>
      <c r="Z10" s="1173"/>
      <c r="AA10" s="1173"/>
      <c r="AB10" s="1173"/>
      <c r="AC10" s="1173"/>
      <c r="AD10" s="1173"/>
      <c r="AE10" s="1173"/>
      <c r="AF10" s="1174"/>
    </row>
    <row r="11" spans="1:33" ht="93.75" x14ac:dyDescent="0.3">
      <c r="A11" s="165" t="s">
        <v>506</v>
      </c>
      <c r="B11" s="838">
        <f t="shared" ref="B11:T11" si="0">B12</f>
        <v>362.5</v>
      </c>
      <c r="C11" s="839">
        <f t="shared" si="0"/>
        <v>140</v>
      </c>
      <c r="D11" s="839">
        <f t="shared" si="0"/>
        <v>0</v>
      </c>
      <c r="E11" s="838">
        <f t="shared" si="0"/>
        <v>0</v>
      </c>
      <c r="F11" s="840">
        <f t="shared" si="0"/>
        <v>0</v>
      </c>
      <c r="G11" s="840">
        <f t="shared" si="0"/>
        <v>0</v>
      </c>
      <c r="H11" s="838">
        <f t="shared" si="0"/>
        <v>0</v>
      </c>
      <c r="I11" s="838">
        <f t="shared" si="0"/>
        <v>0</v>
      </c>
      <c r="J11" s="838">
        <f t="shared" si="0"/>
        <v>0</v>
      </c>
      <c r="K11" s="841">
        <f t="shared" si="0"/>
        <v>0</v>
      </c>
      <c r="L11" s="838">
        <f t="shared" si="0"/>
        <v>140</v>
      </c>
      <c r="M11" s="841">
        <f t="shared" si="0"/>
        <v>0</v>
      </c>
      <c r="N11" s="838">
        <f t="shared" si="0"/>
        <v>0</v>
      </c>
      <c r="O11" s="841">
        <f t="shared" si="0"/>
        <v>0</v>
      </c>
      <c r="P11" s="838">
        <f t="shared" si="0"/>
        <v>0</v>
      </c>
      <c r="Q11" s="841">
        <f t="shared" si="0"/>
        <v>0</v>
      </c>
      <c r="R11" s="838">
        <f t="shared" si="0"/>
        <v>0</v>
      </c>
      <c r="S11" s="841">
        <f t="shared" si="0"/>
        <v>0</v>
      </c>
      <c r="T11" s="838">
        <f t="shared" si="0"/>
        <v>0</v>
      </c>
      <c r="U11" s="842"/>
      <c r="V11" s="838">
        <f>V12</f>
        <v>0</v>
      </c>
      <c r="W11" s="842"/>
      <c r="X11" s="838">
        <f>X12</f>
        <v>0</v>
      </c>
      <c r="Y11" s="842"/>
      <c r="Z11" s="838">
        <f>Z12</f>
        <v>0</v>
      </c>
      <c r="AA11" s="842"/>
      <c r="AB11" s="838">
        <f>AB12</f>
        <v>222.5</v>
      </c>
      <c r="AC11" s="842"/>
      <c r="AD11" s="838">
        <f>AD12</f>
        <v>0</v>
      </c>
      <c r="AE11" s="843"/>
      <c r="AF11" s="170"/>
      <c r="AG11" s="171">
        <f>AD11+AB11+Z11+X11+V11+T11+R11+P11+N11+L11+J11+H11-B11</f>
        <v>0</v>
      </c>
    </row>
    <row r="12" spans="1:33" s="173" customFormat="1" x14ac:dyDescent="0.3">
      <c r="A12" s="172" t="s">
        <v>31</v>
      </c>
      <c r="B12" s="838">
        <f t="shared" ref="B12:T12" si="1">B13+B14+B15+B16</f>
        <v>362.5</v>
      </c>
      <c r="C12" s="838">
        <f t="shared" si="1"/>
        <v>140</v>
      </c>
      <c r="D12" s="838">
        <f t="shared" si="1"/>
        <v>0</v>
      </c>
      <c r="E12" s="838">
        <f t="shared" si="1"/>
        <v>0</v>
      </c>
      <c r="F12" s="844">
        <f t="shared" si="1"/>
        <v>0</v>
      </c>
      <c r="G12" s="844">
        <f t="shared" si="1"/>
        <v>0</v>
      </c>
      <c r="H12" s="838">
        <f t="shared" si="1"/>
        <v>0</v>
      </c>
      <c r="I12" s="838">
        <f t="shared" si="1"/>
        <v>0</v>
      </c>
      <c r="J12" s="838">
        <f t="shared" si="1"/>
        <v>0</v>
      </c>
      <c r="K12" s="838">
        <f t="shared" si="1"/>
        <v>0</v>
      </c>
      <c r="L12" s="838">
        <f t="shared" si="1"/>
        <v>140</v>
      </c>
      <c r="M12" s="838">
        <f t="shared" si="1"/>
        <v>0</v>
      </c>
      <c r="N12" s="838">
        <f t="shared" si="1"/>
        <v>0</v>
      </c>
      <c r="O12" s="838">
        <f t="shared" si="1"/>
        <v>0</v>
      </c>
      <c r="P12" s="838">
        <f t="shared" si="1"/>
        <v>0</v>
      </c>
      <c r="Q12" s="838">
        <f t="shared" si="1"/>
        <v>0</v>
      </c>
      <c r="R12" s="838">
        <f t="shared" si="1"/>
        <v>0</v>
      </c>
      <c r="S12" s="838">
        <f t="shared" si="1"/>
        <v>0</v>
      </c>
      <c r="T12" s="838">
        <f t="shared" si="1"/>
        <v>0</v>
      </c>
      <c r="U12" s="838"/>
      <c r="V12" s="838">
        <f>V13+V14+V15+V16</f>
        <v>0</v>
      </c>
      <c r="W12" s="838"/>
      <c r="X12" s="838">
        <f>X13+X14+X15+X16</f>
        <v>0</v>
      </c>
      <c r="Y12" s="838"/>
      <c r="Z12" s="838">
        <f>Z13+Z14+Z15+Z16</f>
        <v>0</v>
      </c>
      <c r="AA12" s="838"/>
      <c r="AB12" s="838">
        <f>AB13+AB14+AB15+AB16</f>
        <v>222.5</v>
      </c>
      <c r="AC12" s="838"/>
      <c r="AD12" s="838">
        <f>AD13+AD14+AD15+AD16</f>
        <v>0</v>
      </c>
      <c r="AE12" s="838"/>
      <c r="AF12" s="170"/>
      <c r="AG12" s="171">
        <f t="shared" ref="AG12:AG75" si="2">AD12+AB12+Z12+X12+V12+T12+R12+P12+N12+L12+J12+H12-B12</f>
        <v>0</v>
      </c>
    </row>
    <row r="13" spans="1:33" x14ac:dyDescent="0.3">
      <c r="A13" s="174" t="s">
        <v>169</v>
      </c>
      <c r="B13" s="838">
        <f>H13+J13+L13+N13+P13+R13+T13+V13+X13+Z13+AB13+AD13</f>
        <v>0</v>
      </c>
      <c r="C13" s="839">
        <f>H13</f>
        <v>0</v>
      </c>
      <c r="D13" s="839">
        <f>I13</f>
        <v>0</v>
      </c>
      <c r="E13" s="838">
        <v>0</v>
      </c>
      <c r="F13" s="840">
        <v>0</v>
      </c>
      <c r="G13" s="844">
        <v>0</v>
      </c>
      <c r="H13" s="838">
        <v>0</v>
      </c>
      <c r="I13" s="838">
        <v>0</v>
      </c>
      <c r="J13" s="838">
        <v>0</v>
      </c>
      <c r="K13" s="838">
        <v>0</v>
      </c>
      <c r="L13" s="838">
        <v>0</v>
      </c>
      <c r="M13" s="838">
        <v>0</v>
      </c>
      <c r="N13" s="838">
        <v>0</v>
      </c>
      <c r="O13" s="838">
        <v>0</v>
      </c>
      <c r="P13" s="838">
        <v>0</v>
      </c>
      <c r="Q13" s="838">
        <v>0</v>
      </c>
      <c r="R13" s="838">
        <v>0</v>
      </c>
      <c r="S13" s="838">
        <v>0</v>
      </c>
      <c r="T13" s="838">
        <v>0</v>
      </c>
      <c r="U13" s="838"/>
      <c r="V13" s="838">
        <v>0</v>
      </c>
      <c r="W13" s="838"/>
      <c r="X13" s="838">
        <v>0</v>
      </c>
      <c r="Y13" s="838"/>
      <c r="Z13" s="838">
        <v>0</v>
      </c>
      <c r="AA13" s="838"/>
      <c r="AB13" s="838">
        <v>0</v>
      </c>
      <c r="AC13" s="838"/>
      <c r="AD13" s="838">
        <v>0</v>
      </c>
      <c r="AE13" s="838"/>
      <c r="AF13" s="178"/>
      <c r="AG13" s="171">
        <f t="shared" si="2"/>
        <v>0</v>
      </c>
    </row>
    <row r="14" spans="1:33" x14ac:dyDescent="0.3">
      <c r="A14" s="174" t="s">
        <v>32</v>
      </c>
      <c r="B14" s="838">
        <f>H14+J14+L14+N14+P14+R14+T14+V14+X14+Z14+AB14+AD14</f>
        <v>0</v>
      </c>
      <c r="C14" s="839">
        <f>H14</f>
        <v>0</v>
      </c>
      <c r="D14" s="839">
        <f>I14</f>
        <v>0</v>
      </c>
      <c r="E14" s="838">
        <v>0</v>
      </c>
      <c r="F14" s="840">
        <v>0</v>
      </c>
      <c r="G14" s="844">
        <v>0</v>
      </c>
      <c r="H14" s="838">
        <v>0</v>
      </c>
      <c r="I14" s="838">
        <v>0</v>
      </c>
      <c r="J14" s="838">
        <v>0</v>
      </c>
      <c r="K14" s="838">
        <v>0</v>
      </c>
      <c r="L14" s="838">
        <v>0</v>
      </c>
      <c r="M14" s="838">
        <v>0</v>
      </c>
      <c r="N14" s="838">
        <v>0</v>
      </c>
      <c r="O14" s="838">
        <v>0</v>
      </c>
      <c r="P14" s="838">
        <v>0</v>
      </c>
      <c r="Q14" s="838">
        <v>0</v>
      </c>
      <c r="R14" s="838">
        <v>0</v>
      </c>
      <c r="S14" s="838">
        <v>0</v>
      </c>
      <c r="T14" s="838">
        <v>0</v>
      </c>
      <c r="U14" s="838"/>
      <c r="V14" s="838">
        <v>0</v>
      </c>
      <c r="W14" s="838"/>
      <c r="X14" s="838">
        <v>0</v>
      </c>
      <c r="Y14" s="838"/>
      <c r="Z14" s="838">
        <v>0</v>
      </c>
      <c r="AA14" s="838"/>
      <c r="AB14" s="838">
        <v>0</v>
      </c>
      <c r="AC14" s="838"/>
      <c r="AD14" s="838">
        <v>0</v>
      </c>
      <c r="AE14" s="838"/>
      <c r="AF14" s="178"/>
      <c r="AG14" s="171">
        <f t="shared" si="2"/>
        <v>0</v>
      </c>
    </row>
    <row r="15" spans="1:33" x14ac:dyDescent="0.3">
      <c r="A15" s="174" t="s">
        <v>33</v>
      </c>
      <c r="B15" s="838">
        <f>H15+J15+L15+N15+P15+R15+T15+V15+X15+Z15+AB15+AD15</f>
        <v>362.5</v>
      </c>
      <c r="C15" s="839">
        <f>H15+J15+L15+N15+P15+R15</f>
        <v>140</v>
      </c>
      <c r="D15" s="839">
        <f>E15</f>
        <v>0</v>
      </c>
      <c r="E15" s="842">
        <f>I15+K15+M15+O15+Q15+S15</f>
        <v>0</v>
      </c>
      <c r="F15" s="840">
        <v>0</v>
      </c>
      <c r="G15" s="840">
        <v>0</v>
      </c>
      <c r="H15" s="842">
        <v>0</v>
      </c>
      <c r="I15" s="842">
        <v>0</v>
      </c>
      <c r="J15" s="842">
        <v>0</v>
      </c>
      <c r="K15" s="842">
        <v>0</v>
      </c>
      <c r="L15" s="842">
        <v>140</v>
      </c>
      <c r="M15" s="842">
        <v>0</v>
      </c>
      <c r="N15" s="842">
        <v>0</v>
      </c>
      <c r="O15" s="842">
        <v>0</v>
      </c>
      <c r="P15" s="842">
        <v>0</v>
      </c>
      <c r="Q15" s="842">
        <v>0</v>
      </c>
      <c r="R15" s="842">
        <v>0</v>
      </c>
      <c r="S15" s="842">
        <v>0</v>
      </c>
      <c r="T15" s="842">
        <v>0</v>
      </c>
      <c r="U15" s="842"/>
      <c r="V15" s="842">
        <v>0</v>
      </c>
      <c r="W15" s="842"/>
      <c r="X15" s="843">
        <v>0</v>
      </c>
      <c r="Y15" s="842"/>
      <c r="Z15" s="842">
        <v>0</v>
      </c>
      <c r="AA15" s="842"/>
      <c r="AB15" s="842">
        <v>222.5</v>
      </c>
      <c r="AC15" s="842"/>
      <c r="AD15" s="843">
        <v>0</v>
      </c>
      <c r="AE15" s="843"/>
      <c r="AF15" s="178"/>
      <c r="AG15" s="171">
        <f t="shared" si="2"/>
        <v>0</v>
      </c>
    </row>
    <row r="16" spans="1:33" x14ac:dyDescent="0.3">
      <c r="A16" s="174" t="s">
        <v>221</v>
      </c>
      <c r="B16" s="838">
        <f>H16+J16+L16+N16+P16+R16+T16+V16+X16+Z16+AB16+AD16</f>
        <v>0</v>
      </c>
      <c r="C16" s="839">
        <f>H16</f>
        <v>0</v>
      </c>
      <c r="D16" s="839">
        <f>I16</f>
        <v>0</v>
      </c>
      <c r="E16" s="838">
        <v>0</v>
      </c>
      <c r="F16" s="840">
        <v>0</v>
      </c>
      <c r="G16" s="844">
        <v>0</v>
      </c>
      <c r="H16" s="838">
        <v>0</v>
      </c>
      <c r="I16" s="838">
        <v>0</v>
      </c>
      <c r="J16" s="838">
        <v>0</v>
      </c>
      <c r="K16" s="838">
        <v>0</v>
      </c>
      <c r="L16" s="838">
        <v>0</v>
      </c>
      <c r="M16" s="838">
        <v>0</v>
      </c>
      <c r="N16" s="838">
        <v>0</v>
      </c>
      <c r="O16" s="838">
        <v>0</v>
      </c>
      <c r="P16" s="838">
        <v>0</v>
      </c>
      <c r="Q16" s="838">
        <v>0</v>
      </c>
      <c r="R16" s="838">
        <v>0</v>
      </c>
      <c r="S16" s="838">
        <v>0</v>
      </c>
      <c r="T16" s="838">
        <v>0</v>
      </c>
      <c r="U16" s="838"/>
      <c r="V16" s="838">
        <v>0</v>
      </c>
      <c r="W16" s="838"/>
      <c r="X16" s="838">
        <v>0</v>
      </c>
      <c r="Y16" s="838"/>
      <c r="Z16" s="838">
        <v>0</v>
      </c>
      <c r="AA16" s="838"/>
      <c r="AB16" s="838">
        <v>0</v>
      </c>
      <c r="AC16" s="838"/>
      <c r="AD16" s="838">
        <v>0</v>
      </c>
      <c r="AE16" s="838"/>
      <c r="AF16" s="178"/>
      <c r="AG16" s="171">
        <f t="shared" si="2"/>
        <v>0</v>
      </c>
    </row>
    <row r="17" spans="1:33" s="173" customFormat="1" ht="23.25" customHeight="1" x14ac:dyDescent="0.3">
      <c r="A17" s="1169" t="s">
        <v>222</v>
      </c>
      <c r="B17" s="1170"/>
      <c r="C17" s="1170"/>
      <c r="D17" s="1170"/>
      <c r="E17" s="1170"/>
      <c r="F17" s="1170"/>
      <c r="G17" s="1170"/>
      <c r="H17" s="1170"/>
      <c r="I17" s="1170"/>
      <c r="J17" s="1170"/>
      <c r="K17" s="1170"/>
      <c r="L17" s="1170"/>
      <c r="M17" s="1170"/>
      <c r="N17" s="1170"/>
      <c r="O17" s="1170"/>
      <c r="P17" s="1170"/>
      <c r="Q17" s="1170"/>
      <c r="R17" s="1170"/>
      <c r="S17" s="1170"/>
      <c r="T17" s="1170"/>
      <c r="U17" s="1170"/>
      <c r="V17" s="1170"/>
      <c r="W17" s="1170"/>
      <c r="X17" s="1170"/>
      <c r="Y17" s="1170"/>
      <c r="Z17" s="1170"/>
      <c r="AA17" s="1170"/>
      <c r="AB17" s="1170"/>
      <c r="AC17" s="1170"/>
      <c r="AD17" s="1170"/>
      <c r="AE17" s="1170"/>
      <c r="AF17" s="1171"/>
      <c r="AG17" s="171">
        <f t="shared" si="2"/>
        <v>0</v>
      </c>
    </row>
    <row r="18" spans="1:33" s="164" customFormat="1" x14ac:dyDescent="0.3">
      <c r="A18" s="1172" t="s">
        <v>54</v>
      </c>
      <c r="B18" s="1173"/>
      <c r="C18" s="1173"/>
      <c r="D18" s="1173"/>
      <c r="E18" s="1173"/>
      <c r="F18" s="1173"/>
      <c r="G18" s="1173"/>
      <c r="H18" s="1173"/>
      <c r="I18" s="1173"/>
      <c r="J18" s="1173"/>
      <c r="K18" s="1173"/>
      <c r="L18" s="1173"/>
      <c r="M18" s="1173"/>
      <c r="N18" s="1173"/>
      <c r="O18" s="1173"/>
      <c r="P18" s="1173"/>
      <c r="Q18" s="1173"/>
      <c r="R18" s="1173"/>
      <c r="S18" s="1173"/>
      <c r="T18" s="1173"/>
      <c r="U18" s="1173"/>
      <c r="V18" s="1173"/>
      <c r="W18" s="1173"/>
      <c r="X18" s="1173"/>
      <c r="Y18" s="1173"/>
      <c r="Z18" s="1173"/>
      <c r="AA18" s="1173"/>
      <c r="AB18" s="1173"/>
      <c r="AC18" s="1173"/>
      <c r="AD18" s="1173"/>
      <c r="AE18" s="1173"/>
      <c r="AF18" s="1174"/>
      <c r="AG18" s="171">
        <f t="shared" si="2"/>
        <v>0</v>
      </c>
    </row>
    <row r="19" spans="1:33" ht="75" x14ac:dyDescent="0.3">
      <c r="A19" s="180" t="s">
        <v>223</v>
      </c>
      <c r="B19" s="838">
        <f t="shared" ref="B19:T19" si="3">B20</f>
        <v>0</v>
      </c>
      <c r="C19" s="839">
        <f t="shared" si="3"/>
        <v>0</v>
      </c>
      <c r="D19" s="839">
        <f t="shared" si="3"/>
        <v>0</v>
      </c>
      <c r="E19" s="842">
        <f t="shared" si="3"/>
        <v>0</v>
      </c>
      <c r="F19" s="845">
        <f t="shared" si="3"/>
        <v>0</v>
      </c>
      <c r="G19" s="845">
        <f t="shared" si="3"/>
        <v>0</v>
      </c>
      <c r="H19" s="838">
        <f t="shared" si="3"/>
        <v>0</v>
      </c>
      <c r="I19" s="842">
        <f t="shared" si="3"/>
        <v>0</v>
      </c>
      <c r="J19" s="838">
        <f t="shared" si="3"/>
        <v>0</v>
      </c>
      <c r="K19" s="841">
        <f t="shared" si="3"/>
        <v>0</v>
      </c>
      <c r="L19" s="838">
        <f t="shared" si="3"/>
        <v>0</v>
      </c>
      <c r="M19" s="841">
        <f t="shared" si="3"/>
        <v>0</v>
      </c>
      <c r="N19" s="838">
        <f t="shared" si="3"/>
        <v>0</v>
      </c>
      <c r="O19" s="841">
        <f t="shared" si="3"/>
        <v>0</v>
      </c>
      <c r="P19" s="838">
        <f t="shared" si="3"/>
        <v>0</v>
      </c>
      <c r="Q19" s="841">
        <f t="shared" si="3"/>
        <v>0</v>
      </c>
      <c r="R19" s="838">
        <f t="shared" si="3"/>
        <v>0</v>
      </c>
      <c r="S19" s="841">
        <f t="shared" si="3"/>
        <v>0</v>
      </c>
      <c r="T19" s="838">
        <f t="shared" si="3"/>
        <v>0</v>
      </c>
      <c r="U19" s="842"/>
      <c r="V19" s="838">
        <f>V20</f>
        <v>0</v>
      </c>
      <c r="W19" s="842"/>
      <c r="X19" s="838">
        <f>X20</f>
        <v>0</v>
      </c>
      <c r="Y19" s="842"/>
      <c r="Z19" s="838">
        <f>Z20</f>
        <v>0</v>
      </c>
      <c r="AA19" s="842"/>
      <c r="AB19" s="838">
        <f>AB20</f>
        <v>0</v>
      </c>
      <c r="AC19" s="842"/>
      <c r="AD19" s="838">
        <f>AD20</f>
        <v>0</v>
      </c>
      <c r="AE19" s="843"/>
      <c r="AF19" s="170"/>
      <c r="AG19" s="171">
        <f t="shared" si="2"/>
        <v>0</v>
      </c>
    </row>
    <row r="20" spans="1:33" s="173" customFormat="1" x14ac:dyDescent="0.3">
      <c r="A20" s="172" t="s">
        <v>31</v>
      </c>
      <c r="B20" s="838">
        <f t="shared" ref="B20:T20" si="4">B21+B22+B23+B24</f>
        <v>0</v>
      </c>
      <c r="C20" s="838">
        <f t="shared" si="4"/>
        <v>0</v>
      </c>
      <c r="D20" s="838">
        <f t="shared" si="4"/>
        <v>0</v>
      </c>
      <c r="E20" s="838">
        <f t="shared" si="4"/>
        <v>0</v>
      </c>
      <c r="F20" s="844">
        <f t="shared" si="4"/>
        <v>0</v>
      </c>
      <c r="G20" s="844">
        <f t="shared" si="4"/>
        <v>0</v>
      </c>
      <c r="H20" s="838">
        <f t="shared" si="4"/>
        <v>0</v>
      </c>
      <c r="I20" s="838">
        <f t="shared" si="4"/>
        <v>0</v>
      </c>
      <c r="J20" s="838">
        <f t="shared" si="4"/>
        <v>0</v>
      </c>
      <c r="K20" s="838">
        <f t="shared" si="4"/>
        <v>0</v>
      </c>
      <c r="L20" s="838">
        <f t="shared" si="4"/>
        <v>0</v>
      </c>
      <c r="M20" s="838">
        <f t="shared" si="4"/>
        <v>0</v>
      </c>
      <c r="N20" s="838">
        <f t="shared" si="4"/>
        <v>0</v>
      </c>
      <c r="O20" s="838">
        <f t="shared" si="4"/>
        <v>0</v>
      </c>
      <c r="P20" s="838">
        <f t="shared" si="4"/>
        <v>0</v>
      </c>
      <c r="Q20" s="838">
        <f t="shared" si="4"/>
        <v>0</v>
      </c>
      <c r="R20" s="838">
        <f t="shared" si="4"/>
        <v>0</v>
      </c>
      <c r="S20" s="838">
        <f t="shared" si="4"/>
        <v>0</v>
      </c>
      <c r="T20" s="838">
        <f t="shared" si="4"/>
        <v>0</v>
      </c>
      <c r="U20" s="838"/>
      <c r="V20" s="838">
        <f>V21+V22+V23+V24</f>
        <v>0</v>
      </c>
      <c r="W20" s="838"/>
      <c r="X20" s="838">
        <f>X21+X22+X23+X24</f>
        <v>0</v>
      </c>
      <c r="Y20" s="838"/>
      <c r="Z20" s="838">
        <f>Z21+Z22+Z23+Z24</f>
        <v>0</v>
      </c>
      <c r="AA20" s="838"/>
      <c r="AB20" s="838">
        <f>AB21+AB22+AB23+AB24</f>
        <v>0</v>
      </c>
      <c r="AC20" s="838"/>
      <c r="AD20" s="838">
        <f>AD21+AD22+AD23+AD24</f>
        <v>0</v>
      </c>
      <c r="AE20" s="838"/>
      <c r="AF20" s="170"/>
      <c r="AG20" s="171">
        <f t="shared" si="2"/>
        <v>0</v>
      </c>
    </row>
    <row r="21" spans="1:33" x14ac:dyDescent="0.3">
      <c r="A21" s="174" t="s">
        <v>169</v>
      </c>
      <c r="B21" s="838">
        <f>H21+J21+L21+N21+P21+R21+T21+V21+X21+Z21+AB21+AD21</f>
        <v>0</v>
      </c>
      <c r="C21" s="846">
        <v>0</v>
      </c>
      <c r="D21" s="846">
        <f>I21</f>
        <v>0</v>
      </c>
      <c r="E21" s="838">
        <v>0</v>
      </c>
      <c r="F21" s="844">
        <v>0</v>
      </c>
      <c r="G21" s="844">
        <v>0</v>
      </c>
      <c r="H21" s="838">
        <v>0</v>
      </c>
      <c r="I21" s="838">
        <v>0</v>
      </c>
      <c r="J21" s="838">
        <v>0</v>
      </c>
      <c r="K21" s="838">
        <v>0</v>
      </c>
      <c r="L21" s="838">
        <v>0</v>
      </c>
      <c r="M21" s="838">
        <v>0</v>
      </c>
      <c r="N21" s="838">
        <v>0</v>
      </c>
      <c r="O21" s="838">
        <v>0</v>
      </c>
      <c r="P21" s="838">
        <v>0</v>
      </c>
      <c r="Q21" s="838">
        <v>0</v>
      </c>
      <c r="R21" s="838">
        <v>0</v>
      </c>
      <c r="S21" s="838">
        <v>0</v>
      </c>
      <c r="T21" s="838">
        <v>0</v>
      </c>
      <c r="U21" s="838"/>
      <c r="V21" s="838">
        <v>0</v>
      </c>
      <c r="W21" s="838"/>
      <c r="X21" s="838">
        <v>0</v>
      </c>
      <c r="Y21" s="838"/>
      <c r="Z21" s="838">
        <v>0</v>
      </c>
      <c r="AA21" s="838"/>
      <c r="AB21" s="838">
        <v>0</v>
      </c>
      <c r="AC21" s="838"/>
      <c r="AD21" s="838">
        <v>0</v>
      </c>
      <c r="AE21" s="838"/>
      <c r="AF21" s="178"/>
      <c r="AG21" s="171">
        <f t="shared" si="2"/>
        <v>0</v>
      </c>
    </row>
    <row r="22" spans="1:33" x14ac:dyDescent="0.3">
      <c r="A22" s="174" t="s">
        <v>32</v>
      </c>
      <c r="B22" s="838">
        <f>H22+J22+L22+N22+P22+R22+T22+V22+X22+Z22+AB22+AD22</f>
        <v>0</v>
      </c>
      <c r="C22" s="846">
        <v>0</v>
      </c>
      <c r="D22" s="846">
        <f>I22</f>
        <v>0</v>
      </c>
      <c r="E22" s="838">
        <v>0</v>
      </c>
      <c r="F22" s="844">
        <v>0</v>
      </c>
      <c r="G22" s="844">
        <v>0</v>
      </c>
      <c r="H22" s="838">
        <v>0</v>
      </c>
      <c r="I22" s="838">
        <v>0</v>
      </c>
      <c r="J22" s="838">
        <v>0</v>
      </c>
      <c r="K22" s="838">
        <v>0</v>
      </c>
      <c r="L22" s="838">
        <v>0</v>
      </c>
      <c r="M22" s="838">
        <v>0</v>
      </c>
      <c r="N22" s="838">
        <v>0</v>
      </c>
      <c r="O22" s="838">
        <v>0</v>
      </c>
      <c r="P22" s="838">
        <v>0</v>
      </c>
      <c r="Q22" s="838">
        <v>0</v>
      </c>
      <c r="R22" s="838">
        <v>0</v>
      </c>
      <c r="S22" s="838">
        <v>0</v>
      </c>
      <c r="T22" s="838">
        <v>0</v>
      </c>
      <c r="U22" s="838"/>
      <c r="V22" s="838">
        <v>0</v>
      </c>
      <c r="W22" s="838"/>
      <c r="X22" s="838">
        <v>0</v>
      </c>
      <c r="Y22" s="838"/>
      <c r="Z22" s="838">
        <v>0</v>
      </c>
      <c r="AA22" s="838"/>
      <c r="AB22" s="838">
        <v>0</v>
      </c>
      <c r="AC22" s="838"/>
      <c r="AD22" s="838">
        <v>0</v>
      </c>
      <c r="AE22" s="838"/>
      <c r="AF22" s="178"/>
      <c r="AG22" s="171">
        <f t="shared" si="2"/>
        <v>0</v>
      </c>
    </row>
    <row r="23" spans="1:33" x14ac:dyDescent="0.3">
      <c r="A23" s="174" t="s">
        <v>33</v>
      </c>
      <c r="B23" s="838">
        <f>H23+J23+L23+N23+P23+R23+T23+V23+X23+Z23+AB23+AD23</f>
        <v>0</v>
      </c>
      <c r="C23" s="839">
        <f>H23+J23+L23+N23+P23+R23</f>
        <v>0</v>
      </c>
      <c r="D23" s="839">
        <f>E23</f>
        <v>0</v>
      </c>
      <c r="E23" s="842">
        <f>I23+K23+M23+O23+Q23+S23</f>
        <v>0</v>
      </c>
      <c r="F23" s="840">
        <v>0</v>
      </c>
      <c r="G23" s="840">
        <v>0</v>
      </c>
      <c r="H23" s="842">
        <v>0</v>
      </c>
      <c r="I23" s="842">
        <v>0</v>
      </c>
      <c r="J23" s="842">
        <v>0</v>
      </c>
      <c r="K23" s="842">
        <v>0</v>
      </c>
      <c r="L23" s="842">
        <v>0</v>
      </c>
      <c r="M23" s="842">
        <v>0</v>
      </c>
      <c r="N23" s="842">
        <v>0</v>
      </c>
      <c r="O23" s="842">
        <v>0</v>
      </c>
      <c r="P23" s="842">
        <v>0</v>
      </c>
      <c r="Q23" s="842">
        <v>0</v>
      </c>
      <c r="R23" s="842">
        <v>0</v>
      </c>
      <c r="S23" s="842">
        <v>0</v>
      </c>
      <c r="T23" s="842">
        <v>0</v>
      </c>
      <c r="U23" s="842"/>
      <c r="V23" s="842">
        <v>0</v>
      </c>
      <c r="W23" s="842"/>
      <c r="X23" s="842">
        <v>0</v>
      </c>
      <c r="Y23" s="842"/>
      <c r="Z23" s="842">
        <v>0</v>
      </c>
      <c r="AA23" s="842"/>
      <c r="AB23" s="842">
        <v>0</v>
      </c>
      <c r="AC23" s="842"/>
      <c r="AD23" s="842">
        <v>0</v>
      </c>
      <c r="AE23" s="843"/>
      <c r="AF23" s="178"/>
      <c r="AG23" s="171">
        <f t="shared" si="2"/>
        <v>0</v>
      </c>
    </row>
    <row r="24" spans="1:33" x14ac:dyDescent="0.3">
      <c r="A24" s="174" t="s">
        <v>221</v>
      </c>
      <c r="B24" s="838">
        <f>H24+J24+L24+N24+P24+R24+T24+V24+X24+Z24+AB24+AD24</f>
        <v>0</v>
      </c>
      <c r="C24" s="846">
        <v>0</v>
      </c>
      <c r="D24" s="846">
        <f>I24</f>
        <v>0</v>
      </c>
      <c r="E24" s="838">
        <v>0</v>
      </c>
      <c r="F24" s="844">
        <v>0</v>
      </c>
      <c r="G24" s="844">
        <v>0</v>
      </c>
      <c r="H24" s="838">
        <v>0</v>
      </c>
      <c r="I24" s="838">
        <v>0</v>
      </c>
      <c r="J24" s="838">
        <v>0</v>
      </c>
      <c r="K24" s="838">
        <v>0</v>
      </c>
      <c r="L24" s="838">
        <v>0</v>
      </c>
      <c r="M24" s="838">
        <v>0</v>
      </c>
      <c r="N24" s="838">
        <v>0</v>
      </c>
      <c r="O24" s="838">
        <v>0</v>
      </c>
      <c r="P24" s="838">
        <v>0</v>
      </c>
      <c r="Q24" s="838">
        <v>0</v>
      </c>
      <c r="R24" s="838">
        <v>0</v>
      </c>
      <c r="S24" s="838">
        <v>0</v>
      </c>
      <c r="T24" s="838">
        <v>0</v>
      </c>
      <c r="U24" s="838"/>
      <c r="V24" s="838">
        <v>0</v>
      </c>
      <c r="W24" s="838"/>
      <c r="X24" s="838">
        <v>0</v>
      </c>
      <c r="Y24" s="838"/>
      <c r="Z24" s="838">
        <v>0</v>
      </c>
      <c r="AA24" s="838"/>
      <c r="AB24" s="838">
        <v>0</v>
      </c>
      <c r="AC24" s="838"/>
      <c r="AD24" s="838">
        <v>0</v>
      </c>
      <c r="AE24" s="838"/>
      <c r="AF24" s="178"/>
      <c r="AG24" s="171">
        <f t="shared" si="2"/>
        <v>0</v>
      </c>
    </row>
    <row r="25" spans="1:33" s="173" customFormat="1" ht="120.75" customHeight="1" x14ac:dyDescent="0.3">
      <c r="A25" s="180" t="s">
        <v>224</v>
      </c>
      <c r="B25" s="838">
        <f>B26</f>
        <v>0</v>
      </c>
      <c r="C25" s="839">
        <f>C26</f>
        <v>0</v>
      </c>
      <c r="D25" s="839">
        <f>D26</f>
        <v>0</v>
      </c>
      <c r="E25" s="838">
        <f>E26</f>
        <v>0</v>
      </c>
      <c r="F25" s="845">
        <f>F26</f>
        <v>0</v>
      </c>
      <c r="G25" s="840">
        <v>0</v>
      </c>
      <c r="H25" s="838">
        <f t="shared" ref="H25:T25" si="5">H26</f>
        <v>0</v>
      </c>
      <c r="I25" s="838">
        <f t="shared" si="5"/>
        <v>0</v>
      </c>
      <c r="J25" s="838">
        <f t="shared" si="5"/>
        <v>0</v>
      </c>
      <c r="K25" s="838">
        <f t="shared" si="5"/>
        <v>0</v>
      </c>
      <c r="L25" s="838">
        <f t="shared" si="5"/>
        <v>0</v>
      </c>
      <c r="M25" s="841">
        <f t="shared" si="5"/>
        <v>0</v>
      </c>
      <c r="N25" s="838">
        <f t="shared" si="5"/>
        <v>0</v>
      </c>
      <c r="O25" s="841">
        <f t="shared" si="5"/>
        <v>0</v>
      </c>
      <c r="P25" s="838">
        <f t="shared" si="5"/>
        <v>0</v>
      </c>
      <c r="Q25" s="841">
        <f t="shared" si="5"/>
        <v>0</v>
      </c>
      <c r="R25" s="838">
        <f t="shared" si="5"/>
        <v>0</v>
      </c>
      <c r="S25" s="841">
        <f t="shared" si="5"/>
        <v>0</v>
      </c>
      <c r="T25" s="838">
        <f t="shared" si="5"/>
        <v>0</v>
      </c>
      <c r="U25" s="842"/>
      <c r="V25" s="838">
        <f>V26</f>
        <v>0</v>
      </c>
      <c r="W25" s="842"/>
      <c r="X25" s="838">
        <f>X26</f>
        <v>0</v>
      </c>
      <c r="Y25" s="842"/>
      <c r="Z25" s="838">
        <f>Z26</f>
        <v>0</v>
      </c>
      <c r="AA25" s="842"/>
      <c r="AB25" s="838">
        <f>AB26</f>
        <v>0</v>
      </c>
      <c r="AC25" s="842"/>
      <c r="AD25" s="838">
        <f>AD26</f>
        <v>0</v>
      </c>
      <c r="AE25" s="843"/>
      <c r="AF25" s="170"/>
      <c r="AG25" s="171">
        <f t="shared" si="2"/>
        <v>0</v>
      </c>
    </row>
    <row r="26" spans="1:33" s="173" customFormat="1" x14ac:dyDescent="0.3">
      <c r="A26" s="172" t="s">
        <v>31</v>
      </c>
      <c r="B26" s="838">
        <f t="shared" ref="B26:T26" si="6">B27+B28+B29+B30</f>
        <v>0</v>
      </c>
      <c r="C26" s="838">
        <f t="shared" si="6"/>
        <v>0</v>
      </c>
      <c r="D26" s="838">
        <f t="shared" si="6"/>
        <v>0</v>
      </c>
      <c r="E26" s="838">
        <f t="shared" si="6"/>
        <v>0</v>
      </c>
      <c r="F26" s="844">
        <f t="shared" si="6"/>
        <v>0</v>
      </c>
      <c r="G26" s="844">
        <f t="shared" si="6"/>
        <v>0</v>
      </c>
      <c r="H26" s="838">
        <f t="shared" si="6"/>
        <v>0</v>
      </c>
      <c r="I26" s="838">
        <f t="shared" si="6"/>
        <v>0</v>
      </c>
      <c r="J26" s="838">
        <f t="shared" si="6"/>
        <v>0</v>
      </c>
      <c r="K26" s="838">
        <f t="shared" si="6"/>
        <v>0</v>
      </c>
      <c r="L26" s="838">
        <f t="shared" si="6"/>
        <v>0</v>
      </c>
      <c r="M26" s="838">
        <f t="shared" si="6"/>
        <v>0</v>
      </c>
      <c r="N26" s="838">
        <f t="shared" si="6"/>
        <v>0</v>
      </c>
      <c r="O26" s="838">
        <f t="shared" si="6"/>
        <v>0</v>
      </c>
      <c r="P26" s="838">
        <f t="shared" si="6"/>
        <v>0</v>
      </c>
      <c r="Q26" s="838">
        <f t="shared" si="6"/>
        <v>0</v>
      </c>
      <c r="R26" s="838">
        <f t="shared" si="6"/>
        <v>0</v>
      </c>
      <c r="S26" s="838">
        <f t="shared" si="6"/>
        <v>0</v>
      </c>
      <c r="T26" s="838">
        <f t="shared" si="6"/>
        <v>0</v>
      </c>
      <c r="U26" s="838"/>
      <c r="V26" s="838">
        <f>V27+V28+V29+V30</f>
        <v>0</v>
      </c>
      <c r="W26" s="838"/>
      <c r="X26" s="838">
        <f>X27+X28+X29+X30</f>
        <v>0</v>
      </c>
      <c r="Y26" s="838"/>
      <c r="Z26" s="838">
        <f>Z27+Z28+Z29+Z30</f>
        <v>0</v>
      </c>
      <c r="AA26" s="838"/>
      <c r="AB26" s="838">
        <f>AB27+AB28+AB29+AB30</f>
        <v>0</v>
      </c>
      <c r="AC26" s="838"/>
      <c r="AD26" s="838">
        <f>AD27+AD28+AD29+AD30</f>
        <v>0</v>
      </c>
      <c r="AE26" s="838"/>
      <c r="AF26" s="170"/>
      <c r="AG26" s="171">
        <f t="shared" si="2"/>
        <v>0</v>
      </c>
    </row>
    <row r="27" spans="1:33" x14ac:dyDescent="0.3">
      <c r="A27" s="174" t="s">
        <v>169</v>
      </c>
      <c r="B27" s="838">
        <f>H27+J27+L27+N27+P27+R27+T27+V27+X27+Z27+AB27+AD27</f>
        <v>0</v>
      </c>
      <c r="C27" s="846">
        <v>0</v>
      </c>
      <c r="D27" s="846">
        <f>I27</f>
        <v>0</v>
      </c>
      <c r="E27" s="838">
        <v>0</v>
      </c>
      <c r="F27" s="844">
        <v>0</v>
      </c>
      <c r="G27" s="844">
        <v>0</v>
      </c>
      <c r="H27" s="838">
        <v>0</v>
      </c>
      <c r="I27" s="838">
        <v>0</v>
      </c>
      <c r="J27" s="838">
        <v>0</v>
      </c>
      <c r="K27" s="838">
        <v>0</v>
      </c>
      <c r="L27" s="838">
        <v>0</v>
      </c>
      <c r="M27" s="838">
        <v>0</v>
      </c>
      <c r="N27" s="838">
        <v>0</v>
      </c>
      <c r="O27" s="838">
        <v>0</v>
      </c>
      <c r="P27" s="838">
        <v>0</v>
      </c>
      <c r="Q27" s="838">
        <v>0</v>
      </c>
      <c r="R27" s="838">
        <v>0</v>
      </c>
      <c r="S27" s="838">
        <v>0</v>
      </c>
      <c r="T27" s="838">
        <v>0</v>
      </c>
      <c r="U27" s="838"/>
      <c r="V27" s="838">
        <v>0</v>
      </c>
      <c r="W27" s="838"/>
      <c r="X27" s="838">
        <v>0</v>
      </c>
      <c r="Y27" s="838"/>
      <c r="Z27" s="838">
        <v>0</v>
      </c>
      <c r="AA27" s="838"/>
      <c r="AB27" s="838">
        <v>0</v>
      </c>
      <c r="AC27" s="838"/>
      <c r="AD27" s="838">
        <v>0</v>
      </c>
      <c r="AE27" s="838"/>
      <c r="AF27" s="178"/>
      <c r="AG27" s="171">
        <f t="shared" si="2"/>
        <v>0</v>
      </c>
    </row>
    <row r="28" spans="1:33" x14ac:dyDescent="0.3">
      <c r="A28" s="174" t="s">
        <v>32</v>
      </c>
      <c r="B28" s="838">
        <f>H28+J28+L28+N28+P28+R28+T28+V28+X28+Z28+AB28+AD28</f>
        <v>0</v>
      </c>
      <c r="C28" s="846">
        <v>0</v>
      </c>
      <c r="D28" s="846">
        <f>I28</f>
        <v>0</v>
      </c>
      <c r="E28" s="838">
        <v>0</v>
      </c>
      <c r="F28" s="844">
        <v>0</v>
      </c>
      <c r="G28" s="844">
        <v>0</v>
      </c>
      <c r="H28" s="838">
        <v>0</v>
      </c>
      <c r="I28" s="838">
        <v>0</v>
      </c>
      <c r="J28" s="838">
        <v>0</v>
      </c>
      <c r="K28" s="838">
        <v>0</v>
      </c>
      <c r="L28" s="838">
        <v>0</v>
      </c>
      <c r="M28" s="838">
        <v>0</v>
      </c>
      <c r="N28" s="838">
        <v>0</v>
      </c>
      <c r="O28" s="838">
        <v>0</v>
      </c>
      <c r="P28" s="838">
        <v>0</v>
      </c>
      <c r="Q28" s="838">
        <v>0</v>
      </c>
      <c r="R28" s="838">
        <v>0</v>
      </c>
      <c r="S28" s="838">
        <v>0</v>
      </c>
      <c r="T28" s="838">
        <v>0</v>
      </c>
      <c r="U28" s="838"/>
      <c r="V28" s="838">
        <v>0</v>
      </c>
      <c r="W28" s="838"/>
      <c r="X28" s="838">
        <v>0</v>
      </c>
      <c r="Y28" s="838"/>
      <c r="Z28" s="838">
        <v>0</v>
      </c>
      <c r="AA28" s="838"/>
      <c r="AB28" s="838">
        <v>0</v>
      </c>
      <c r="AC28" s="838"/>
      <c r="AD28" s="838">
        <v>0</v>
      </c>
      <c r="AE28" s="838"/>
      <c r="AF28" s="178"/>
      <c r="AG28" s="171">
        <f t="shared" si="2"/>
        <v>0</v>
      </c>
    </row>
    <row r="29" spans="1:33" x14ac:dyDescent="0.3">
      <c r="A29" s="174" t="s">
        <v>33</v>
      </c>
      <c r="B29" s="838">
        <f>H29+J29+L29+N29+P29+R29+T29+V29+X29+Z29+AB29+AD29</f>
        <v>0</v>
      </c>
      <c r="C29" s="839">
        <f>H29+J29+L29+N29+P29+R29</f>
        <v>0</v>
      </c>
      <c r="D29" s="839">
        <f>E29</f>
        <v>0</v>
      </c>
      <c r="E29" s="842">
        <f>I29+K29+M29+O29+Q29+S29</f>
        <v>0</v>
      </c>
      <c r="F29" s="840">
        <v>0</v>
      </c>
      <c r="G29" s="840">
        <v>0</v>
      </c>
      <c r="H29" s="842">
        <v>0</v>
      </c>
      <c r="I29" s="842">
        <v>0</v>
      </c>
      <c r="J29" s="842">
        <v>0</v>
      </c>
      <c r="K29" s="842">
        <v>0</v>
      </c>
      <c r="L29" s="842">
        <v>0</v>
      </c>
      <c r="M29" s="842">
        <v>0</v>
      </c>
      <c r="N29" s="842">
        <v>0</v>
      </c>
      <c r="O29" s="842">
        <v>0</v>
      </c>
      <c r="P29" s="842">
        <v>0</v>
      </c>
      <c r="Q29" s="842">
        <v>0</v>
      </c>
      <c r="R29" s="842">
        <v>0</v>
      </c>
      <c r="S29" s="842">
        <v>0</v>
      </c>
      <c r="T29" s="842">
        <v>0</v>
      </c>
      <c r="U29" s="842"/>
      <c r="V29" s="842">
        <v>0</v>
      </c>
      <c r="W29" s="842"/>
      <c r="X29" s="842">
        <v>0</v>
      </c>
      <c r="Y29" s="842"/>
      <c r="Z29" s="842">
        <v>0</v>
      </c>
      <c r="AA29" s="842"/>
      <c r="AB29" s="842">
        <v>0</v>
      </c>
      <c r="AC29" s="842"/>
      <c r="AD29" s="842">
        <v>0</v>
      </c>
      <c r="AE29" s="843"/>
      <c r="AF29" s="178"/>
      <c r="AG29" s="171">
        <f t="shared" si="2"/>
        <v>0</v>
      </c>
    </row>
    <row r="30" spans="1:33" x14ac:dyDescent="0.3">
      <c r="A30" s="174" t="s">
        <v>221</v>
      </c>
      <c r="B30" s="838">
        <f>H30+J30+L30+N30+P30+R30+T30+V30+X30+Z30+AB30+AD30</f>
        <v>0</v>
      </c>
      <c r="C30" s="846">
        <v>0</v>
      </c>
      <c r="D30" s="846">
        <f>I30</f>
        <v>0</v>
      </c>
      <c r="E30" s="838">
        <v>0</v>
      </c>
      <c r="F30" s="844">
        <v>0</v>
      </c>
      <c r="G30" s="844">
        <v>0</v>
      </c>
      <c r="H30" s="838">
        <v>0</v>
      </c>
      <c r="I30" s="838">
        <v>0</v>
      </c>
      <c r="J30" s="838">
        <v>0</v>
      </c>
      <c r="K30" s="838">
        <v>0</v>
      </c>
      <c r="L30" s="838">
        <v>0</v>
      </c>
      <c r="M30" s="838">
        <v>0</v>
      </c>
      <c r="N30" s="838">
        <v>0</v>
      </c>
      <c r="O30" s="838">
        <v>0</v>
      </c>
      <c r="P30" s="838">
        <v>0</v>
      </c>
      <c r="Q30" s="838">
        <v>0</v>
      </c>
      <c r="R30" s="838">
        <v>0</v>
      </c>
      <c r="S30" s="838">
        <v>0</v>
      </c>
      <c r="T30" s="838">
        <v>0</v>
      </c>
      <c r="U30" s="838"/>
      <c r="V30" s="838">
        <v>0</v>
      </c>
      <c r="W30" s="838"/>
      <c r="X30" s="838">
        <v>0</v>
      </c>
      <c r="Y30" s="838"/>
      <c r="Z30" s="838">
        <v>0</v>
      </c>
      <c r="AA30" s="838"/>
      <c r="AB30" s="838">
        <v>0</v>
      </c>
      <c r="AC30" s="838"/>
      <c r="AD30" s="838">
        <v>0</v>
      </c>
      <c r="AE30" s="838"/>
      <c r="AF30" s="178"/>
      <c r="AG30" s="171">
        <f t="shared" si="2"/>
        <v>0</v>
      </c>
    </row>
    <row r="31" spans="1:33" s="173" customFormat="1" ht="75" x14ac:dyDescent="0.3">
      <c r="A31" s="95" t="s">
        <v>225</v>
      </c>
      <c r="B31" s="847">
        <f>B32</f>
        <v>29265.200000000004</v>
      </c>
      <c r="C31" s="847">
        <f>C32</f>
        <v>14238.017289999998</v>
      </c>
      <c r="D31" s="847">
        <f t="shared" ref="D31:D69" si="7">E31</f>
        <v>10010.736859999999</v>
      </c>
      <c r="E31" s="847">
        <f t="shared" ref="E31:T31" si="8">E32</f>
        <v>10010.736859999999</v>
      </c>
      <c r="F31" s="848">
        <f t="shared" si="8"/>
        <v>34.206965474351783</v>
      </c>
      <c r="G31" s="848">
        <f t="shared" si="8"/>
        <v>70.309908016694095</v>
      </c>
      <c r="H31" s="847">
        <f t="shared" si="8"/>
        <v>3073.6245900000004</v>
      </c>
      <c r="I31" s="847">
        <f t="shared" si="8"/>
        <v>1817.1268499999999</v>
      </c>
      <c r="J31" s="847">
        <f t="shared" si="8"/>
        <v>2315.8159999999998</v>
      </c>
      <c r="K31" s="847">
        <f t="shared" si="8"/>
        <v>929.90039000000002</v>
      </c>
      <c r="L31" s="847">
        <f t="shared" si="8"/>
        <v>1084.066</v>
      </c>
      <c r="M31" s="847">
        <f t="shared" si="8"/>
        <v>1133.05394</v>
      </c>
      <c r="N31" s="847">
        <f t="shared" si="8"/>
        <v>4989.3769999999995</v>
      </c>
      <c r="O31" s="847">
        <f t="shared" si="8"/>
        <v>2345.4966799999997</v>
      </c>
      <c r="P31" s="847">
        <f t="shared" si="8"/>
        <v>1006.87754</v>
      </c>
      <c r="Q31" s="847">
        <f t="shared" si="8"/>
        <v>1731.4560100000001</v>
      </c>
      <c r="R31" s="847">
        <f t="shared" si="8"/>
        <v>1768.2561600000001</v>
      </c>
      <c r="S31" s="847">
        <f t="shared" si="8"/>
        <v>2053.7029899999998</v>
      </c>
      <c r="T31" s="847">
        <f t="shared" si="8"/>
        <v>5180.6328299999996</v>
      </c>
      <c r="U31" s="847"/>
      <c r="V31" s="847">
        <f>V32</f>
        <v>748.96600000000001</v>
      </c>
      <c r="W31" s="847"/>
      <c r="X31" s="847">
        <f>X32</f>
        <v>838.96600000000001</v>
      </c>
      <c r="Y31" s="847"/>
      <c r="Z31" s="847">
        <f>Z32</f>
        <v>2460.9410000000003</v>
      </c>
      <c r="AA31" s="847"/>
      <c r="AB31" s="847">
        <f>AB32</f>
        <v>784.96600000000001</v>
      </c>
      <c r="AC31" s="847"/>
      <c r="AD31" s="847">
        <f>AD32</f>
        <v>5012.7108799999996</v>
      </c>
      <c r="AE31" s="847"/>
      <c r="AF31" s="182"/>
      <c r="AG31" s="171">
        <f t="shared" si="2"/>
        <v>0</v>
      </c>
    </row>
    <row r="32" spans="1:33" s="173" customFormat="1" x14ac:dyDescent="0.3">
      <c r="A32" s="183" t="s">
        <v>31</v>
      </c>
      <c r="B32" s="847">
        <f>B33+B34+B35+B36</f>
        <v>29265.200000000004</v>
      </c>
      <c r="C32" s="847">
        <f>C33+C34+C35+C36</f>
        <v>14238.017289999998</v>
      </c>
      <c r="D32" s="847">
        <f t="shared" si="7"/>
        <v>10010.736859999999</v>
      </c>
      <c r="E32" s="847">
        <f>E33+E34+E35+E36</f>
        <v>10010.736859999999</v>
      </c>
      <c r="F32" s="844">
        <f>F33+F34+F35+F36</f>
        <v>34.206965474351783</v>
      </c>
      <c r="G32" s="844">
        <f>E32/C32*100</f>
        <v>70.309908016694095</v>
      </c>
      <c r="H32" s="847">
        <f t="shared" ref="H32:T32" si="9">H33+H34+H35+H36</f>
        <v>3073.6245900000004</v>
      </c>
      <c r="I32" s="847">
        <f t="shared" si="9"/>
        <v>1817.1268499999999</v>
      </c>
      <c r="J32" s="847">
        <f t="shared" si="9"/>
        <v>2315.8159999999998</v>
      </c>
      <c r="K32" s="847">
        <f t="shared" si="9"/>
        <v>929.90039000000002</v>
      </c>
      <c r="L32" s="847">
        <f t="shared" si="9"/>
        <v>1084.066</v>
      </c>
      <c r="M32" s="847">
        <f t="shared" si="9"/>
        <v>1133.05394</v>
      </c>
      <c r="N32" s="847">
        <f t="shared" si="9"/>
        <v>4989.3769999999995</v>
      </c>
      <c r="O32" s="847">
        <f t="shared" si="9"/>
        <v>2345.4966799999997</v>
      </c>
      <c r="P32" s="847">
        <f t="shared" si="9"/>
        <v>1006.87754</v>
      </c>
      <c r="Q32" s="847">
        <f t="shared" si="9"/>
        <v>1731.4560100000001</v>
      </c>
      <c r="R32" s="847">
        <f t="shared" si="9"/>
        <v>1768.2561600000001</v>
      </c>
      <c r="S32" s="847">
        <f t="shared" si="9"/>
        <v>2053.7029899999998</v>
      </c>
      <c r="T32" s="847">
        <f t="shared" si="9"/>
        <v>5180.6328299999996</v>
      </c>
      <c r="U32" s="847"/>
      <c r="V32" s="847">
        <f>V33+V34+V35+V36</f>
        <v>748.96600000000001</v>
      </c>
      <c r="W32" s="847"/>
      <c r="X32" s="847">
        <f>X33+X34+X35+X36</f>
        <v>838.96600000000001</v>
      </c>
      <c r="Y32" s="847"/>
      <c r="Z32" s="847">
        <f>Z33+Z34+Z35+Z36</f>
        <v>2460.9410000000003</v>
      </c>
      <c r="AA32" s="847"/>
      <c r="AB32" s="847">
        <f>AB33+AB34+AB35+AB36</f>
        <v>784.96600000000001</v>
      </c>
      <c r="AC32" s="847"/>
      <c r="AD32" s="847">
        <f>AD33+AD34+AD35+AD36</f>
        <v>5012.7108799999996</v>
      </c>
      <c r="AE32" s="847"/>
      <c r="AF32" s="184"/>
      <c r="AG32" s="171">
        <f t="shared" si="2"/>
        <v>0</v>
      </c>
    </row>
    <row r="33" spans="1:33" x14ac:dyDescent="0.3">
      <c r="A33" s="174" t="s">
        <v>169</v>
      </c>
      <c r="B33" s="847">
        <f t="shared" ref="B33:C36" si="10">B39+B45+B51+B57</f>
        <v>0</v>
      </c>
      <c r="C33" s="847">
        <f t="shared" si="10"/>
        <v>0</v>
      </c>
      <c r="D33" s="847">
        <f t="shared" si="7"/>
        <v>0</v>
      </c>
      <c r="E33" s="847">
        <f>E39+E45+E51+E57</f>
        <v>0</v>
      </c>
      <c r="F33" s="844">
        <v>0</v>
      </c>
      <c r="G33" s="844">
        <v>0</v>
      </c>
      <c r="H33" s="847">
        <f t="shared" ref="H33:T33" si="11">H39+H45+H51+H57</f>
        <v>0</v>
      </c>
      <c r="I33" s="847">
        <f t="shared" si="11"/>
        <v>0</v>
      </c>
      <c r="J33" s="847">
        <f t="shared" si="11"/>
        <v>0</v>
      </c>
      <c r="K33" s="847">
        <f t="shared" si="11"/>
        <v>0</v>
      </c>
      <c r="L33" s="847">
        <f t="shared" si="11"/>
        <v>0</v>
      </c>
      <c r="M33" s="847">
        <f t="shared" si="11"/>
        <v>0</v>
      </c>
      <c r="N33" s="847">
        <f t="shared" si="11"/>
        <v>0</v>
      </c>
      <c r="O33" s="847">
        <f t="shared" si="11"/>
        <v>0</v>
      </c>
      <c r="P33" s="847">
        <f t="shared" si="11"/>
        <v>0</v>
      </c>
      <c r="Q33" s="847">
        <f t="shared" si="11"/>
        <v>0</v>
      </c>
      <c r="R33" s="847">
        <f t="shared" si="11"/>
        <v>0</v>
      </c>
      <c r="S33" s="847">
        <f t="shared" si="11"/>
        <v>0</v>
      </c>
      <c r="T33" s="847">
        <f t="shared" si="11"/>
        <v>0</v>
      </c>
      <c r="U33" s="847"/>
      <c r="V33" s="847">
        <f>V39+V45+V51+V57</f>
        <v>0</v>
      </c>
      <c r="W33" s="847"/>
      <c r="X33" s="847">
        <f>X39+X45+X51+X57</f>
        <v>0</v>
      </c>
      <c r="Y33" s="847"/>
      <c r="Z33" s="847">
        <f>Z39+Z45+Z51+Z57</f>
        <v>0</v>
      </c>
      <c r="AA33" s="847"/>
      <c r="AB33" s="847">
        <f>AB39+AB45+AB51+AB57</f>
        <v>0</v>
      </c>
      <c r="AC33" s="847"/>
      <c r="AD33" s="847">
        <f>AD39+AD45+AD51+AD57</f>
        <v>0</v>
      </c>
      <c r="AE33" s="847"/>
      <c r="AF33" s="185"/>
      <c r="AG33" s="171">
        <f t="shared" si="2"/>
        <v>0</v>
      </c>
    </row>
    <row r="34" spans="1:33" x14ac:dyDescent="0.3">
      <c r="A34" s="174" t="s">
        <v>32</v>
      </c>
      <c r="B34" s="847">
        <f t="shared" si="10"/>
        <v>0</v>
      </c>
      <c r="C34" s="847">
        <f t="shared" si="10"/>
        <v>0</v>
      </c>
      <c r="D34" s="847">
        <f t="shared" si="7"/>
        <v>0</v>
      </c>
      <c r="E34" s="847">
        <f>E40+E46+E52+E58</f>
        <v>0</v>
      </c>
      <c r="F34" s="844">
        <v>0</v>
      </c>
      <c r="G34" s="844">
        <v>0</v>
      </c>
      <c r="H34" s="847">
        <f t="shared" ref="H34:T34" si="12">H40+H46+H52+H58</f>
        <v>0</v>
      </c>
      <c r="I34" s="847">
        <f t="shared" si="12"/>
        <v>0</v>
      </c>
      <c r="J34" s="847">
        <f t="shared" si="12"/>
        <v>0</v>
      </c>
      <c r="K34" s="847">
        <f t="shared" si="12"/>
        <v>0</v>
      </c>
      <c r="L34" s="847">
        <f t="shared" si="12"/>
        <v>0</v>
      </c>
      <c r="M34" s="847">
        <f t="shared" si="12"/>
        <v>0</v>
      </c>
      <c r="N34" s="847">
        <f t="shared" si="12"/>
        <v>0</v>
      </c>
      <c r="O34" s="847">
        <f t="shared" si="12"/>
        <v>0</v>
      </c>
      <c r="P34" s="847">
        <f t="shared" si="12"/>
        <v>0</v>
      </c>
      <c r="Q34" s="847">
        <f t="shared" si="12"/>
        <v>0</v>
      </c>
      <c r="R34" s="847">
        <f t="shared" si="12"/>
        <v>0</v>
      </c>
      <c r="S34" s="847">
        <f t="shared" si="12"/>
        <v>0</v>
      </c>
      <c r="T34" s="847">
        <f t="shared" si="12"/>
        <v>0</v>
      </c>
      <c r="U34" s="847"/>
      <c r="V34" s="847">
        <f>V40+V46+V52+V58</f>
        <v>0</v>
      </c>
      <c r="W34" s="847"/>
      <c r="X34" s="847">
        <f>X40+X46+X52+X58</f>
        <v>0</v>
      </c>
      <c r="Y34" s="847"/>
      <c r="Z34" s="847">
        <f>Z40+Z46+Z52+Z58</f>
        <v>0</v>
      </c>
      <c r="AA34" s="847"/>
      <c r="AB34" s="847">
        <f>AB40+AB46+AB52+AB58</f>
        <v>0</v>
      </c>
      <c r="AC34" s="847"/>
      <c r="AD34" s="847">
        <f>AD40+AD46+AD52+AD58</f>
        <v>0</v>
      </c>
      <c r="AE34" s="847"/>
      <c r="AF34" s="185"/>
      <c r="AG34" s="171">
        <f t="shared" si="2"/>
        <v>0</v>
      </c>
    </row>
    <row r="35" spans="1:33" x14ac:dyDescent="0.3">
      <c r="A35" s="174" t="s">
        <v>33</v>
      </c>
      <c r="B35" s="847">
        <f t="shared" si="10"/>
        <v>29265.200000000004</v>
      </c>
      <c r="C35" s="847">
        <f t="shared" si="10"/>
        <v>14238.017289999998</v>
      </c>
      <c r="D35" s="847">
        <f t="shared" si="7"/>
        <v>10010.736859999999</v>
      </c>
      <c r="E35" s="847">
        <f>E41+E47+E53+E59</f>
        <v>10010.736859999999</v>
      </c>
      <c r="F35" s="844">
        <f>E35/B35*100</f>
        <v>34.206965474351783</v>
      </c>
      <c r="G35" s="844">
        <f>E35/C35*100</f>
        <v>70.309908016694095</v>
      </c>
      <c r="H35" s="847">
        <f t="shared" ref="H35:T35" si="13">H41+H47+H53+H59</f>
        <v>3073.6245900000004</v>
      </c>
      <c r="I35" s="847">
        <f t="shared" si="13"/>
        <v>1817.1268499999999</v>
      </c>
      <c r="J35" s="847">
        <f t="shared" si="13"/>
        <v>2315.8159999999998</v>
      </c>
      <c r="K35" s="847">
        <f t="shared" si="13"/>
        <v>929.90039000000002</v>
      </c>
      <c r="L35" s="847">
        <f t="shared" si="13"/>
        <v>1084.066</v>
      </c>
      <c r="M35" s="847">
        <f t="shared" si="13"/>
        <v>1133.05394</v>
      </c>
      <c r="N35" s="847">
        <f t="shared" si="13"/>
        <v>4989.3769999999995</v>
      </c>
      <c r="O35" s="847">
        <f t="shared" si="13"/>
        <v>2345.4966799999997</v>
      </c>
      <c r="P35" s="847">
        <f t="shared" si="13"/>
        <v>1006.87754</v>
      </c>
      <c r="Q35" s="847">
        <f t="shared" si="13"/>
        <v>1731.4560100000001</v>
      </c>
      <c r="R35" s="847">
        <f t="shared" si="13"/>
        <v>1768.2561600000001</v>
      </c>
      <c r="S35" s="847">
        <f t="shared" si="13"/>
        <v>2053.7029899999998</v>
      </c>
      <c r="T35" s="847">
        <f t="shared" si="13"/>
        <v>5180.6328299999996</v>
      </c>
      <c r="U35" s="847"/>
      <c r="V35" s="847">
        <f>V41+V47+V53+V59</f>
        <v>748.96600000000001</v>
      </c>
      <c r="W35" s="847"/>
      <c r="X35" s="847">
        <f>X41+X47+X53+X59</f>
        <v>838.96600000000001</v>
      </c>
      <c r="Y35" s="847"/>
      <c r="Z35" s="847">
        <f>Z41+Z47+Z53+Z59</f>
        <v>2460.9410000000003</v>
      </c>
      <c r="AA35" s="847"/>
      <c r="AB35" s="847">
        <f>AB41+AB47+AB53+AB59</f>
        <v>784.96600000000001</v>
      </c>
      <c r="AC35" s="847"/>
      <c r="AD35" s="847">
        <f>AD41+AD47+AD53+AD59</f>
        <v>5012.7108799999996</v>
      </c>
      <c r="AE35" s="847"/>
      <c r="AF35" s="856"/>
      <c r="AG35" s="171">
        <f t="shared" si="2"/>
        <v>0</v>
      </c>
    </row>
    <row r="36" spans="1:33" x14ac:dyDescent="0.3">
      <c r="A36" s="174" t="s">
        <v>221</v>
      </c>
      <c r="B36" s="847">
        <f t="shared" si="10"/>
        <v>0</v>
      </c>
      <c r="C36" s="847">
        <f t="shared" si="10"/>
        <v>0</v>
      </c>
      <c r="D36" s="847">
        <f t="shared" si="7"/>
        <v>0</v>
      </c>
      <c r="E36" s="847">
        <f>E42+E48+E54+E60</f>
        <v>0</v>
      </c>
      <c r="F36" s="844">
        <v>0</v>
      </c>
      <c r="G36" s="844">
        <v>0</v>
      </c>
      <c r="H36" s="847">
        <f t="shared" ref="H36:P36" si="14">H42+H48+H54+H60</f>
        <v>0</v>
      </c>
      <c r="I36" s="847">
        <f t="shared" si="14"/>
        <v>0</v>
      </c>
      <c r="J36" s="847">
        <f t="shared" si="14"/>
        <v>0</v>
      </c>
      <c r="K36" s="847">
        <f t="shared" si="14"/>
        <v>0</v>
      </c>
      <c r="L36" s="847">
        <f t="shared" si="14"/>
        <v>0</v>
      </c>
      <c r="M36" s="847">
        <f t="shared" si="14"/>
        <v>0</v>
      </c>
      <c r="N36" s="847">
        <f t="shared" si="14"/>
        <v>0</v>
      </c>
      <c r="O36" s="847">
        <f t="shared" si="14"/>
        <v>0</v>
      </c>
      <c r="P36" s="847">
        <f t="shared" si="14"/>
        <v>0</v>
      </c>
      <c r="Q36" s="847">
        <v>0</v>
      </c>
      <c r="R36" s="847">
        <f>R42+R48+R54+R60</f>
        <v>0</v>
      </c>
      <c r="S36" s="847">
        <f>S42+S48+S54+S60</f>
        <v>0</v>
      </c>
      <c r="T36" s="847">
        <f>T42+T48+T54+T60</f>
        <v>0</v>
      </c>
      <c r="U36" s="847"/>
      <c r="V36" s="847">
        <f>V42+V48+V54+V60</f>
        <v>0</v>
      </c>
      <c r="W36" s="847"/>
      <c r="X36" s="847">
        <f>X42+X48+X54+X60</f>
        <v>0</v>
      </c>
      <c r="Y36" s="847"/>
      <c r="Z36" s="847">
        <f>Z42+Z48+Z54+Z60</f>
        <v>0</v>
      </c>
      <c r="AA36" s="847"/>
      <c r="AB36" s="847">
        <f>AB42+AB48+AB54+AB60</f>
        <v>0</v>
      </c>
      <c r="AC36" s="847"/>
      <c r="AD36" s="847">
        <f>AD42+AD48+AD54+AD60</f>
        <v>0</v>
      </c>
      <c r="AE36" s="847"/>
      <c r="AF36" s="856"/>
      <c r="AG36" s="171">
        <f t="shared" si="2"/>
        <v>0</v>
      </c>
    </row>
    <row r="37" spans="1:33" ht="37.5" x14ac:dyDescent="0.3">
      <c r="A37" s="186" t="s">
        <v>226</v>
      </c>
      <c r="B37" s="838">
        <f>B38</f>
        <v>166.6</v>
      </c>
      <c r="C37" s="838">
        <f>C38</f>
        <v>89.333590000000001</v>
      </c>
      <c r="D37" s="838">
        <f t="shared" si="7"/>
        <v>89.329319999999996</v>
      </c>
      <c r="E37" s="842">
        <f>E38</f>
        <v>89.329319999999996</v>
      </c>
      <c r="F37" s="844">
        <f>E37/B37*100</f>
        <v>53.61903961584634</v>
      </c>
      <c r="G37" s="844">
        <f>E37/C37*100</f>
        <v>99.99522016298684</v>
      </c>
      <c r="H37" s="838">
        <f t="shared" ref="H37:T37" si="15">H38</f>
        <v>60.98359</v>
      </c>
      <c r="I37" s="842">
        <f t="shared" si="15"/>
        <v>59.389319999999998</v>
      </c>
      <c r="J37" s="838">
        <f t="shared" si="15"/>
        <v>28.35</v>
      </c>
      <c r="K37" s="838">
        <f t="shared" si="15"/>
        <v>29.94</v>
      </c>
      <c r="L37" s="838">
        <f t="shared" si="15"/>
        <v>0</v>
      </c>
      <c r="M37" s="841">
        <f t="shared" si="15"/>
        <v>0</v>
      </c>
      <c r="N37" s="838">
        <f t="shared" si="15"/>
        <v>0</v>
      </c>
      <c r="O37" s="841">
        <f t="shared" si="15"/>
        <v>0</v>
      </c>
      <c r="P37" s="838">
        <f t="shared" si="15"/>
        <v>0</v>
      </c>
      <c r="Q37" s="841">
        <f t="shared" si="15"/>
        <v>0</v>
      </c>
      <c r="R37" s="838">
        <f t="shared" si="15"/>
        <v>0</v>
      </c>
      <c r="S37" s="841">
        <f t="shared" si="15"/>
        <v>0</v>
      </c>
      <c r="T37" s="838">
        <f t="shared" si="15"/>
        <v>77.266409999999993</v>
      </c>
      <c r="U37" s="842"/>
      <c r="V37" s="838">
        <f>V38</f>
        <v>0</v>
      </c>
      <c r="W37" s="842"/>
      <c r="X37" s="838">
        <f>X38</f>
        <v>0</v>
      </c>
      <c r="Y37" s="842"/>
      <c r="Z37" s="838">
        <f>Z38</f>
        <v>0</v>
      </c>
      <c r="AA37" s="842"/>
      <c r="AB37" s="838">
        <f>AB38</f>
        <v>0</v>
      </c>
      <c r="AC37" s="842"/>
      <c r="AD37" s="838">
        <f>AD38</f>
        <v>0</v>
      </c>
      <c r="AE37" s="843"/>
      <c r="AF37" s="191"/>
      <c r="AG37" s="171">
        <f t="shared" si="2"/>
        <v>0</v>
      </c>
    </row>
    <row r="38" spans="1:33" s="173" customFormat="1" x14ac:dyDescent="0.3">
      <c r="A38" s="192" t="s">
        <v>31</v>
      </c>
      <c r="B38" s="838">
        <f>B39+B40+B41+B42</f>
        <v>166.6</v>
      </c>
      <c r="C38" s="838">
        <f>C39+C40+C41+C42</f>
        <v>89.333590000000001</v>
      </c>
      <c r="D38" s="838">
        <f t="shared" si="7"/>
        <v>89.329319999999996</v>
      </c>
      <c r="E38" s="838">
        <f>E39+E40+E41+E42</f>
        <v>89.329319999999996</v>
      </c>
      <c r="F38" s="844">
        <f>E38/B38*100</f>
        <v>53.61903961584634</v>
      </c>
      <c r="G38" s="844">
        <f>E38/C38*100</f>
        <v>99.99522016298684</v>
      </c>
      <c r="H38" s="838">
        <f t="shared" ref="H38:T38" si="16">H39+H40+H41+H42</f>
        <v>60.98359</v>
      </c>
      <c r="I38" s="838">
        <f t="shared" si="16"/>
        <v>59.389319999999998</v>
      </c>
      <c r="J38" s="838">
        <f t="shared" si="16"/>
        <v>28.35</v>
      </c>
      <c r="K38" s="838">
        <f t="shared" si="16"/>
        <v>29.94</v>
      </c>
      <c r="L38" s="838">
        <f t="shared" si="16"/>
        <v>0</v>
      </c>
      <c r="M38" s="838">
        <f t="shared" si="16"/>
        <v>0</v>
      </c>
      <c r="N38" s="838">
        <f t="shared" si="16"/>
        <v>0</v>
      </c>
      <c r="O38" s="838">
        <f t="shared" si="16"/>
        <v>0</v>
      </c>
      <c r="P38" s="838">
        <f t="shared" si="16"/>
        <v>0</v>
      </c>
      <c r="Q38" s="838">
        <f t="shared" si="16"/>
        <v>0</v>
      </c>
      <c r="R38" s="838">
        <f t="shared" si="16"/>
        <v>0</v>
      </c>
      <c r="S38" s="838">
        <f t="shared" si="16"/>
        <v>0</v>
      </c>
      <c r="T38" s="838">
        <f t="shared" si="16"/>
        <v>77.266409999999993</v>
      </c>
      <c r="U38" s="838"/>
      <c r="V38" s="838">
        <f>V39+V40+V41+V42</f>
        <v>0</v>
      </c>
      <c r="W38" s="838"/>
      <c r="X38" s="838">
        <f>X39+X40+X41+X42</f>
        <v>0</v>
      </c>
      <c r="Y38" s="838"/>
      <c r="Z38" s="838">
        <f>Z39+Z40+Z41+Z42</f>
        <v>0</v>
      </c>
      <c r="AA38" s="838"/>
      <c r="AB38" s="838">
        <f>AB39+AB40+AB41+AB42</f>
        <v>0</v>
      </c>
      <c r="AC38" s="838"/>
      <c r="AD38" s="838">
        <f>AD39+AD40+AD41+AD42</f>
        <v>0</v>
      </c>
      <c r="AE38" s="838"/>
      <c r="AF38" s="191"/>
      <c r="AG38" s="171">
        <f t="shared" si="2"/>
        <v>0</v>
      </c>
    </row>
    <row r="39" spans="1:33" x14ac:dyDescent="0.3">
      <c r="A39" s="195" t="s">
        <v>169</v>
      </c>
      <c r="B39" s="838">
        <f>H39+J39+L39+N39+P39+R39+T39+V39+X39+Z39+AB39+AD39</f>
        <v>0</v>
      </c>
      <c r="C39" s="838">
        <f>H39</f>
        <v>0</v>
      </c>
      <c r="D39" s="838">
        <f t="shared" si="7"/>
        <v>0</v>
      </c>
      <c r="E39" s="838">
        <v>0</v>
      </c>
      <c r="F39" s="844">
        <v>0</v>
      </c>
      <c r="G39" s="844">
        <v>0</v>
      </c>
      <c r="H39" s="838">
        <v>0</v>
      </c>
      <c r="I39" s="838">
        <v>0</v>
      </c>
      <c r="J39" s="838">
        <v>0</v>
      </c>
      <c r="K39" s="838">
        <v>0</v>
      </c>
      <c r="L39" s="838">
        <v>0</v>
      </c>
      <c r="M39" s="838">
        <v>0</v>
      </c>
      <c r="N39" s="838">
        <v>0</v>
      </c>
      <c r="O39" s="838">
        <v>0</v>
      </c>
      <c r="P39" s="838">
        <v>0</v>
      </c>
      <c r="Q39" s="838">
        <v>0</v>
      </c>
      <c r="R39" s="838">
        <v>0</v>
      </c>
      <c r="S39" s="838">
        <v>0</v>
      </c>
      <c r="T39" s="838">
        <v>0</v>
      </c>
      <c r="U39" s="838"/>
      <c r="V39" s="838">
        <v>0</v>
      </c>
      <c r="W39" s="838"/>
      <c r="X39" s="838">
        <v>0</v>
      </c>
      <c r="Y39" s="838"/>
      <c r="Z39" s="838">
        <v>0</v>
      </c>
      <c r="AA39" s="838"/>
      <c r="AB39" s="838">
        <v>0</v>
      </c>
      <c r="AC39" s="838"/>
      <c r="AD39" s="838">
        <v>0</v>
      </c>
      <c r="AE39" s="838"/>
      <c r="AF39" s="191"/>
      <c r="AG39" s="171">
        <f t="shared" si="2"/>
        <v>0</v>
      </c>
    </row>
    <row r="40" spans="1:33" x14ac:dyDescent="0.3">
      <c r="A40" s="195" t="s">
        <v>32</v>
      </c>
      <c r="B40" s="838">
        <f>H40+J40+L40+N40+P40+R40+T40+V40+X40+Z40+AB40+AD40</f>
        <v>0</v>
      </c>
      <c r="C40" s="838">
        <f>H40</f>
        <v>0</v>
      </c>
      <c r="D40" s="838">
        <f t="shared" si="7"/>
        <v>0</v>
      </c>
      <c r="E40" s="838">
        <v>0</v>
      </c>
      <c r="F40" s="844">
        <v>0</v>
      </c>
      <c r="G40" s="844">
        <v>0</v>
      </c>
      <c r="H40" s="838">
        <v>0</v>
      </c>
      <c r="I40" s="838">
        <v>0</v>
      </c>
      <c r="J40" s="838">
        <v>0</v>
      </c>
      <c r="K40" s="838">
        <v>0</v>
      </c>
      <c r="L40" s="838">
        <v>0</v>
      </c>
      <c r="M40" s="838">
        <v>0</v>
      </c>
      <c r="N40" s="838">
        <v>0</v>
      </c>
      <c r="O40" s="838">
        <v>0</v>
      </c>
      <c r="P40" s="838">
        <v>0</v>
      </c>
      <c r="Q40" s="838">
        <v>0</v>
      </c>
      <c r="R40" s="838">
        <v>0</v>
      </c>
      <c r="S40" s="838">
        <v>0</v>
      </c>
      <c r="T40" s="838">
        <v>0</v>
      </c>
      <c r="U40" s="838"/>
      <c r="V40" s="838">
        <v>0</v>
      </c>
      <c r="W40" s="838"/>
      <c r="X40" s="838">
        <v>0</v>
      </c>
      <c r="Y40" s="838"/>
      <c r="Z40" s="838">
        <v>0</v>
      </c>
      <c r="AA40" s="838"/>
      <c r="AB40" s="838">
        <v>0</v>
      </c>
      <c r="AC40" s="838"/>
      <c r="AD40" s="838">
        <v>0</v>
      </c>
      <c r="AE40" s="838"/>
      <c r="AF40" s="191"/>
      <c r="AG40" s="171">
        <f t="shared" si="2"/>
        <v>0</v>
      </c>
    </row>
    <row r="41" spans="1:33" x14ac:dyDescent="0.3">
      <c r="A41" s="195" t="s">
        <v>33</v>
      </c>
      <c r="B41" s="838">
        <f>H41+J41+L41+N41+P41+R41+T41+V41+X41+Z41+AB41+AD41</f>
        <v>166.6</v>
      </c>
      <c r="C41" s="839">
        <f>H41+J41+L41+N41+P41+R41</f>
        <v>89.333590000000001</v>
      </c>
      <c r="D41" s="839">
        <f t="shared" si="7"/>
        <v>89.329319999999996</v>
      </c>
      <c r="E41" s="842">
        <f>I41+K41+M41+O41+Q41+S41</f>
        <v>89.329319999999996</v>
      </c>
      <c r="F41" s="844">
        <f>E41/B41*100</f>
        <v>53.61903961584634</v>
      </c>
      <c r="G41" s="844">
        <f>E41/C41*100</f>
        <v>99.99522016298684</v>
      </c>
      <c r="H41" s="838">
        <v>60.98359</v>
      </c>
      <c r="I41" s="838">
        <v>59.389319999999998</v>
      </c>
      <c r="J41" s="838">
        <v>28.35</v>
      </c>
      <c r="K41" s="838">
        <v>29.94</v>
      </c>
      <c r="L41" s="838">
        <v>0</v>
      </c>
      <c r="M41" s="838">
        <v>0</v>
      </c>
      <c r="N41" s="838">
        <v>0</v>
      </c>
      <c r="O41" s="838">
        <v>0</v>
      </c>
      <c r="P41" s="838">
        <v>0</v>
      </c>
      <c r="Q41" s="838">
        <v>0</v>
      </c>
      <c r="R41" s="838">
        <v>0</v>
      </c>
      <c r="S41" s="838">
        <v>0</v>
      </c>
      <c r="T41" s="838">
        <v>77.266409999999993</v>
      </c>
      <c r="U41" s="838"/>
      <c r="V41" s="838">
        <v>0</v>
      </c>
      <c r="W41" s="838"/>
      <c r="X41" s="838">
        <v>0</v>
      </c>
      <c r="Y41" s="838"/>
      <c r="Z41" s="838">
        <v>0</v>
      </c>
      <c r="AA41" s="838"/>
      <c r="AB41" s="838">
        <v>0</v>
      </c>
      <c r="AC41" s="838"/>
      <c r="AD41" s="838">
        <v>0</v>
      </c>
      <c r="AE41" s="838"/>
      <c r="AF41" s="191"/>
      <c r="AG41" s="171">
        <f t="shared" si="2"/>
        <v>0</v>
      </c>
    </row>
    <row r="42" spans="1:33" x14ac:dyDescent="0.3">
      <c r="A42" s="195" t="s">
        <v>221</v>
      </c>
      <c r="B42" s="838">
        <f>H42+J42+L42+N42+P42+R42+T42+V42+X42+Z42+AB42+AD42</f>
        <v>0</v>
      </c>
      <c r="C42" s="838">
        <f>H42</f>
        <v>0</v>
      </c>
      <c r="D42" s="838">
        <f t="shared" si="7"/>
        <v>0</v>
      </c>
      <c r="E42" s="838">
        <v>0</v>
      </c>
      <c r="F42" s="844">
        <v>0</v>
      </c>
      <c r="G42" s="844">
        <v>0</v>
      </c>
      <c r="H42" s="838">
        <v>0</v>
      </c>
      <c r="I42" s="838">
        <v>0</v>
      </c>
      <c r="J42" s="838">
        <v>0</v>
      </c>
      <c r="K42" s="838">
        <v>0</v>
      </c>
      <c r="L42" s="838">
        <v>0</v>
      </c>
      <c r="M42" s="838">
        <v>0</v>
      </c>
      <c r="N42" s="838">
        <v>0</v>
      </c>
      <c r="O42" s="838">
        <v>0</v>
      </c>
      <c r="P42" s="838">
        <v>0</v>
      </c>
      <c r="Q42" s="838">
        <v>0</v>
      </c>
      <c r="R42" s="838">
        <v>0</v>
      </c>
      <c r="S42" s="838">
        <v>0</v>
      </c>
      <c r="T42" s="838">
        <v>0</v>
      </c>
      <c r="U42" s="838"/>
      <c r="V42" s="838">
        <v>0</v>
      </c>
      <c r="W42" s="838"/>
      <c r="X42" s="838">
        <v>0</v>
      </c>
      <c r="Y42" s="838"/>
      <c r="Z42" s="838">
        <v>0</v>
      </c>
      <c r="AA42" s="838"/>
      <c r="AB42" s="838">
        <v>0</v>
      </c>
      <c r="AC42" s="838"/>
      <c r="AD42" s="838">
        <v>0</v>
      </c>
      <c r="AE42" s="838"/>
      <c r="AF42" s="191"/>
      <c r="AG42" s="171">
        <f t="shared" si="2"/>
        <v>0</v>
      </c>
    </row>
    <row r="43" spans="1:33" ht="56.25" x14ac:dyDescent="0.3">
      <c r="A43" s="196" t="s">
        <v>227</v>
      </c>
      <c r="B43" s="838">
        <f>B44</f>
        <v>1799.6000000000001</v>
      </c>
      <c r="C43" s="838">
        <f>C44</f>
        <v>1470.596</v>
      </c>
      <c r="D43" s="838">
        <f t="shared" si="7"/>
        <v>1215.8235599999998</v>
      </c>
      <c r="E43" s="842">
        <f t="shared" ref="E43:T43" si="17">E44</f>
        <v>1215.8235599999998</v>
      </c>
      <c r="F43" s="844">
        <f t="shared" si="17"/>
        <v>67.560766837074894</v>
      </c>
      <c r="G43" s="844">
        <f t="shared" si="17"/>
        <v>82.675565553013868</v>
      </c>
      <c r="H43" s="838">
        <f t="shared" si="17"/>
        <v>341.666</v>
      </c>
      <c r="I43" s="842">
        <f t="shared" si="17"/>
        <v>320.78701999999998</v>
      </c>
      <c r="J43" s="838">
        <f t="shared" si="17"/>
        <v>75.465999999999994</v>
      </c>
      <c r="K43" s="838">
        <f t="shared" si="17"/>
        <v>89.850470000000001</v>
      </c>
      <c r="L43" s="838">
        <f t="shared" si="17"/>
        <v>287.96600000000001</v>
      </c>
      <c r="M43" s="841">
        <f t="shared" si="17"/>
        <v>181.53813</v>
      </c>
      <c r="N43" s="838">
        <f t="shared" si="17"/>
        <v>217.05199999999999</v>
      </c>
      <c r="O43" s="841">
        <f t="shared" si="17"/>
        <v>315.71589</v>
      </c>
      <c r="P43" s="838">
        <f t="shared" si="17"/>
        <v>171.68</v>
      </c>
      <c r="Q43" s="841">
        <f t="shared" si="17"/>
        <v>109.69092000000001</v>
      </c>
      <c r="R43" s="838">
        <f t="shared" si="17"/>
        <v>376.76600000000002</v>
      </c>
      <c r="S43" s="841">
        <f t="shared" si="17"/>
        <v>198.24113</v>
      </c>
      <c r="T43" s="838">
        <f t="shared" si="17"/>
        <v>49.066000000000003</v>
      </c>
      <c r="U43" s="842"/>
      <c r="V43" s="838">
        <f>V44</f>
        <v>49.066000000000003</v>
      </c>
      <c r="W43" s="842"/>
      <c r="X43" s="838">
        <f>X44</f>
        <v>89.066000000000003</v>
      </c>
      <c r="Y43" s="842"/>
      <c r="Z43" s="838">
        <f>Z44</f>
        <v>43.665999999999997</v>
      </c>
      <c r="AA43" s="842"/>
      <c r="AB43" s="838">
        <f>AB44</f>
        <v>63.066000000000003</v>
      </c>
      <c r="AC43" s="842"/>
      <c r="AD43" s="838">
        <f>AD44</f>
        <v>35.073999999999998</v>
      </c>
      <c r="AE43" s="843"/>
      <c r="AF43" s="191"/>
      <c r="AG43" s="171">
        <f t="shared" si="2"/>
        <v>0</v>
      </c>
    </row>
    <row r="44" spans="1:33" s="173" customFormat="1" x14ac:dyDescent="0.3">
      <c r="A44" s="192" t="s">
        <v>31</v>
      </c>
      <c r="B44" s="838">
        <f>B45+B46+B47+B48</f>
        <v>1799.6000000000001</v>
      </c>
      <c r="C44" s="838">
        <f>C45+C46+C47+C48</f>
        <v>1470.596</v>
      </c>
      <c r="D44" s="838">
        <f t="shared" si="7"/>
        <v>1215.8235599999998</v>
      </c>
      <c r="E44" s="838">
        <f>E45+E46+E47+E48</f>
        <v>1215.8235599999998</v>
      </c>
      <c r="F44" s="844">
        <f>F45+F46+F47+F48</f>
        <v>67.560766837074894</v>
      </c>
      <c r="G44" s="844">
        <f>E44/C44*100</f>
        <v>82.675565553013868</v>
      </c>
      <c r="H44" s="838">
        <f t="shared" ref="H44:T44" si="18">H45+H46+H47+H48</f>
        <v>341.666</v>
      </c>
      <c r="I44" s="838">
        <f t="shared" si="18"/>
        <v>320.78701999999998</v>
      </c>
      <c r="J44" s="838">
        <f t="shared" si="18"/>
        <v>75.465999999999994</v>
      </c>
      <c r="K44" s="838">
        <f t="shared" si="18"/>
        <v>89.850470000000001</v>
      </c>
      <c r="L44" s="838">
        <f t="shared" si="18"/>
        <v>287.96600000000001</v>
      </c>
      <c r="M44" s="838">
        <f t="shared" si="18"/>
        <v>181.53813</v>
      </c>
      <c r="N44" s="838">
        <f t="shared" si="18"/>
        <v>217.05199999999999</v>
      </c>
      <c r="O44" s="838">
        <f t="shared" si="18"/>
        <v>315.71589</v>
      </c>
      <c r="P44" s="838">
        <f t="shared" si="18"/>
        <v>171.68</v>
      </c>
      <c r="Q44" s="838">
        <f t="shared" si="18"/>
        <v>109.69092000000001</v>
      </c>
      <c r="R44" s="838">
        <f t="shared" si="18"/>
        <v>376.76600000000002</v>
      </c>
      <c r="S44" s="838">
        <f t="shared" si="18"/>
        <v>198.24113</v>
      </c>
      <c r="T44" s="838">
        <f t="shared" si="18"/>
        <v>49.066000000000003</v>
      </c>
      <c r="U44" s="838"/>
      <c r="V44" s="838">
        <f>V45+V46+V47+V48</f>
        <v>49.066000000000003</v>
      </c>
      <c r="W44" s="838"/>
      <c r="X44" s="838">
        <f>X45+X46+X47+X48</f>
        <v>89.066000000000003</v>
      </c>
      <c r="Y44" s="838"/>
      <c r="Z44" s="838">
        <f>Z45+Z46+Z47+Z48</f>
        <v>43.665999999999997</v>
      </c>
      <c r="AA44" s="838"/>
      <c r="AB44" s="838">
        <f>AB45+AB46+AB47+AB48</f>
        <v>63.066000000000003</v>
      </c>
      <c r="AC44" s="838"/>
      <c r="AD44" s="838">
        <f>AD45+AD46+AD47+AD48</f>
        <v>35.073999999999998</v>
      </c>
      <c r="AE44" s="838"/>
      <c r="AF44" s="191"/>
      <c r="AG44" s="171">
        <f t="shared" si="2"/>
        <v>0</v>
      </c>
    </row>
    <row r="45" spans="1:33" x14ac:dyDescent="0.3">
      <c r="A45" s="195" t="s">
        <v>169</v>
      </c>
      <c r="B45" s="838">
        <f>H45+J45+L45+N45+P45+R45+T45+V45+X45+Z45+AB45+AD45</f>
        <v>0</v>
      </c>
      <c r="C45" s="838">
        <f>H45</f>
        <v>0</v>
      </c>
      <c r="D45" s="838">
        <f t="shared" si="7"/>
        <v>0</v>
      </c>
      <c r="E45" s="838">
        <v>0</v>
      </c>
      <c r="F45" s="844">
        <v>0</v>
      </c>
      <c r="G45" s="844">
        <v>0</v>
      </c>
      <c r="H45" s="838">
        <v>0</v>
      </c>
      <c r="I45" s="838">
        <v>0</v>
      </c>
      <c r="J45" s="838">
        <v>0</v>
      </c>
      <c r="K45" s="838">
        <v>0</v>
      </c>
      <c r="L45" s="838">
        <v>0</v>
      </c>
      <c r="M45" s="838">
        <v>0</v>
      </c>
      <c r="N45" s="838">
        <v>0</v>
      </c>
      <c r="O45" s="838">
        <v>0</v>
      </c>
      <c r="P45" s="838">
        <v>0</v>
      </c>
      <c r="Q45" s="838">
        <v>0</v>
      </c>
      <c r="R45" s="838">
        <v>0</v>
      </c>
      <c r="S45" s="838">
        <v>0</v>
      </c>
      <c r="T45" s="838">
        <v>0</v>
      </c>
      <c r="U45" s="838"/>
      <c r="V45" s="838">
        <v>0</v>
      </c>
      <c r="W45" s="838"/>
      <c r="X45" s="838">
        <v>0</v>
      </c>
      <c r="Y45" s="838"/>
      <c r="Z45" s="838">
        <v>0</v>
      </c>
      <c r="AA45" s="838"/>
      <c r="AB45" s="838">
        <v>0</v>
      </c>
      <c r="AC45" s="838"/>
      <c r="AD45" s="838">
        <v>0</v>
      </c>
      <c r="AE45" s="838"/>
      <c r="AF45" s="191"/>
      <c r="AG45" s="171">
        <f t="shared" si="2"/>
        <v>0</v>
      </c>
    </row>
    <row r="46" spans="1:33" x14ac:dyDescent="0.3">
      <c r="A46" s="195" t="s">
        <v>32</v>
      </c>
      <c r="B46" s="838">
        <f>H46+J46+L46+N46+P46+R46+T46+V46+X46+Z46+AB46+AD46</f>
        <v>0</v>
      </c>
      <c r="C46" s="838">
        <f>H46</f>
        <v>0</v>
      </c>
      <c r="D46" s="838">
        <f t="shared" si="7"/>
        <v>0</v>
      </c>
      <c r="E46" s="838">
        <v>0</v>
      </c>
      <c r="F46" s="844">
        <v>0</v>
      </c>
      <c r="G46" s="844">
        <v>0</v>
      </c>
      <c r="H46" s="838">
        <v>0</v>
      </c>
      <c r="I46" s="838">
        <v>0</v>
      </c>
      <c r="J46" s="838">
        <v>0</v>
      </c>
      <c r="K46" s="838">
        <v>0</v>
      </c>
      <c r="L46" s="838">
        <v>0</v>
      </c>
      <c r="M46" s="838">
        <v>0</v>
      </c>
      <c r="N46" s="838">
        <v>0</v>
      </c>
      <c r="O46" s="838">
        <v>0</v>
      </c>
      <c r="P46" s="838">
        <v>0</v>
      </c>
      <c r="Q46" s="838">
        <v>0</v>
      </c>
      <c r="R46" s="838">
        <v>0</v>
      </c>
      <c r="S46" s="838">
        <v>0</v>
      </c>
      <c r="T46" s="838">
        <v>0</v>
      </c>
      <c r="U46" s="838"/>
      <c r="V46" s="838">
        <v>0</v>
      </c>
      <c r="W46" s="838"/>
      <c r="X46" s="838">
        <v>0</v>
      </c>
      <c r="Y46" s="838"/>
      <c r="Z46" s="838">
        <v>0</v>
      </c>
      <c r="AA46" s="838"/>
      <c r="AB46" s="838">
        <v>0</v>
      </c>
      <c r="AC46" s="838"/>
      <c r="AD46" s="838">
        <v>0</v>
      </c>
      <c r="AE46" s="838"/>
      <c r="AF46" s="191"/>
      <c r="AG46" s="171">
        <f t="shared" si="2"/>
        <v>0</v>
      </c>
    </row>
    <row r="47" spans="1:33" x14ac:dyDescent="0.3">
      <c r="A47" s="195" t="s">
        <v>33</v>
      </c>
      <c r="B47" s="838">
        <f>H47+J47+L47+N47+P47+R47+T47+V47+X47+Z47+AB47+AD47</f>
        <v>1799.6000000000001</v>
      </c>
      <c r="C47" s="839">
        <f>H47+J47+L47+N47+P47+R47</f>
        <v>1470.596</v>
      </c>
      <c r="D47" s="839">
        <f t="shared" si="7"/>
        <v>1215.8235599999998</v>
      </c>
      <c r="E47" s="842">
        <f>I47+K47+M47+O47+Q47+S47</f>
        <v>1215.8235599999998</v>
      </c>
      <c r="F47" s="844">
        <f>E47/B47*100</f>
        <v>67.560766837074894</v>
      </c>
      <c r="G47" s="844">
        <f>E47/C47*100</f>
        <v>82.675565553013868</v>
      </c>
      <c r="H47" s="838">
        <v>341.666</v>
      </c>
      <c r="I47" s="838">
        <v>320.78701999999998</v>
      </c>
      <c r="J47" s="838">
        <v>75.465999999999994</v>
      </c>
      <c r="K47" s="838">
        <v>89.850470000000001</v>
      </c>
      <c r="L47" s="838">
        <v>287.96600000000001</v>
      </c>
      <c r="M47" s="838">
        <v>181.53813</v>
      </c>
      <c r="N47" s="838">
        <v>217.05199999999999</v>
      </c>
      <c r="O47" s="838">
        <v>315.71589</v>
      </c>
      <c r="P47" s="838">
        <v>171.68</v>
      </c>
      <c r="Q47" s="838">
        <v>109.69092000000001</v>
      </c>
      <c r="R47" s="838">
        <v>376.76600000000002</v>
      </c>
      <c r="S47" s="838">
        <v>198.24113</v>
      </c>
      <c r="T47" s="838">
        <v>49.066000000000003</v>
      </c>
      <c r="U47" s="838"/>
      <c r="V47" s="838">
        <v>49.066000000000003</v>
      </c>
      <c r="W47" s="838"/>
      <c r="X47" s="838">
        <v>89.066000000000003</v>
      </c>
      <c r="Y47" s="838"/>
      <c r="Z47" s="838">
        <v>43.665999999999997</v>
      </c>
      <c r="AA47" s="838"/>
      <c r="AB47" s="838">
        <v>63.066000000000003</v>
      </c>
      <c r="AC47" s="838"/>
      <c r="AD47" s="838">
        <v>35.073999999999998</v>
      </c>
      <c r="AE47" s="838"/>
      <c r="AF47" s="191"/>
      <c r="AG47" s="171">
        <f t="shared" si="2"/>
        <v>0</v>
      </c>
    </row>
    <row r="48" spans="1:33" x14ac:dyDescent="0.3">
      <c r="A48" s="195" t="s">
        <v>221</v>
      </c>
      <c r="B48" s="838">
        <f>H48+J48+L48+N48+P48+R48+T48+V48+X48+Z48+AB48+AD48</f>
        <v>0</v>
      </c>
      <c r="C48" s="838">
        <f>H48</f>
        <v>0</v>
      </c>
      <c r="D48" s="838">
        <f t="shared" si="7"/>
        <v>0</v>
      </c>
      <c r="E48" s="838">
        <v>0</v>
      </c>
      <c r="F48" s="844">
        <v>0</v>
      </c>
      <c r="G48" s="844">
        <v>0</v>
      </c>
      <c r="H48" s="838">
        <v>0</v>
      </c>
      <c r="I48" s="838">
        <v>0</v>
      </c>
      <c r="J48" s="838">
        <v>0</v>
      </c>
      <c r="K48" s="838">
        <v>0</v>
      </c>
      <c r="L48" s="838">
        <v>0</v>
      </c>
      <c r="M48" s="838">
        <v>0</v>
      </c>
      <c r="N48" s="838">
        <v>0</v>
      </c>
      <c r="O48" s="838">
        <v>0</v>
      </c>
      <c r="P48" s="838">
        <v>0</v>
      </c>
      <c r="Q48" s="838">
        <v>0</v>
      </c>
      <c r="R48" s="838">
        <v>0</v>
      </c>
      <c r="S48" s="838">
        <v>0</v>
      </c>
      <c r="T48" s="838">
        <v>0</v>
      </c>
      <c r="U48" s="838"/>
      <c r="V48" s="838">
        <v>0</v>
      </c>
      <c r="W48" s="838"/>
      <c r="X48" s="838">
        <v>0</v>
      </c>
      <c r="Y48" s="838"/>
      <c r="Z48" s="838">
        <v>0</v>
      </c>
      <c r="AA48" s="838"/>
      <c r="AB48" s="838">
        <v>0</v>
      </c>
      <c r="AC48" s="838"/>
      <c r="AD48" s="838">
        <v>0</v>
      </c>
      <c r="AE48" s="838"/>
      <c r="AF48" s="191"/>
      <c r="AG48" s="171">
        <f t="shared" si="2"/>
        <v>0</v>
      </c>
    </row>
    <row r="49" spans="1:33" ht="56.25" x14ac:dyDescent="0.3">
      <c r="A49" s="196" t="s">
        <v>228</v>
      </c>
      <c r="B49" s="838">
        <f>B50</f>
        <v>25206.100000000002</v>
      </c>
      <c r="C49" s="838">
        <f>C50</f>
        <v>10712.087699999998</v>
      </c>
      <c r="D49" s="838">
        <f t="shared" si="7"/>
        <v>7399.9330399999999</v>
      </c>
      <c r="E49" s="842">
        <f t="shared" ref="E49:T49" si="19">E50</f>
        <v>7399.9330399999999</v>
      </c>
      <c r="F49" s="844">
        <f t="shared" si="19"/>
        <v>29.35770722166459</v>
      </c>
      <c r="G49" s="844">
        <f t="shared" si="19"/>
        <v>69.080213374279992</v>
      </c>
      <c r="H49" s="838">
        <f t="shared" si="19"/>
        <v>2223.1750000000002</v>
      </c>
      <c r="I49" s="842">
        <f t="shared" si="19"/>
        <v>1317.3331599999999</v>
      </c>
      <c r="J49" s="838">
        <f t="shared" si="19"/>
        <v>1586.7</v>
      </c>
      <c r="K49" s="838">
        <f t="shared" si="19"/>
        <v>691.572</v>
      </c>
      <c r="L49" s="838">
        <f t="shared" si="19"/>
        <v>708.6</v>
      </c>
      <c r="M49" s="841">
        <f t="shared" si="19"/>
        <v>777.43100000000004</v>
      </c>
      <c r="N49" s="838">
        <f t="shared" si="19"/>
        <v>4043.8249999999998</v>
      </c>
      <c r="O49" s="841">
        <f t="shared" si="19"/>
        <v>1620.8085699999999</v>
      </c>
      <c r="P49" s="838">
        <f t="shared" si="19"/>
        <v>802.19754</v>
      </c>
      <c r="Q49" s="841">
        <f t="shared" si="19"/>
        <v>1461.58015</v>
      </c>
      <c r="R49" s="838">
        <f t="shared" si="19"/>
        <v>1347.59016</v>
      </c>
      <c r="S49" s="841">
        <f t="shared" si="19"/>
        <v>1531.2081599999999</v>
      </c>
      <c r="T49" s="838">
        <f t="shared" si="19"/>
        <v>5054.3004199999996</v>
      </c>
      <c r="U49" s="842"/>
      <c r="V49" s="838">
        <f>V50</f>
        <v>699.9</v>
      </c>
      <c r="W49" s="842"/>
      <c r="X49" s="838">
        <f>X50</f>
        <v>699.9</v>
      </c>
      <c r="Y49" s="842"/>
      <c r="Z49" s="838">
        <f>Z50</f>
        <v>2417.2750000000001</v>
      </c>
      <c r="AA49" s="842"/>
      <c r="AB49" s="838">
        <f>AB50</f>
        <v>699.9</v>
      </c>
      <c r="AC49" s="842"/>
      <c r="AD49" s="838">
        <f>AD50</f>
        <v>4922.7368800000004</v>
      </c>
      <c r="AE49" s="843"/>
      <c r="AF49" s="197"/>
      <c r="AG49" s="171">
        <f t="shared" si="2"/>
        <v>0</v>
      </c>
    </row>
    <row r="50" spans="1:33" s="173" customFormat="1" x14ac:dyDescent="0.3">
      <c r="A50" s="192" t="s">
        <v>31</v>
      </c>
      <c r="B50" s="838">
        <f>B51+B52+B53+B54</f>
        <v>25206.100000000002</v>
      </c>
      <c r="C50" s="838">
        <f>C51+C52+C53+C54</f>
        <v>10712.087699999998</v>
      </c>
      <c r="D50" s="838">
        <f t="shared" si="7"/>
        <v>7399.9330399999999</v>
      </c>
      <c r="E50" s="838">
        <f>E51+E52+E53+E54</f>
        <v>7399.9330399999999</v>
      </c>
      <c r="F50" s="844">
        <f>F51+F52+F53+F54</f>
        <v>29.35770722166459</v>
      </c>
      <c r="G50" s="844">
        <f>E50/C50*100</f>
        <v>69.080213374279992</v>
      </c>
      <c r="H50" s="838">
        <f t="shared" ref="H50:T50" si="20">H51+H52+H53+H54</f>
        <v>2223.1750000000002</v>
      </c>
      <c r="I50" s="838">
        <f t="shared" si="20"/>
        <v>1317.3331599999999</v>
      </c>
      <c r="J50" s="838">
        <f t="shared" si="20"/>
        <v>1586.7</v>
      </c>
      <c r="K50" s="838">
        <f t="shared" si="20"/>
        <v>691.572</v>
      </c>
      <c r="L50" s="838">
        <f t="shared" si="20"/>
        <v>708.6</v>
      </c>
      <c r="M50" s="838">
        <f t="shared" si="20"/>
        <v>777.43100000000004</v>
      </c>
      <c r="N50" s="838">
        <f t="shared" si="20"/>
        <v>4043.8249999999998</v>
      </c>
      <c r="O50" s="838">
        <f t="shared" si="20"/>
        <v>1620.8085699999999</v>
      </c>
      <c r="P50" s="838">
        <f t="shared" si="20"/>
        <v>802.19754</v>
      </c>
      <c r="Q50" s="838">
        <f t="shared" si="20"/>
        <v>1461.58015</v>
      </c>
      <c r="R50" s="838">
        <f t="shared" si="20"/>
        <v>1347.59016</v>
      </c>
      <c r="S50" s="838">
        <f t="shared" si="20"/>
        <v>1531.2081599999999</v>
      </c>
      <c r="T50" s="838">
        <f t="shared" si="20"/>
        <v>5054.3004199999996</v>
      </c>
      <c r="U50" s="838"/>
      <c r="V50" s="838">
        <f>V51+V52+V53+V54</f>
        <v>699.9</v>
      </c>
      <c r="W50" s="838"/>
      <c r="X50" s="838">
        <f>X51+X52+X53+X54</f>
        <v>699.9</v>
      </c>
      <c r="Y50" s="838"/>
      <c r="Z50" s="838">
        <f>Z51+Z52+Z53+Z54</f>
        <v>2417.2750000000001</v>
      </c>
      <c r="AA50" s="838"/>
      <c r="AB50" s="838">
        <f>AB51+AB52+AB53+AB54</f>
        <v>699.9</v>
      </c>
      <c r="AC50" s="838"/>
      <c r="AD50" s="838">
        <f>AD51+AD52+AD53+AD54</f>
        <v>4922.7368800000004</v>
      </c>
      <c r="AE50" s="838"/>
      <c r="AF50" s="197"/>
      <c r="AG50" s="171">
        <f t="shared" si="2"/>
        <v>0</v>
      </c>
    </row>
    <row r="51" spans="1:33" x14ac:dyDescent="0.3">
      <c r="A51" s="195" t="s">
        <v>169</v>
      </c>
      <c r="B51" s="838">
        <f>H51+J51+L51+N51+P51+R51+T51+V51+X51+Z51+AB51+AD51</f>
        <v>0</v>
      </c>
      <c r="C51" s="838">
        <f>H51</f>
        <v>0</v>
      </c>
      <c r="D51" s="838">
        <f t="shared" si="7"/>
        <v>0</v>
      </c>
      <c r="E51" s="838">
        <v>0</v>
      </c>
      <c r="F51" s="844">
        <v>0</v>
      </c>
      <c r="G51" s="844">
        <v>0</v>
      </c>
      <c r="H51" s="838">
        <v>0</v>
      </c>
      <c r="I51" s="838">
        <v>0</v>
      </c>
      <c r="J51" s="838">
        <v>0</v>
      </c>
      <c r="K51" s="838">
        <v>0</v>
      </c>
      <c r="L51" s="838">
        <v>0</v>
      </c>
      <c r="M51" s="838">
        <v>0</v>
      </c>
      <c r="N51" s="838">
        <v>0</v>
      </c>
      <c r="O51" s="838">
        <v>0</v>
      </c>
      <c r="P51" s="838">
        <v>0</v>
      </c>
      <c r="Q51" s="838">
        <v>0</v>
      </c>
      <c r="R51" s="838">
        <v>0</v>
      </c>
      <c r="S51" s="838">
        <v>0</v>
      </c>
      <c r="T51" s="838">
        <v>0</v>
      </c>
      <c r="U51" s="838"/>
      <c r="V51" s="838">
        <v>0</v>
      </c>
      <c r="W51" s="838"/>
      <c r="X51" s="838">
        <v>0</v>
      </c>
      <c r="Y51" s="838"/>
      <c r="Z51" s="838">
        <v>0</v>
      </c>
      <c r="AA51" s="838"/>
      <c r="AB51" s="838">
        <v>0</v>
      </c>
      <c r="AC51" s="838"/>
      <c r="AD51" s="838">
        <v>0</v>
      </c>
      <c r="AE51" s="838"/>
      <c r="AF51" s="197"/>
      <c r="AG51" s="171">
        <f t="shared" si="2"/>
        <v>0</v>
      </c>
    </row>
    <row r="52" spans="1:33" x14ac:dyDescent="0.3">
      <c r="A52" s="195" t="s">
        <v>32</v>
      </c>
      <c r="B52" s="838">
        <f>H52+J52+L52+N52+P52+R52+T52+V52+X52+Z52+AB52+AD52</f>
        <v>0</v>
      </c>
      <c r="C52" s="838">
        <f>H52</f>
        <v>0</v>
      </c>
      <c r="D52" s="838">
        <f t="shared" si="7"/>
        <v>0</v>
      </c>
      <c r="E52" s="838">
        <v>0</v>
      </c>
      <c r="F52" s="844">
        <v>0</v>
      </c>
      <c r="G52" s="844">
        <v>0</v>
      </c>
      <c r="H52" s="838">
        <v>0</v>
      </c>
      <c r="I52" s="838">
        <v>0</v>
      </c>
      <c r="J52" s="838">
        <v>0</v>
      </c>
      <c r="K52" s="838">
        <v>0</v>
      </c>
      <c r="L52" s="838">
        <v>0</v>
      </c>
      <c r="M52" s="838">
        <v>0</v>
      </c>
      <c r="N52" s="838">
        <v>0</v>
      </c>
      <c r="O52" s="838">
        <v>0</v>
      </c>
      <c r="P52" s="838">
        <v>0</v>
      </c>
      <c r="Q52" s="838">
        <v>0</v>
      </c>
      <c r="R52" s="838">
        <v>0</v>
      </c>
      <c r="S52" s="838">
        <v>0</v>
      </c>
      <c r="T52" s="838">
        <v>0</v>
      </c>
      <c r="U52" s="838"/>
      <c r="V52" s="838">
        <v>0</v>
      </c>
      <c r="W52" s="838"/>
      <c r="X52" s="838">
        <v>0</v>
      </c>
      <c r="Y52" s="838"/>
      <c r="Z52" s="838">
        <v>0</v>
      </c>
      <c r="AA52" s="838"/>
      <c r="AB52" s="838">
        <v>0</v>
      </c>
      <c r="AC52" s="838"/>
      <c r="AD52" s="838">
        <v>0</v>
      </c>
      <c r="AE52" s="838"/>
      <c r="AF52" s="197"/>
      <c r="AG52" s="171">
        <f t="shared" si="2"/>
        <v>0</v>
      </c>
    </row>
    <row r="53" spans="1:33" x14ac:dyDescent="0.3">
      <c r="A53" s="195" t="s">
        <v>33</v>
      </c>
      <c r="B53" s="849">
        <f>H53+J53+L53+N53+P53+R53+T53+V53+X53+Z53+AB53+AD53</f>
        <v>25206.100000000002</v>
      </c>
      <c r="C53" s="850">
        <f>H53+J53+L53+N53+P53+R53</f>
        <v>10712.087699999998</v>
      </c>
      <c r="D53" s="850">
        <f t="shared" si="7"/>
        <v>7399.9330399999999</v>
      </c>
      <c r="E53" s="851">
        <f>I53+K53+M53+O53+Q53+S53</f>
        <v>7399.9330399999999</v>
      </c>
      <c r="F53" s="844">
        <f>E53/B53*100</f>
        <v>29.35770722166459</v>
      </c>
      <c r="G53" s="844">
        <f>E53/C53*100</f>
        <v>69.080213374279992</v>
      </c>
      <c r="H53" s="838">
        <v>2223.1750000000002</v>
      </c>
      <c r="I53" s="838">
        <v>1317.3331599999999</v>
      </c>
      <c r="J53" s="838">
        <v>1586.7</v>
      </c>
      <c r="K53" s="838">
        <v>691.572</v>
      </c>
      <c r="L53" s="838">
        <v>708.6</v>
      </c>
      <c r="M53" s="838">
        <v>777.43100000000004</v>
      </c>
      <c r="N53" s="838">
        <v>4043.8249999999998</v>
      </c>
      <c r="O53" s="838">
        <v>1620.8085699999999</v>
      </c>
      <c r="P53" s="838">
        <v>802.19754</v>
      </c>
      <c r="Q53" s="838">
        <v>1461.58015</v>
      </c>
      <c r="R53" s="838">
        <v>1347.59016</v>
      </c>
      <c r="S53" s="838">
        <v>1531.2081599999999</v>
      </c>
      <c r="T53" s="838">
        <v>5054.3004199999996</v>
      </c>
      <c r="U53" s="838"/>
      <c r="V53" s="838">
        <v>699.9</v>
      </c>
      <c r="W53" s="838"/>
      <c r="X53" s="838">
        <v>699.9</v>
      </c>
      <c r="Y53" s="838"/>
      <c r="Z53" s="838">
        <v>2417.2750000000001</v>
      </c>
      <c r="AA53" s="838"/>
      <c r="AB53" s="838">
        <v>699.9</v>
      </c>
      <c r="AC53" s="838"/>
      <c r="AD53" s="838">
        <f>2294.43688+1136.3+1492</f>
        <v>4922.7368800000004</v>
      </c>
      <c r="AE53" s="838"/>
      <c r="AF53" s="197"/>
      <c r="AG53" s="171">
        <f t="shared" si="2"/>
        <v>0</v>
      </c>
    </row>
    <row r="54" spans="1:33" x14ac:dyDescent="0.3">
      <c r="A54" s="195" t="s">
        <v>221</v>
      </c>
      <c r="B54" s="838">
        <f>H54+J54+L54+N54+P54+R54+T54+V54+X54+Z54+AB54+AD54</f>
        <v>0</v>
      </c>
      <c r="C54" s="838">
        <f>H54</f>
        <v>0</v>
      </c>
      <c r="D54" s="838">
        <f t="shared" si="7"/>
        <v>0</v>
      </c>
      <c r="E54" s="838">
        <v>0</v>
      </c>
      <c r="F54" s="844">
        <v>0</v>
      </c>
      <c r="G54" s="844">
        <v>0</v>
      </c>
      <c r="H54" s="838">
        <v>0</v>
      </c>
      <c r="I54" s="838">
        <v>0</v>
      </c>
      <c r="J54" s="838">
        <v>0</v>
      </c>
      <c r="K54" s="838">
        <v>0</v>
      </c>
      <c r="L54" s="838">
        <v>0</v>
      </c>
      <c r="M54" s="838">
        <v>0</v>
      </c>
      <c r="N54" s="838">
        <v>0</v>
      </c>
      <c r="O54" s="838">
        <v>0</v>
      </c>
      <c r="P54" s="838">
        <v>0</v>
      </c>
      <c r="Q54" s="838">
        <v>0</v>
      </c>
      <c r="R54" s="838">
        <v>0</v>
      </c>
      <c r="S54" s="838">
        <v>0</v>
      </c>
      <c r="T54" s="838">
        <v>0</v>
      </c>
      <c r="U54" s="838"/>
      <c r="V54" s="838">
        <v>0</v>
      </c>
      <c r="W54" s="838"/>
      <c r="X54" s="838">
        <v>0</v>
      </c>
      <c r="Y54" s="838"/>
      <c r="Z54" s="838">
        <v>0</v>
      </c>
      <c r="AA54" s="838"/>
      <c r="AB54" s="838">
        <v>0</v>
      </c>
      <c r="AC54" s="838"/>
      <c r="AD54" s="838">
        <v>0</v>
      </c>
      <c r="AE54" s="838"/>
      <c r="AF54" s="197"/>
      <c r="AG54" s="171">
        <f t="shared" si="2"/>
        <v>0</v>
      </c>
    </row>
    <row r="55" spans="1:33" ht="37.5" x14ac:dyDescent="0.3">
      <c r="A55" s="196" t="s">
        <v>229</v>
      </c>
      <c r="B55" s="838">
        <f>B56</f>
        <v>2092.9</v>
      </c>
      <c r="C55" s="838">
        <f>C56</f>
        <v>1966</v>
      </c>
      <c r="D55" s="838">
        <f t="shared" si="7"/>
        <v>1305.65094</v>
      </c>
      <c r="E55" s="842">
        <f t="shared" ref="E55:T55" si="21">E56</f>
        <v>1305.65094</v>
      </c>
      <c r="F55" s="844">
        <f t="shared" si="21"/>
        <v>62.384774236705042</v>
      </c>
      <c r="G55" s="844">
        <f t="shared" si="21"/>
        <v>66.411543234994923</v>
      </c>
      <c r="H55" s="838">
        <f t="shared" si="21"/>
        <v>447.8</v>
      </c>
      <c r="I55" s="842">
        <f t="shared" si="21"/>
        <v>119.61735</v>
      </c>
      <c r="J55" s="838">
        <f t="shared" si="21"/>
        <v>625.29999999999995</v>
      </c>
      <c r="K55" s="838">
        <f t="shared" si="21"/>
        <v>118.53792</v>
      </c>
      <c r="L55" s="838">
        <f t="shared" si="21"/>
        <v>87.5</v>
      </c>
      <c r="M55" s="841">
        <f t="shared" si="21"/>
        <v>174.08481</v>
      </c>
      <c r="N55" s="838">
        <f t="shared" si="21"/>
        <v>728.5</v>
      </c>
      <c r="O55" s="841">
        <f t="shared" si="21"/>
        <v>408.97221999999999</v>
      </c>
      <c r="P55" s="838">
        <f t="shared" si="21"/>
        <v>33</v>
      </c>
      <c r="Q55" s="841">
        <f t="shared" si="21"/>
        <v>160.18494000000001</v>
      </c>
      <c r="R55" s="838">
        <f t="shared" si="21"/>
        <v>43.9</v>
      </c>
      <c r="S55" s="841">
        <f t="shared" si="21"/>
        <v>324.25369999999998</v>
      </c>
      <c r="T55" s="838">
        <f t="shared" si="21"/>
        <v>0</v>
      </c>
      <c r="U55" s="842"/>
      <c r="V55" s="838">
        <f>V56</f>
        <v>0</v>
      </c>
      <c r="W55" s="842"/>
      <c r="X55" s="838">
        <f>X56</f>
        <v>50</v>
      </c>
      <c r="Y55" s="842"/>
      <c r="Z55" s="838">
        <f>Z56</f>
        <v>0</v>
      </c>
      <c r="AA55" s="842"/>
      <c r="AB55" s="838">
        <f>AB56</f>
        <v>22</v>
      </c>
      <c r="AC55" s="842"/>
      <c r="AD55" s="838">
        <f>AD56</f>
        <v>54.9</v>
      </c>
      <c r="AE55" s="843"/>
      <c r="AF55" s="191"/>
      <c r="AG55" s="171">
        <f t="shared" si="2"/>
        <v>0</v>
      </c>
    </row>
    <row r="56" spans="1:33" s="173" customFormat="1" x14ac:dyDescent="0.3">
      <c r="A56" s="192" t="s">
        <v>31</v>
      </c>
      <c r="B56" s="838">
        <f>B57+B58+B59+B60</f>
        <v>2092.9</v>
      </c>
      <c r="C56" s="838">
        <f>C57+C58+C59+C60</f>
        <v>1966</v>
      </c>
      <c r="D56" s="838">
        <f t="shared" si="7"/>
        <v>1305.65094</v>
      </c>
      <c r="E56" s="838">
        <f>E57+E58+E59+E60</f>
        <v>1305.65094</v>
      </c>
      <c r="F56" s="844">
        <f>F57+F58+F59+F60</f>
        <v>62.384774236705042</v>
      </c>
      <c r="G56" s="844">
        <f>E56/C56*100</f>
        <v>66.411543234994923</v>
      </c>
      <c r="H56" s="838">
        <f t="shared" ref="H56:T56" si="22">H57+H58+H59+H60</f>
        <v>447.8</v>
      </c>
      <c r="I56" s="838">
        <f t="shared" si="22"/>
        <v>119.61735</v>
      </c>
      <c r="J56" s="838">
        <f t="shared" si="22"/>
        <v>625.29999999999995</v>
      </c>
      <c r="K56" s="838">
        <f t="shared" si="22"/>
        <v>118.53792</v>
      </c>
      <c r="L56" s="838">
        <f t="shared" si="22"/>
        <v>87.5</v>
      </c>
      <c r="M56" s="838">
        <f t="shared" si="22"/>
        <v>174.08481</v>
      </c>
      <c r="N56" s="838">
        <f t="shared" si="22"/>
        <v>728.5</v>
      </c>
      <c r="O56" s="838">
        <f t="shared" si="22"/>
        <v>408.97221999999999</v>
      </c>
      <c r="P56" s="838">
        <f t="shared" si="22"/>
        <v>33</v>
      </c>
      <c r="Q56" s="838">
        <f t="shared" si="22"/>
        <v>160.18494000000001</v>
      </c>
      <c r="R56" s="838">
        <f t="shared" si="22"/>
        <v>43.9</v>
      </c>
      <c r="S56" s="838">
        <f t="shared" si="22"/>
        <v>324.25369999999998</v>
      </c>
      <c r="T56" s="838">
        <f t="shared" si="22"/>
        <v>0</v>
      </c>
      <c r="U56" s="838"/>
      <c r="V56" s="838">
        <f>V57+V58+V59+V60</f>
        <v>0</v>
      </c>
      <c r="W56" s="838"/>
      <c r="X56" s="838">
        <f>X57+X58+X59+X60</f>
        <v>50</v>
      </c>
      <c r="Y56" s="838"/>
      <c r="Z56" s="838">
        <f>Z57+Z58+Z59+Z60</f>
        <v>0</v>
      </c>
      <c r="AA56" s="838"/>
      <c r="AB56" s="838">
        <f>AB57+AB58+AB59+AB60</f>
        <v>22</v>
      </c>
      <c r="AC56" s="838"/>
      <c r="AD56" s="838">
        <f>AD57+AD58+AD59+AD60</f>
        <v>54.9</v>
      </c>
      <c r="AE56" s="838"/>
      <c r="AF56" s="191"/>
      <c r="AG56" s="171">
        <f t="shared" si="2"/>
        <v>0</v>
      </c>
    </row>
    <row r="57" spans="1:33" x14ac:dyDescent="0.3">
      <c r="A57" s="195" t="s">
        <v>169</v>
      </c>
      <c r="B57" s="838">
        <f>H57+J57+L57+N57+P57+R57+T57+V57+X57+Z57+AB57+AD57</f>
        <v>0</v>
      </c>
      <c r="C57" s="838">
        <f>H57</f>
        <v>0</v>
      </c>
      <c r="D57" s="838">
        <f t="shared" si="7"/>
        <v>0</v>
      </c>
      <c r="E57" s="838">
        <v>0</v>
      </c>
      <c r="F57" s="844">
        <v>0</v>
      </c>
      <c r="G57" s="844">
        <v>0</v>
      </c>
      <c r="H57" s="838">
        <v>0</v>
      </c>
      <c r="I57" s="838">
        <v>0</v>
      </c>
      <c r="J57" s="838">
        <v>0</v>
      </c>
      <c r="K57" s="838">
        <v>0</v>
      </c>
      <c r="L57" s="838">
        <v>0</v>
      </c>
      <c r="M57" s="838">
        <v>0</v>
      </c>
      <c r="N57" s="838">
        <v>0</v>
      </c>
      <c r="O57" s="838">
        <v>0</v>
      </c>
      <c r="P57" s="838">
        <v>0</v>
      </c>
      <c r="Q57" s="838">
        <v>0</v>
      </c>
      <c r="R57" s="838">
        <v>0</v>
      </c>
      <c r="S57" s="838">
        <v>0</v>
      </c>
      <c r="T57" s="838">
        <v>0</v>
      </c>
      <c r="U57" s="838"/>
      <c r="V57" s="838">
        <v>0</v>
      </c>
      <c r="W57" s="838"/>
      <c r="X57" s="838">
        <v>0</v>
      </c>
      <c r="Y57" s="838"/>
      <c r="Z57" s="838">
        <v>0</v>
      </c>
      <c r="AA57" s="838"/>
      <c r="AB57" s="838">
        <v>0</v>
      </c>
      <c r="AC57" s="838"/>
      <c r="AD57" s="838">
        <v>0</v>
      </c>
      <c r="AE57" s="838"/>
      <c r="AF57" s="191"/>
      <c r="AG57" s="171">
        <f t="shared" si="2"/>
        <v>0</v>
      </c>
    </row>
    <row r="58" spans="1:33" x14ac:dyDescent="0.3">
      <c r="A58" s="195" t="s">
        <v>32</v>
      </c>
      <c r="B58" s="838">
        <f>H58+J58+L58+N58+P58+R58+T58+V58+X58+Z58+AB58+AD58</f>
        <v>0</v>
      </c>
      <c r="C58" s="838">
        <f>H58</f>
        <v>0</v>
      </c>
      <c r="D58" s="838">
        <f t="shared" si="7"/>
        <v>0</v>
      </c>
      <c r="E58" s="838">
        <v>0</v>
      </c>
      <c r="F58" s="844">
        <v>0</v>
      </c>
      <c r="G58" s="844">
        <v>0</v>
      </c>
      <c r="H58" s="838">
        <v>0</v>
      </c>
      <c r="I58" s="838">
        <v>0</v>
      </c>
      <c r="J58" s="838">
        <v>0</v>
      </c>
      <c r="K58" s="838">
        <v>0</v>
      </c>
      <c r="L58" s="838">
        <v>0</v>
      </c>
      <c r="M58" s="838">
        <v>0</v>
      </c>
      <c r="N58" s="838">
        <v>0</v>
      </c>
      <c r="O58" s="838">
        <v>0</v>
      </c>
      <c r="P58" s="838">
        <v>0</v>
      </c>
      <c r="Q58" s="838">
        <v>0</v>
      </c>
      <c r="R58" s="838">
        <v>0</v>
      </c>
      <c r="S58" s="838">
        <v>0</v>
      </c>
      <c r="T58" s="838">
        <v>0</v>
      </c>
      <c r="U58" s="838"/>
      <c r="V58" s="838">
        <v>0</v>
      </c>
      <c r="W58" s="838"/>
      <c r="X58" s="838">
        <v>0</v>
      </c>
      <c r="Y58" s="838"/>
      <c r="Z58" s="838">
        <v>0</v>
      </c>
      <c r="AA58" s="838"/>
      <c r="AB58" s="838">
        <v>0</v>
      </c>
      <c r="AC58" s="838"/>
      <c r="AD58" s="838">
        <v>0</v>
      </c>
      <c r="AE58" s="838"/>
      <c r="AF58" s="191"/>
      <c r="AG58" s="171">
        <f t="shared" si="2"/>
        <v>0</v>
      </c>
    </row>
    <row r="59" spans="1:33" x14ac:dyDescent="0.3">
      <c r="A59" s="195" t="s">
        <v>33</v>
      </c>
      <c r="B59" s="838">
        <f>H59+J59+L59+N59+P59+R59+T59+V59+X59+Z59+AB59+AD59</f>
        <v>2092.9</v>
      </c>
      <c r="C59" s="839">
        <f>H59+J59+L59+N59+P59+R59</f>
        <v>1966</v>
      </c>
      <c r="D59" s="839">
        <f t="shared" si="7"/>
        <v>1305.65094</v>
      </c>
      <c r="E59" s="842">
        <f>I59+K59+M59+O59+Q59+S59</f>
        <v>1305.65094</v>
      </c>
      <c r="F59" s="844">
        <f>E59/B59*100</f>
        <v>62.384774236705042</v>
      </c>
      <c r="G59" s="844">
        <f>E59/C59*100</f>
        <v>66.411543234994923</v>
      </c>
      <c r="H59" s="838">
        <v>447.8</v>
      </c>
      <c r="I59" s="838">
        <v>119.61735</v>
      </c>
      <c r="J59" s="838">
        <v>625.29999999999995</v>
      </c>
      <c r="K59" s="838">
        <v>118.53792</v>
      </c>
      <c r="L59" s="838">
        <v>87.5</v>
      </c>
      <c r="M59" s="838">
        <v>174.08481</v>
      </c>
      <c r="N59" s="838">
        <v>728.5</v>
      </c>
      <c r="O59" s="838">
        <v>408.97221999999999</v>
      </c>
      <c r="P59" s="838">
        <v>33</v>
      </c>
      <c r="Q59" s="838">
        <v>160.18494000000001</v>
      </c>
      <c r="R59" s="838">
        <v>43.9</v>
      </c>
      <c r="S59" s="838">
        <v>324.25369999999998</v>
      </c>
      <c r="T59" s="838">
        <v>0</v>
      </c>
      <c r="U59" s="838"/>
      <c r="V59" s="838">
        <v>0</v>
      </c>
      <c r="W59" s="838"/>
      <c r="X59" s="838">
        <v>50</v>
      </c>
      <c r="Y59" s="838"/>
      <c r="Z59" s="838">
        <v>0</v>
      </c>
      <c r="AA59" s="838"/>
      <c r="AB59" s="838">
        <v>22</v>
      </c>
      <c r="AC59" s="838"/>
      <c r="AD59" s="838">
        <v>54.9</v>
      </c>
      <c r="AE59" s="838"/>
      <c r="AF59" s="191"/>
      <c r="AG59" s="171">
        <f t="shared" si="2"/>
        <v>0</v>
      </c>
    </row>
    <row r="60" spans="1:33" x14ac:dyDescent="0.3">
      <c r="A60" s="195" t="s">
        <v>221</v>
      </c>
      <c r="B60" s="838">
        <f>H60+J60+L60+N60+P60+R60+T60+V60+X60+Z60+AB60+AD60</f>
        <v>0</v>
      </c>
      <c r="C60" s="838">
        <f>H60</f>
        <v>0</v>
      </c>
      <c r="D60" s="838">
        <f t="shared" si="7"/>
        <v>0</v>
      </c>
      <c r="E60" s="838">
        <v>0</v>
      </c>
      <c r="F60" s="844">
        <v>0</v>
      </c>
      <c r="G60" s="844">
        <v>0</v>
      </c>
      <c r="H60" s="838">
        <v>0</v>
      </c>
      <c r="I60" s="838">
        <v>0</v>
      </c>
      <c r="J60" s="838">
        <v>0</v>
      </c>
      <c r="K60" s="838">
        <v>0</v>
      </c>
      <c r="L60" s="838">
        <v>0</v>
      </c>
      <c r="M60" s="838">
        <v>0</v>
      </c>
      <c r="N60" s="838">
        <v>0</v>
      </c>
      <c r="O60" s="838">
        <v>0</v>
      </c>
      <c r="P60" s="838">
        <v>0</v>
      </c>
      <c r="Q60" s="838">
        <v>0</v>
      </c>
      <c r="R60" s="838">
        <v>0</v>
      </c>
      <c r="S60" s="838">
        <v>0</v>
      </c>
      <c r="T60" s="838">
        <v>0</v>
      </c>
      <c r="U60" s="838"/>
      <c r="V60" s="838">
        <v>0</v>
      </c>
      <c r="W60" s="838"/>
      <c r="X60" s="838">
        <v>0</v>
      </c>
      <c r="Y60" s="838"/>
      <c r="Z60" s="838">
        <v>0</v>
      </c>
      <c r="AA60" s="838"/>
      <c r="AB60" s="838">
        <v>0</v>
      </c>
      <c r="AC60" s="838"/>
      <c r="AD60" s="838">
        <v>0</v>
      </c>
      <c r="AE60" s="838"/>
      <c r="AF60" s="191"/>
      <c r="AG60" s="171">
        <f t="shared" si="2"/>
        <v>0</v>
      </c>
    </row>
    <row r="61" spans="1:33" s="173" customFormat="1" ht="108" x14ac:dyDescent="0.3">
      <c r="A61" s="198" t="s">
        <v>230</v>
      </c>
      <c r="B61" s="838">
        <f>B62</f>
        <v>765.6</v>
      </c>
      <c r="C61" s="838">
        <f>C62</f>
        <v>565.4</v>
      </c>
      <c r="D61" s="838">
        <f t="shared" si="7"/>
        <v>542.96</v>
      </c>
      <c r="E61" s="842">
        <f>E62</f>
        <v>542.96</v>
      </c>
      <c r="F61" s="844">
        <v>0</v>
      </c>
      <c r="G61" s="844">
        <v>0</v>
      </c>
      <c r="H61" s="838">
        <f t="shared" ref="H61:T61" si="23">H62</f>
        <v>227.4</v>
      </c>
      <c r="I61" s="842">
        <f t="shared" si="23"/>
        <v>0</v>
      </c>
      <c r="J61" s="838">
        <f t="shared" si="23"/>
        <v>5.4749999999999996</v>
      </c>
      <c r="K61" s="838">
        <f t="shared" si="23"/>
        <v>0</v>
      </c>
      <c r="L61" s="838">
        <f t="shared" si="23"/>
        <v>95.2</v>
      </c>
      <c r="M61" s="841">
        <f t="shared" si="23"/>
        <v>232.875</v>
      </c>
      <c r="N61" s="838">
        <f t="shared" si="23"/>
        <v>0</v>
      </c>
      <c r="O61" s="841">
        <f t="shared" si="23"/>
        <v>0</v>
      </c>
      <c r="P61" s="838">
        <f t="shared" si="23"/>
        <v>237.32499999999999</v>
      </c>
      <c r="Q61" s="841">
        <f t="shared" si="23"/>
        <v>310.08499999999998</v>
      </c>
      <c r="R61" s="838">
        <f t="shared" si="23"/>
        <v>0</v>
      </c>
      <c r="S61" s="841">
        <f t="shared" si="23"/>
        <v>0</v>
      </c>
      <c r="T61" s="838">
        <f t="shared" si="23"/>
        <v>0</v>
      </c>
      <c r="U61" s="842"/>
      <c r="V61" s="838">
        <f>V62</f>
        <v>198.90048999999999</v>
      </c>
      <c r="W61" s="842"/>
      <c r="X61" s="838">
        <f>X62</f>
        <v>1.2995099999999999</v>
      </c>
      <c r="Y61" s="842"/>
      <c r="Z61" s="838">
        <f>Z62</f>
        <v>0</v>
      </c>
      <c r="AA61" s="842"/>
      <c r="AB61" s="838">
        <f>AB62</f>
        <v>0</v>
      </c>
      <c r="AC61" s="842"/>
      <c r="AD61" s="838">
        <f>AD62</f>
        <v>0</v>
      </c>
      <c r="AE61" s="843"/>
      <c r="AF61" s="852" t="s">
        <v>571</v>
      </c>
      <c r="AG61" s="171">
        <f t="shared" si="2"/>
        <v>0</v>
      </c>
    </row>
    <row r="62" spans="1:33" s="173" customFormat="1" x14ac:dyDescent="0.3">
      <c r="A62" s="183" t="s">
        <v>31</v>
      </c>
      <c r="B62" s="838">
        <f>B63+B64+B65+B66</f>
        <v>765.6</v>
      </c>
      <c r="C62" s="838">
        <f>C63+C64+C65+C66</f>
        <v>565.4</v>
      </c>
      <c r="D62" s="838">
        <f t="shared" si="7"/>
        <v>542.96</v>
      </c>
      <c r="E62" s="838">
        <f>E63+E64+E65+E66</f>
        <v>542.96</v>
      </c>
      <c r="F62" s="844">
        <f>F63+F64+F65+F66</f>
        <v>70.919540229885058</v>
      </c>
      <c r="G62" s="844">
        <f>E62/C62*100</f>
        <v>96.031128404669275</v>
      </c>
      <c r="H62" s="838">
        <f t="shared" ref="H62:T62" si="24">H63+H64+H65+H66</f>
        <v>227.4</v>
      </c>
      <c r="I62" s="838">
        <f t="shared" si="24"/>
        <v>0</v>
      </c>
      <c r="J62" s="838">
        <f t="shared" si="24"/>
        <v>5.4749999999999996</v>
      </c>
      <c r="K62" s="838">
        <f t="shared" si="24"/>
        <v>0</v>
      </c>
      <c r="L62" s="838">
        <f t="shared" si="24"/>
        <v>95.2</v>
      </c>
      <c r="M62" s="838">
        <f t="shared" si="24"/>
        <v>232.875</v>
      </c>
      <c r="N62" s="838">
        <f t="shared" si="24"/>
        <v>0</v>
      </c>
      <c r="O62" s="838">
        <f t="shared" si="24"/>
        <v>0</v>
      </c>
      <c r="P62" s="838">
        <f t="shared" si="24"/>
        <v>237.32499999999999</v>
      </c>
      <c r="Q62" s="838">
        <f t="shared" si="24"/>
        <v>310.08499999999998</v>
      </c>
      <c r="R62" s="838">
        <f t="shared" si="24"/>
        <v>0</v>
      </c>
      <c r="S62" s="838">
        <f t="shared" si="24"/>
        <v>0</v>
      </c>
      <c r="T62" s="838">
        <f t="shared" si="24"/>
        <v>0</v>
      </c>
      <c r="U62" s="838"/>
      <c r="V62" s="838">
        <f>V63+V64+V65+V66</f>
        <v>198.90048999999999</v>
      </c>
      <c r="W62" s="838"/>
      <c r="X62" s="838">
        <f>X63+X64+X65+X66</f>
        <v>1.2995099999999999</v>
      </c>
      <c r="Y62" s="838"/>
      <c r="Z62" s="838">
        <f>Z63+Z64+Z65+Z66</f>
        <v>0</v>
      </c>
      <c r="AA62" s="838"/>
      <c r="AB62" s="838">
        <f>AB63+AB64+AB65+AB66</f>
        <v>0</v>
      </c>
      <c r="AC62" s="838"/>
      <c r="AD62" s="838">
        <f>AD63+AD64+AD65+AD66</f>
        <v>0</v>
      </c>
      <c r="AE62" s="838"/>
      <c r="AF62" s="853"/>
      <c r="AG62" s="171">
        <f t="shared" si="2"/>
        <v>0</v>
      </c>
    </row>
    <row r="63" spans="1:33" x14ac:dyDescent="0.3">
      <c r="A63" s="174" t="s">
        <v>169</v>
      </c>
      <c r="B63" s="838">
        <f>H63+J63+L63+N63+P63+R63+T63+V63+X63+Z63+AB63+AD63</f>
        <v>0</v>
      </c>
      <c r="C63" s="838">
        <f>H63</f>
        <v>0</v>
      </c>
      <c r="D63" s="838">
        <f t="shared" si="7"/>
        <v>0</v>
      </c>
      <c r="E63" s="838">
        <v>0</v>
      </c>
      <c r="F63" s="844">
        <v>0</v>
      </c>
      <c r="G63" s="844">
        <v>0</v>
      </c>
      <c r="H63" s="838">
        <v>0</v>
      </c>
      <c r="I63" s="838">
        <v>0</v>
      </c>
      <c r="J63" s="838">
        <v>0</v>
      </c>
      <c r="K63" s="838">
        <v>0</v>
      </c>
      <c r="L63" s="838">
        <v>0</v>
      </c>
      <c r="M63" s="838">
        <v>0</v>
      </c>
      <c r="N63" s="838">
        <v>0</v>
      </c>
      <c r="O63" s="838">
        <v>0</v>
      </c>
      <c r="P63" s="838">
        <v>0</v>
      </c>
      <c r="Q63" s="838">
        <v>0</v>
      </c>
      <c r="R63" s="838">
        <v>0</v>
      </c>
      <c r="S63" s="838">
        <v>0</v>
      </c>
      <c r="T63" s="838">
        <v>0</v>
      </c>
      <c r="U63" s="838"/>
      <c r="V63" s="838">
        <v>0</v>
      </c>
      <c r="W63" s="838"/>
      <c r="X63" s="838">
        <v>0</v>
      </c>
      <c r="Y63" s="838"/>
      <c r="Z63" s="838">
        <v>0</v>
      </c>
      <c r="AA63" s="838"/>
      <c r="AB63" s="838">
        <v>0</v>
      </c>
      <c r="AC63" s="838"/>
      <c r="AD63" s="838">
        <v>0</v>
      </c>
      <c r="AE63" s="838"/>
      <c r="AF63" s="853"/>
      <c r="AG63" s="171">
        <f t="shared" si="2"/>
        <v>0</v>
      </c>
    </row>
    <row r="64" spans="1:33" x14ac:dyDescent="0.3">
      <c r="A64" s="174" t="s">
        <v>32</v>
      </c>
      <c r="B64" s="838">
        <f>H64+J64+L64+N64+P64+R64+T64+V64+X64+Z64+AB64+AD64</f>
        <v>0</v>
      </c>
      <c r="C64" s="838">
        <f>H64</f>
        <v>0</v>
      </c>
      <c r="D64" s="838">
        <f t="shared" si="7"/>
        <v>0</v>
      </c>
      <c r="E64" s="838">
        <v>0</v>
      </c>
      <c r="F64" s="844">
        <v>0</v>
      </c>
      <c r="G64" s="844">
        <v>0</v>
      </c>
      <c r="H64" s="838">
        <v>0</v>
      </c>
      <c r="I64" s="838">
        <v>0</v>
      </c>
      <c r="J64" s="838">
        <v>0</v>
      </c>
      <c r="K64" s="838">
        <v>0</v>
      </c>
      <c r="L64" s="838">
        <v>0</v>
      </c>
      <c r="M64" s="838">
        <v>0</v>
      </c>
      <c r="N64" s="838">
        <v>0</v>
      </c>
      <c r="O64" s="838">
        <v>0</v>
      </c>
      <c r="P64" s="838">
        <v>0</v>
      </c>
      <c r="Q64" s="838">
        <v>0</v>
      </c>
      <c r="R64" s="838">
        <v>0</v>
      </c>
      <c r="S64" s="838">
        <v>0</v>
      </c>
      <c r="T64" s="838">
        <v>0</v>
      </c>
      <c r="U64" s="838"/>
      <c r="V64" s="838">
        <v>0</v>
      </c>
      <c r="W64" s="838"/>
      <c r="X64" s="838">
        <v>0</v>
      </c>
      <c r="Y64" s="838"/>
      <c r="Z64" s="838">
        <v>0</v>
      </c>
      <c r="AA64" s="838"/>
      <c r="AB64" s="838">
        <v>0</v>
      </c>
      <c r="AC64" s="838"/>
      <c r="AD64" s="838">
        <v>0</v>
      </c>
      <c r="AE64" s="838"/>
      <c r="AF64" s="853"/>
      <c r="AG64" s="171">
        <f t="shared" si="2"/>
        <v>0</v>
      </c>
    </row>
    <row r="65" spans="1:33" x14ac:dyDescent="0.3">
      <c r="A65" s="174" t="s">
        <v>33</v>
      </c>
      <c r="B65" s="838">
        <f>H65+J65+L65+N65+P65+R65+T65+V65+X65+Z65+AB65+AD65</f>
        <v>765.6</v>
      </c>
      <c r="C65" s="839">
        <f>H65+J65+L65+N65+P65+R65</f>
        <v>565.4</v>
      </c>
      <c r="D65" s="839">
        <f t="shared" si="7"/>
        <v>542.96</v>
      </c>
      <c r="E65" s="842">
        <f>I65+K65+M65+O65+Q65+S65</f>
        <v>542.96</v>
      </c>
      <c r="F65" s="844">
        <f>E65/B65*100</f>
        <v>70.919540229885058</v>
      </c>
      <c r="G65" s="844">
        <f>E65/C65*100</f>
        <v>96.031128404669275</v>
      </c>
      <c r="H65" s="838">
        <v>227.4</v>
      </c>
      <c r="I65" s="838">
        <v>0</v>
      </c>
      <c r="J65" s="838">
        <v>5.4749999999999996</v>
      </c>
      <c r="K65" s="838">
        <v>0</v>
      </c>
      <c r="L65" s="838">
        <v>95.2</v>
      </c>
      <c r="M65" s="838">
        <v>232.875</v>
      </c>
      <c r="N65" s="838">
        <v>0</v>
      </c>
      <c r="O65" s="838">
        <v>0</v>
      </c>
      <c r="P65" s="838">
        <v>237.32499999999999</v>
      </c>
      <c r="Q65" s="838">
        <v>310.08499999999998</v>
      </c>
      <c r="R65" s="838">
        <v>0</v>
      </c>
      <c r="S65" s="838">
        <v>0</v>
      </c>
      <c r="T65" s="838">
        <v>0</v>
      </c>
      <c r="U65" s="838"/>
      <c r="V65" s="838">
        <v>198.90048999999999</v>
      </c>
      <c r="W65" s="838"/>
      <c r="X65" s="838">
        <v>1.2995099999999999</v>
      </c>
      <c r="Y65" s="838"/>
      <c r="Z65" s="838">
        <v>0</v>
      </c>
      <c r="AA65" s="838"/>
      <c r="AB65" s="838">
        <v>0</v>
      </c>
      <c r="AC65" s="838"/>
      <c r="AD65" s="838">
        <v>0</v>
      </c>
      <c r="AE65" s="838"/>
      <c r="AF65" s="853"/>
      <c r="AG65" s="171">
        <f t="shared" si="2"/>
        <v>0</v>
      </c>
    </row>
    <row r="66" spans="1:33" x14ac:dyDescent="0.3">
      <c r="A66" s="174" t="s">
        <v>221</v>
      </c>
      <c r="B66" s="838">
        <f>H66+J66+L66+N66+P66+R66+T66+V66+X66+Z66+AB66+AD66</f>
        <v>0</v>
      </c>
      <c r="C66" s="838">
        <f>H66</f>
        <v>0</v>
      </c>
      <c r="D66" s="838">
        <f t="shared" si="7"/>
        <v>0</v>
      </c>
      <c r="E66" s="838">
        <v>0</v>
      </c>
      <c r="F66" s="844">
        <v>0</v>
      </c>
      <c r="G66" s="844">
        <v>0</v>
      </c>
      <c r="H66" s="838">
        <v>0</v>
      </c>
      <c r="I66" s="838">
        <v>0</v>
      </c>
      <c r="J66" s="838">
        <v>0</v>
      </c>
      <c r="K66" s="838">
        <v>0</v>
      </c>
      <c r="L66" s="838">
        <v>0</v>
      </c>
      <c r="M66" s="838">
        <v>0</v>
      </c>
      <c r="N66" s="838">
        <v>0</v>
      </c>
      <c r="O66" s="838">
        <v>0</v>
      </c>
      <c r="P66" s="838">
        <v>0</v>
      </c>
      <c r="Q66" s="838">
        <v>0</v>
      </c>
      <c r="R66" s="838">
        <v>0</v>
      </c>
      <c r="S66" s="838">
        <v>0</v>
      </c>
      <c r="T66" s="838">
        <v>0</v>
      </c>
      <c r="U66" s="838"/>
      <c r="V66" s="838">
        <v>0</v>
      </c>
      <c r="W66" s="838"/>
      <c r="X66" s="838">
        <v>0</v>
      </c>
      <c r="Y66" s="838"/>
      <c r="Z66" s="838">
        <v>0</v>
      </c>
      <c r="AA66" s="838"/>
      <c r="AB66" s="838">
        <v>0</v>
      </c>
      <c r="AC66" s="838"/>
      <c r="AD66" s="838">
        <v>0</v>
      </c>
      <c r="AE66" s="838"/>
      <c r="AF66" s="854"/>
      <c r="AG66" s="171">
        <f t="shared" si="2"/>
        <v>0</v>
      </c>
    </row>
    <row r="67" spans="1:33" s="173" customFormat="1" ht="75" x14ac:dyDescent="0.3">
      <c r="A67" s="198" t="s">
        <v>231</v>
      </c>
      <c r="B67" s="838">
        <f>B68</f>
        <v>121243.95095</v>
      </c>
      <c r="C67" s="838">
        <f>C68</f>
        <v>64957.436950000003</v>
      </c>
      <c r="D67" s="838">
        <f t="shared" si="7"/>
        <v>58273.118439999998</v>
      </c>
      <c r="E67" s="838">
        <f>E68</f>
        <v>58273.118439999998</v>
      </c>
      <c r="F67" s="844">
        <f>E67/B67*100</f>
        <v>48.06270167163337</v>
      </c>
      <c r="G67" s="844">
        <f>E67/C67*100</f>
        <v>89.709694803467755</v>
      </c>
      <c r="H67" s="838">
        <f t="shared" ref="H67:T67" si="25">H68</f>
        <v>15363.626</v>
      </c>
      <c r="I67" s="838">
        <f t="shared" si="25"/>
        <v>8722.1401499999993</v>
      </c>
      <c r="J67" s="838">
        <f t="shared" si="25"/>
        <v>10231.241</v>
      </c>
      <c r="K67" s="838">
        <f t="shared" si="25"/>
        <v>10924.62283</v>
      </c>
      <c r="L67" s="838">
        <f t="shared" si="25"/>
        <v>8299.1039999999994</v>
      </c>
      <c r="M67" s="838">
        <f t="shared" si="25"/>
        <v>9483.1396499999992</v>
      </c>
      <c r="N67" s="838">
        <f t="shared" si="25"/>
        <v>11763.312</v>
      </c>
      <c r="O67" s="838">
        <f t="shared" si="25"/>
        <v>9406.4896000000008</v>
      </c>
      <c r="P67" s="838">
        <f t="shared" si="25"/>
        <v>10195.34895</v>
      </c>
      <c r="Q67" s="838">
        <f t="shared" si="25"/>
        <v>9459.5364799999988</v>
      </c>
      <c r="R67" s="838">
        <f t="shared" si="25"/>
        <v>9104.8050000000003</v>
      </c>
      <c r="S67" s="838">
        <f t="shared" si="25"/>
        <v>10277.18973</v>
      </c>
      <c r="T67" s="838">
        <f t="shared" si="25"/>
        <v>11671.434999999999</v>
      </c>
      <c r="U67" s="838"/>
      <c r="V67" s="838">
        <f>V68</f>
        <v>8930.23</v>
      </c>
      <c r="W67" s="838"/>
      <c r="X67" s="838">
        <f>X68</f>
        <v>8082.0829999999996</v>
      </c>
      <c r="Y67" s="838"/>
      <c r="Z67" s="838">
        <f>Z68</f>
        <v>11257.168</v>
      </c>
      <c r="AA67" s="838"/>
      <c r="AB67" s="838">
        <f>AB68</f>
        <v>9021.9249999999993</v>
      </c>
      <c r="AC67" s="838"/>
      <c r="AD67" s="838">
        <f>AD68</f>
        <v>7323.6729999999998</v>
      </c>
      <c r="AE67" s="838"/>
      <c r="AF67" s="199"/>
      <c r="AG67" s="171">
        <f t="shared" si="2"/>
        <v>0</v>
      </c>
    </row>
    <row r="68" spans="1:33" s="173" customFormat="1" x14ac:dyDescent="0.3">
      <c r="A68" s="183" t="s">
        <v>31</v>
      </c>
      <c r="B68" s="838">
        <f>B69+B70+B71+B72</f>
        <v>121243.95095</v>
      </c>
      <c r="C68" s="838">
        <f>C69+C70+C71+C72</f>
        <v>64957.436950000003</v>
      </c>
      <c r="D68" s="838">
        <f t="shared" si="7"/>
        <v>58273.118439999998</v>
      </c>
      <c r="E68" s="838">
        <f>E69+E70+E71+E72</f>
        <v>58273.118439999998</v>
      </c>
      <c r="F68" s="844">
        <f>E68/B68*100</f>
        <v>48.06270167163337</v>
      </c>
      <c r="G68" s="844">
        <f>E68/C68*100</f>
        <v>89.709694803467755</v>
      </c>
      <c r="H68" s="838">
        <f t="shared" ref="H68:T68" si="26">H69+H70+H71+H72</f>
        <v>15363.626</v>
      </c>
      <c r="I68" s="838">
        <f t="shared" si="26"/>
        <v>8722.1401499999993</v>
      </c>
      <c r="J68" s="838">
        <f t="shared" si="26"/>
        <v>10231.241</v>
      </c>
      <c r="K68" s="838">
        <f t="shared" si="26"/>
        <v>10924.62283</v>
      </c>
      <c r="L68" s="838">
        <f t="shared" si="26"/>
        <v>8299.1039999999994</v>
      </c>
      <c r="M68" s="838">
        <f t="shared" si="26"/>
        <v>9483.1396499999992</v>
      </c>
      <c r="N68" s="838">
        <f t="shared" si="26"/>
        <v>11763.312</v>
      </c>
      <c r="O68" s="838">
        <f t="shared" si="26"/>
        <v>9406.4896000000008</v>
      </c>
      <c r="P68" s="838">
        <f t="shared" si="26"/>
        <v>10195.34895</v>
      </c>
      <c r="Q68" s="838">
        <f t="shared" si="26"/>
        <v>9459.5364799999988</v>
      </c>
      <c r="R68" s="838">
        <f t="shared" si="26"/>
        <v>9104.8050000000003</v>
      </c>
      <c r="S68" s="838">
        <f t="shared" si="26"/>
        <v>10277.18973</v>
      </c>
      <c r="T68" s="838">
        <f t="shared" si="26"/>
        <v>11671.434999999999</v>
      </c>
      <c r="U68" s="838"/>
      <c r="V68" s="838">
        <f>V69+V70+V71+V72</f>
        <v>8930.23</v>
      </c>
      <c r="W68" s="838"/>
      <c r="X68" s="838">
        <f>X69+X70+X71+X72</f>
        <v>8082.0829999999996</v>
      </c>
      <c r="Y68" s="838"/>
      <c r="Z68" s="838">
        <f>Z69+Z70+Z71+Z72</f>
        <v>11257.168</v>
      </c>
      <c r="AA68" s="838"/>
      <c r="AB68" s="838">
        <f>AB69+AB70+AB71+AB72</f>
        <v>9021.9249999999993</v>
      </c>
      <c r="AC68" s="838"/>
      <c r="AD68" s="838">
        <f>AD69+AD70+AD71+AD72</f>
        <v>7323.6729999999998</v>
      </c>
      <c r="AE68" s="838"/>
      <c r="AF68" s="199"/>
      <c r="AG68" s="171">
        <f t="shared" si="2"/>
        <v>0</v>
      </c>
    </row>
    <row r="69" spans="1:33" x14ac:dyDescent="0.3">
      <c r="A69" s="174" t="s">
        <v>169</v>
      </c>
      <c r="B69" s="838">
        <f>H69+J69+L69+N69+P69+R69+T69+V69+X69+Z69+AB69+AD69</f>
        <v>0</v>
      </c>
      <c r="C69" s="838">
        <f>H69</f>
        <v>0</v>
      </c>
      <c r="D69" s="838">
        <f t="shared" si="7"/>
        <v>0</v>
      </c>
      <c r="E69" s="838">
        <v>0</v>
      </c>
      <c r="F69" s="844">
        <v>0</v>
      </c>
      <c r="G69" s="844">
        <v>0</v>
      </c>
      <c r="H69" s="838">
        <v>0</v>
      </c>
      <c r="I69" s="838">
        <v>0</v>
      </c>
      <c r="J69" s="838">
        <v>0</v>
      </c>
      <c r="K69" s="838">
        <v>0</v>
      </c>
      <c r="L69" s="838">
        <v>0</v>
      </c>
      <c r="M69" s="838">
        <v>0</v>
      </c>
      <c r="N69" s="838">
        <v>0</v>
      </c>
      <c r="O69" s="838">
        <v>0</v>
      </c>
      <c r="P69" s="838">
        <v>0</v>
      </c>
      <c r="Q69" s="838">
        <v>0</v>
      </c>
      <c r="R69" s="838">
        <v>0</v>
      </c>
      <c r="S69" s="838">
        <v>0</v>
      </c>
      <c r="T69" s="838">
        <v>0</v>
      </c>
      <c r="U69" s="838"/>
      <c r="V69" s="838">
        <v>0</v>
      </c>
      <c r="W69" s="838"/>
      <c r="X69" s="838">
        <v>0</v>
      </c>
      <c r="Y69" s="838"/>
      <c r="Z69" s="838">
        <v>0</v>
      </c>
      <c r="AA69" s="838"/>
      <c r="AB69" s="838">
        <v>0</v>
      </c>
      <c r="AC69" s="838"/>
      <c r="AD69" s="838">
        <v>0</v>
      </c>
      <c r="AE69" s="838"/>
      <c r="AF69" s="200"/>
      <c r="AG69" s="171">
        <f t="shared" si="2"/>
        <v>0</v>
      </c>
    </row>
    <row r="70" spans="1:33" x14ac:dyDescent="0.3">
      <c r="A70" s="174" t="s">
        <v>32</v>
      </c>
      <c r="B70" s="838">
        <f>H70+J70+L70+N70+P70+R70+T70+V70+X70+Z70+AB70+AD70</f>
        <v>793.15094999999997</v>
      </c>
      <c r="C70" s="838">
        <f>H70+J70+L70+N70+P70+R70</f>
        <v>793.15094999999997</v>
      </c>
      <c r="D70" s="838">
        <f>I70+K70+M70+O70+Q70</f>
        <v>793.15094999999997</v>
      </c>
      <c r="E70" s="838">
        <f>I70+K70+M70+O70+Q706+Q70+S70</f>
        <v>793.15094999999997</v>
      </c>
      <c r="F70" s="844">
        <f>E70/B70*100</f>
        <v>100</v>
      </c>
      <c r="G70" s="844">
        <f>E70/C70*100</f>
        <v>100</v>
      </c>
      <c r="H70" s="838">
        <v>0</v>
      </c>
      <c r="I70" s="838">
        <v>0</v>
      </c>
      <c r="J70" s="838">
        <v>0</v>
      </c>
      <c r="K70" s="838">
        <v>0</v>
      </c>
      <c r="L70" s="838">
        <v>0</v>
      </c>
      <c r="M70" s="838">
        <v>0</v>
      </c>
      <c r="N70" s="838">
        <v>0</v>
      </c>
      <c r="O70" s="838">
        <v>0</v>
      </c>
      <c r="P70" s="838">
        <v>793.15094999999997</v>
      </c>
      <c r="Q70" s="838">
        <v>793.15094999999997</v>
      </c>
      <c r="R70" s="838">
        <v>0</v>
      </c>
      <c r="S70" s="838">
        <v>0</v>
      </c>
      <c r="T70" s="838">
        <v>0</v>
      </c>
      <c r="U70" s="838"/>
      <c r="V70" s="838">
        <v>0</v>
      </c>
      <c r="W70" s="838"/>
      <c r="X70" s="838">
        <v>0</v>
      </c>
      <c r="Y70" s="838"/>
      <c r="Z70" s="838">
        <v>0</v>
      </c>
      <c r="AA70" s="838"/>
      <c r="AB70" s="838">
        <v>0</v>
      </c>
      <c r="AC70" s="838"/>
      <c r="AD70" s="838">
        <v>0</v>
      </c>
      <c r="AE70" s="838"/>
      <c r="AF70" s="200"/>
      <c r="AG70" s="171">
        <f t="shared" si="2"/>
        <v>0</v>
      </c>
    </row>
    <row r="71" spans="1:33" x14ac:dyDescent="0.3">
      <c r="A71" s="174" t="s">
        <v>33</v>
      </c>
      <c r="B71" s="838">
        <f>H71+J71+L71+N71+P71+R71+T71+V71+X71+Z71+AB71+AD71</f>
        <v>120450.8</v>
      </c>
      <c r="C71" s="839">
        <f>H71+J71+L71+N71+P71+R71</f>
        <v>64164.286</v>
      </c>
      <c r="D71" s="839">
        <f>E71</f>
        <v>57479.967489999995</v>
      </c>
      <c r="E71" s="842">
        <f>I71+K71+M71+O71+Q71+S71</f>
        <v>57479.967489999995</v>
      </c>
      <c r="F71" s="844">
        <f>E71/B71*100</f>
        <v>47.720702137304187</v>
      </c>
      <c r="G71" s="844">
        <f>E71/C71*100</f>
        <v>89.582493741144404</v>
      </c>
      <c r="H71" s="838">
        <v>15363.626</v>
      </c>
      <c r="I71" s="838">
        <v>8722.1401499999993</v>
      </c>
      <c r="J71" s="838">
        <v>10231.241</v>
      </c>
      <c r="K71" s="838">
        <v>10924.62283</v>
      </c>
      <c r="L71" s="838">
        <v>8299.1039999999994</v>
      </c>
      <c r="M71" s="838">
        <v>9483.1396499999992</v>
      </c>
      <c r="N71" s="838">
        <v>11763.312</v>
      </c>
      <c r="O71" s="838">
        <v>9406.4896000000008</v>
      </c>
      <c r="P71" s="838">
        <v>9402.1980000000003</v>
      </c>
      <c r="Q71" s="838">
        <v>8666.3855299999996</v>
      </c>
      <c r="R71" s="838">
        <v>9104.8050000000003</v>
      </c>
      <c r="S71" s="838">
        <v>10277.18973</v>
      </c>
      <c r="T71" s="838">
        <v>11671.434999999999</v>
      </c>
      <c r="U71" s="838"/>
      <c r="V71" s="838">
        <v>8930.23</v>
      </c>
      <c r="W71" s="838"/>
      <c r="X71" s="838">
        <v>8082.0829999999996</v>
      </c>
      <c r="Y71" s="838"/>
      <c r="Z71" s="838">
        <v>11257.168</v>
      </c>
      <c r="AA71" s="838"/>
      <c r="AB71" s="838">
        <v>9021.9249999999993</v>
      </c>
      <c r="AC71" s="838"/>
      <c r="AD71" s="838">
        <v>7323.6729999999998</v>
      </c>
      <c r="AE71" s="838"/>
      <c r="AF71" s="200"/>
      <c r="AG71" s="171">
        <f t="shared" si="2"/>
        <v>0</v>
      </c>
    </row>
    <row r="72" spans="1:33" x14ac:dyDescent="0.3">
      <c r="A72" s="174" t="s">
        <v>221</v>
      </c>
      <c r="B72" s="838">
        <f>H72+J72+L72+N72+P72+R72+T72+V72+X72+Z72+AB72+AD72</f>
        <v>0</v>
      </c>
      <c r="C72" s="838">
        <f>H72</f>
        <v>0</v>
      </c>
      <c r="D72" s="838">
        <f>E72</f>
        <v>0</v>
      </c>
      <c r="E72" s="838">
        <v>0</v>
      </c>
      <c r="F72" s="844">
        <v>0</v>
      </c>
      <c r="G72" s="844">
        <v>0</v>
      </c>
      <c r="H72" s="838">
        <v>0</v>
      </c>
      <c r="I72" s="838">
        <v>0</v>
      </c>
      <c r="J72" s="838">
        <v>0</v>
      </c>
      <c r="K72" s="838">
        <v>0</v>
      </c>
      <c r="L72" s="838">
        <v>0</v>
      </c>
      <c r="M72" s="838">
        <v>0</v>
      </c>
      <c r="N72" s="838">
        <v>0</v>
      </c>
      <c r="O72" s="838">
        <v>0</v>
      </c>
      <c r="P72" s="838">
        <v>0</v>
      </c>
      <c r="Q72" s="838">
        <v>0</v>
      </c>
      <c r="R72" s="838">
        <v>0</v>
      </c>
      <c r="S72" s="838">
        <v>0</v>
      </c>
      <c r="T72" s="838">
        <v>0</v>
      </c>
      <c r="U72" s="838"/>
      <c r="V72" s="838">
        <v>0</v>
      </c>
      <c r="W72" s="838"/>
      <c r="X72" s="838">
        <v>0</v>
      </c>
      <c r="Y72" s="838"/>
      <c r="Z72" s="838">
        <v>0</v>
      </c>
      <c r="AA72" s="838"/>
      <c r="AB72" s="838">
        <v>0</v>
      </c>
      <c r="AC72" s="838"/>
      <c r="AD72" s="838">
        <v>0</v>
      </c>
      <c r="AE72" s="838"/>
      <c r="AF72" s="200"/>
      <c r="AG72" s="171">
        <f t="shared" si="2"/>
        <v>0</v>
      </c>
    </row>
    <row r="73" spans="1:33" s="173" customFormat="1" ht="56.25" x14ac:dyDescent="0.3">
      <c r="A73" s="201" t="s">
        <v>232</v>
      </c>
      <c r="B73" s="838">
        <f>B74</f>
        <v>8892.5</v>
      </c>
      <c r="C73" s="838">
        <f>C74</f>
        <v>4257.9400000000005</v>
      </c>
      <c r="D73" s="838">
        <f>D74</f>
        <v>4205.0310600000003</v>
      </c>
      <c r="E73" s="838">
        <f>E74</f>
        <v>4205.0310600000003</v>
      </c>
      <c r="F73" s="844">
        <f>E73/B73*100</f>
        <v>47.287388923249935</v>
      </c>
      <c r="G73" s="844">
        <f>E73/C73*100</f>
        <v>98.757405224122451</v>
      </c>
      <c r="H73" s="838">
        <f t="shared" ref="H73:T73" si="27">H74</f>
        <v>688.42100000000005</v>
      </c>
      <c r="I73" s="838">
        <f t="shared" si="27"/>
        <v>586.09262000000001</v>
      </c>
      <c r="J73" s="838">
        <f t="shared" si="27"/>
        <v>1073.856</v>
      </c>
      <c r="K73" s="838">
        <f t="shared" si="27"/>
        <v>981.59352000000001</v>
      </c>
      <c r="L73" s="838">
        <f t="shared" si="27"/>
        <v>454.34500000000003</v>
      </c>
      <c r="M73" s="838">
        <f t="shared" si="27"/>
        <v>633.97266999999999</v>
      </c>
      <c r="N73" s="838">
        <f t="shared" si="27"/>
        <v>765.00800000000004</v>
      </c>
      <c r="O73" s="838">
        <f t="shared" si="27"/>
        <v>508.28328999999997</v>
      </c>
      <c r="P73" s="838">
        <f t="shared" si="27"/>
        <v>852.87800000000004</v>
      </c>
      <c r="Q73" s="838">
        <f t="shared" si="27"/>
        <v>780.76721999999995</v>
      </c>
      <c r="R73" s="838">
        <f t="shared" si="27"/>
        <v>423.43199999999996</v>
      </c>
      <c r="S73" s="838">
        <f t="shared" si="27"/>
        <v>714.32174000000009</v>
      </c>
      <c r="T73" s="838">
        <f t="shared" si="27"/>
        <v>732.11599999999999</v>
      </c>
      <c r="U73" s="838"/>
      <c r="V73" s="838">
        <f>V74</f>
        <v>806.75699999999995</v>
      </c>
      <c r="W73" s="838"/>
      <c r="X73" s="838">
        <f>X74</f>
        <v>584.42000000000007</v>
      </c>
      <c r="Y73" s="838"/>
      <c r="Z73" s="838">
        <f>Z74</f>
        <v>978.37</v>
      </c>
      <c r="AA73" s="838"/>
      <c r="AB73" s="838">
        <f>AB74</f>
        <v>676.66200000000003</v>
      </c>
      <c r="AC73" s="838"/>
      <c r="AD73" s="838">
        <f>AD74</f>
        <v>856.23500000000001</v>
      </c>
      <c r="AE73" s="838"/>
      <c r="AF73" s="170"/>
      <c r="AG73" s="171">
        <f t="shared" si="2"/>
        <v>0</v>
      </c>
    </row>
    <row r="74" spans="1:33" s="173" customFormat="1" x14ac:dyDescent="0.3">
      <c r="A74" s="183" t="s">
        <v>31</v>
      </c>
      <c r="B74" s="838">
        <f>B75+B76+B77+B78</f>
        <v>8892.5</v>
      </c>
      <c r="C74" s="838">
        <f>C75+C76+C77+C78</f>
        <v>4257.9400000000005</v>
      </c>
      <c r="D74" s="838">
        <f>D75+D76+D77+D78</f>
        <v>4205.0310600000003</v>
      </c>
      <c r="E74" s="838">
        <f>E75+E76+E77+E78</f>
        <v>4205.0310600000003</v>
      </c>
      <c r="F74" s="844">
        <f>E74/B74*100</f>
        <v>47.287388923249935</v>
      </c>
      <c r="G74" s="844">
        <f>E74/C74*100</f>
        <v>98.757405224122451</v>
      </c>
      <c r="H74" s="838">
        <f t="shared" ref="H74:T74" si="28">H75+H76+H77+H78</f>
        <v>688.42100000000005</v>
      </c>
      <c r="I74" s="838">
        <f t="shared" si="28"/>
        <v>586.09262000000001</v>
      </c>
      <c r="J74" s="838">
        <f t="shared" si="28"/>
        <v>1073.856</v>
      </c>
      <c r="K74" s="838">
        <f t="shared" si="28"/>
        <v>981.59352000000001</v>
      </c>
      <c r="L74" s="838">
        <f t="shared" si="28"/>
        <v>454.34500000000003</v>
      </c>
      <c r="M74" s="838">
        <f t="shared" si="28"/>
        <v>633.97266999999999</v>
      </c>
      <c r="N74" s="838">
        <f t="shared" si="28"/>
        <v>765.00800000000004</v>
      </c>
      <c r="O74" s="838">
        <f t="shared" si="28"/>
        <v>508.28328999999997</v>
      </c>
      <c r="P74" s="838">
        <f t="shared" si="28"/>
        <v>852.87800000000004</v>
      </c>
      <c r="Q74" s="838">
        <f t="shared" si="28"/>
        <v>780.76721999999995</v>
      </c>
      <c r="R74" s="838">
        <f t="shared" si="28"/>
        <v>423.43199999999996</v>
      </c>
      <c r="S74" s="838">
        <f t="shared" si="28"/>
        <v>714.32174000000009</v>
      </c>
      <c r="T74" s="838">
        <f t="shared" si="28"/>
        <v>732.11599999999999</v>
      </c>
      <c r="U74" s="838"/>
      <c r="V74" s="838">
        <f>V75+V76+V77+V78</f>
        <v>806.75699999999995</v>
      </c>
      <c r="W74" s="838"/>
      <c r="X74" s="838">
        <f>X75+X76+X77+X78</f>
        <v>584.42000000000007</v>
      </c>
      <c r="Y74" s="838"/>
      <c r="Z74" s="838">
        <f>Z75+Z76+Z77+Z78</f>
        <v>978.37</v>
      </c>
      <c r="AA74" s="838"/>
      <c r="AB74" s="838">
        <f>AB75+AB76+AB77+AB78</f>
        <v>676.66200000000003</v>
      </c>
      <c r="AC74" s="838"/>
      <c r="AD74" s="838">
        <f>AD75+AD76+AD77+AD78</f>
        <v>856.23500000000001</v>
      </c>
      <c r="AE74" s="838"/>
      <c r="AF74" s="170"/>
      <c r="AG74" s="171">
        <f t="shared" si="2"/>
        <v>0</v>
      </c>
    </row>
    <row r="75" spans="1:33" x14ac:dyDescent="0.3">
      <c r="A75" s="174" t="s">
        <v>169</v>
      </c>
      <c r="B75" s="838">
        <f>H75+J75+L75+N75+P75+R75+T75+V75+X75+Z75+AB75+AD75</f>
        <v>6100.7000000000007</v>
      </c>
      <c r="C75" s="839">
        <f>H75+J75+L75+N75+P75+R75</f>
        <v>3007.94</v>
      </c>
      <c r="D75" s="839">
        <f>E75</f>
        <v>3007.9400000000005</v>
      </c>
      <c r="E75" s="842">
        <f>I75+K75+M75+O75+Q75+S75</f>
        <v>3007.9400000000005</v>
      </c>
      <c r="F75" s="844">
        <f>E75/B75*100</f>
        <v>49.304833871522938</v>
      </c>
      <c r="G75" s="844">
        <f>E75/C75*100</f>
        <v>100.00000000000003</v>
      </c>
      <c r="H75" s="838">
        <v>438.42099999999999</v>
      </c>
      <c r="I75" s="838">
        <v>415.91363999999999</v>
      </c>
      <c r="J75" s="838">
        <v>873.85599999999999</v>
      </c>
      <c r="K75" s="838">
        <f>579.75136+2+260.09835+14.1</f>
        <v>855.94970999999998</v>
      </c>
      <c r="L75" s="838">
        <v>155.80000000000001</v>
      </c>
      <c r="M75" s="838">
        <v>196.17665</v>
      </c>
      <c r="N75" s="838">
        <v>565.00800000000004</v>
      </c>
      <c r="O75" s="838">
        <v>335.28814</v>
      </c>
      <c r="P75" s="838">
        <v>652.87800000000004</v>
      </c>
      <c r="Q75" s="838">
        <v>780.76721999999995</v>
      </c>
      <c r="R75" s="838">
        <v>321.97699999999998</v>
      </c>
      <c r="S75" s="838">
        <v>423.84464000000003</v>
      </c>
      <c r="T75" s="838">
        <v>532.11599999999999</v>
      </c>
      <c r="U75" s="838"/>
      <c r="V75" s="838">
        <v>606.75699999999995</v>
      </c>
      <c r="W75" s="838"/>
      <c r="X75" s="838">
        <v>384.42</v>
      </c>
      <c r="Y75" s="838"/>
      <c r="Z75" s="838">
        <v>568.47</v>
      </c>
      <c r="AA75" s="838"/>
      <c r="AB75" s="838">
        <v>476.66199999999998</v>
      </c>
      <c r="AC75" s="838"/>
      <c r="AD75" s="838">
        <v>524.33500000000004</v>
      </c>
      <c r="AE75" s="838"/>
      <c r="AF75" s="178"/>
      <c r="AG75" s="171">
        <f t="shared" si="2"/>
        <v>0</v>
      </c>
    </row>
    <row r="76" spans="1:33" x14ac:dyDescent="0.3">
      <c r="A76" s="174" t="s">
        <v>32</v>
      </c>
      <c r="B76" s="838">
        <f>H76+J76+L76+N76+P76+R76+T76+V76+X76+Z76+AB76+AD76</f>
        <v>2791.8</v>
      </c>
      <c r="C76" s="839">
        <f>H76+J76+L76+N76+P76+R76</f>
        <v>1250</v>
      </c>
      <c r="D76" s="839">
        <f>E76</f>
        <v>1197.09106</v>
      </c>
      <c r="E76" s="842">
        <f>I76+K76+M76+O76+Q76+S76</f>
        <v>1197.09106</v>
      </c>
      <c r="F76" s="844">
        <f>E76/B76*100</f>
        <v>42.878825847123714</v>
      </c>
      <c r="G76" s="844">
        <f>E76/C76*100</f>
        <v>95.767284799999999</v>
      </c>
      <c r="H76" s="838">
        <v>250</v>
      </c>
      <c r="I76" s="838">
        <v>170.17898</v>
      </c>
      <c r="J76" s="838">
        <v>200</v>
      </c>
      <c r="K76" s="838">
        <v>125.64381</v>
      </c>
      <c r="L76" s="838">
        <v>298.54500000000002</v>
      </c>
      <c r="M76" s="838">
        <v>437.79602</v>
      </c>
      <c r="N76" s="838">
        <v>200</v>
      </c>
      <c r="O76" s="838">
        <v>172.99515</v>
      </c>
      <c r="P76" s="838">
        <v>200</v>
      </c>
      <c r="Q76" s="838">
        <v>0</v>
      </c>
      <c r="R76" s="838">
        <v>101.455</v>
      </c>
      <c r="S76" s="838">
        <v>290.47710000000001</v>
      </c>
      <c r="T76" s="838">
        <v>200</v>
      </c>
      <c r="U76" s="838"/>
      <c r="V76" s="838">
        <v>200</v>
      </c>
      <c r="W76" s="838"/>
      <c r="X76" s="838">
        <v>200</v>
      </c>
      <c r="Y76" s="838"/>
      <c r="Z76" s="838">
        <v>409.9</v>
      </c>
      <c r="AA76" s="838"/>
      <c r="AB76" s="838">
        <v>200</v>
      </c>
      <c r="AC76" s="838"/>
      <c r="AD76" s="838">
        <v>331.9</v>
      </c>
      <c r="AE76" s="838"/>
      <c r="AF76" s="178"/>
      <c r="AG76" s="171">
        <f t="shared" ref="AG76:AG88" si="29">AD76+AB76+Z76+X76+V76+T76+R76+P76+N76+L76+J76+H76-B76</f>
        <v>0</v>
      </c>
    </row>
    <row r="77" spans="1:33" x14ac:dyDescent="0.3">
      <c r="A77" s="174" t="s">
        <v>33</v>
      </c>
      <c r="B77" s="838">
        <f>H77+J77+L77+N77+P77+R77+T77+V77+X77+Z77+AB77+AD77</f>
        <v>0</v>
      </c>
      <c r="C77" s="838">
        <f>H77</f>
        <v>0</v>
      </c>
      <c r="D77" s="838">
        <v>0</v>
      </c>
      <c r="E77" s="838">
        <v>0</v>
      </c>
      <c r="F77" s="844">
        <v>0</v>
      </c>
      <c r="G77" s="844">
        <v>0</v>
      </c>
      <c r="H77" s="838">
        <v>0</v>
      </c>
      <c r="I77" s="838">
        <v>0</v>
      </c>
      <c r="J77" s="838">
        <v>0</v>
      </c>
      <c r="K77" s="838">
        <v>0</v>
      </c>
      <c r="L77" s="838">
        <v>0</v>
      </c>
      <c r="M77" s="838">
        <v>0</v>
      </c>
      <c r="N77" s="838">
        <v>0</v>
      </c>
      <c r="O77" s="838">
        <v>0</v>
      </c>
      <c r="P77" s="838">
        <v>0</v>
      </c>
      <c r="Q77" s="838">
        <v>0</v>
      </c>
      <c r="R77" s="838">
        <v>0</v>
      </c>
      <c r="S77" s="838">
        <v>0</v>
      </c>
      <c r="T77" s="838">
        <v>0</v>
      </c>
      <c r="U77" s="838"/>
      <c r="V77" s="838">
        <v>0</v>
      </c>
      <c r="W77" s="838"/>
      <c r="X77" s="838">
        <v>0</v>
      </c>
      <c r="Y77" s="838"/>
      <c r="Z77" s="838">
        <v>0</v>
      </c>
      <c r="AA77" s="838"/>
      <c r="AB77" s="838">
        <v>0</v>
      </c>
      <c r="AC77" s="838"/>
      <c r="AD77" s="838">
        <v>0</v>
      </c>
      <c r="AE77" s="838"/>
      <c r="AF77" s="178"/>
      <c r="AG77" s="171">
        <f t="shared" si="29"/>
        <v>0</v>
      </c>
    </row>
    <row r="78" spans="1:33" x14ac:dyDescent="0.3">
      <c r="A78" s="174" t="s">
        <v>221</v>
      </c>
      <c r="B78" s="838">
        <f>H78+J78+L78+N78+P78+R78+T78+V78+X78+Z78+AB78+AD78</f>
        <v>0</v>
      </c>
      <c r="C78" s="838">
        <f>H78</f>
        <v>0</v>
      </c>
      <c r="D78" s="838">
        <v>0</v>
      </c>
      <c r="E78" s="838">
        <v>0</v>
      </c>
      <c r="F78" s="844">
        <v>0</v>
      </c>
      <c r="G78" s="844">
        <v>0</v>
      </c>
      <c r="H78" s="838">
        <v>0</v>
      </c>
      <c r="I78" s="838">
        <v>0</v>
      </c>
      <c r="J78" s="838">
        <v>0</v>
      </c>
      <c r="K78" s="838">
        <v>0</v>
      </c>
      <c r="L78" s="838">
        <v>0</v>
      </c>
      <c r="M78" s="838">
        <v>0</v>
      </c>
      <c r="N78" s="838">
        <v>0</v>
      </c>
      <c r="O78" s="838">
        <v>0</v>
      </c>
      <c r="P78" s="838">
        <v>0</v>
      </c>
      <c r="Q78" s="838">
        <v>0</v>
      </c>
      <c r="R78" s="838">
        <v>0</v>
      </c>
      <c r="S78" s="838">
        <v>0</v>
      </c>
      <c r="T78" s="838">
        <v>0</v>
      </c>
      <c r="U78" s="838"/>
      <c r="V78" s="838">
        <v>0</v>
      </c>
      <c r="W78" s="838"/>
      <c r="X78" s="838">
        <v>0</v>
      </c>
      <c r="Y78" s="838"/>
      <c r="Z78" s="838">
        <v>0</v>
      </c>
      <c r="AA78" s="838"/>
      <c r="AB78" s="838">
        <v>0</v>
      </c>
      <c r="AC78" s="838"/>
      <c r="AD78" s="838">
        <v>0</v>
      </c>
      <c r="AE78" s="838"/>
      <c r="AF78" s="178"/>
      <c r="AG78" s="171">
        <f t="shared" si="29"/>
        <v>0</v>
      </c>
    </row>
    <row r="79" spans="1:33" s="173" customFormat="1" x14ac:dyDescent="0.3">
      <c r="A79" s="144" t="s">
        <v>233</v>
      </c>
      <c r="B79" s="202">
        <f>B80+B81+B82+B83</f>
        <v>160529.75095000002</v>
      </c>
      <c r="C79" s="202">
        <f>C80+C81+C82+C83</f>
        <v>83365.643290000007</v>
      </c>
      <c r="D79" s="202">
        <f>D80+D81+D82+D83</f>
        <v>72238.695409999986</v>
      </c>
      <c r="E79" s="202">
        <f>E80+E81+E82+E83</f>
        <v>72238.695409999986</v>
      </c>
      <c r="F79" s="202">
        <f>E79/B79*100</f>
        <v>45.000191542376513</v>
      </c>
      <c r="G79" s="202">
        <f>E79/C79*100</f>
        <v>86.652837498904375</v>
      </c>
      <c r="H79" s="202">
        <f t="shared" ref="H79:AE79" si="30">H80+H81+H82+H83</f>
        <v>19353.07159</v>
      </c>
      <c r="I79" s="202">
        <f t="shared" si="30"/>
        <v>11125.359619999999</v>
      </c>
      <c r="J79" s="202">
        <f t="shared" si="30"/>
        <v>13626.387999999999</v>
      </c>
      <c r="K79" s="202">
        <f t="shared" si="30"/>
        <v>12836.116740000001</v>
      </c>
      <c r="L79" s="202">
        <f t="shared" si="30"/>
        <v>10072.715</v>
      </c>
      <c r="M79" s="202">
        <f t="shared" si="30"/>
        <v>11483.041259999998</v>
      </c>
      <c r="N79" s="202">
        <f t="shared" si="30"/>
        <v>17517.697</v>
      </c>
      <c r="O79" s="202">
        <f t="shared" si="30"/>
        <v>12260.26957</v>
      </c>
      <c r="P79" s="202">
        <f t="shared" si="30"/>
        <v>12292.42949</v>
      </c>
      <c r="Q79" s="202">
        <f t="shared" si="30"/>
        <v>12281.844709999998</v>
      </c>
      <c r="R79" s="202">
        <f t="shared" si="30"/>
        <v>11296.493160000002</v>
      </c>
      <c r="S79" s="202">
        <f t="shared" si="30"/>
        <v>13045.214459999999</v>
      </c>
      <c r="T79" s="202">
        <f t="shared" si="30"/>
        <v>17584.183830000002</v>
      </c>
      <c r="U79" s="202">
        <f t="shared" si="30"/>
        <v>0</v>
      </c>
      <c r="V79" s="202">
        <f t="shared" si="30"/>
        <v>10684.85349</v>
      </c>
      <c r="W79" s="202">
        <f t="shared" si="30"/>
        <v>0</v>
      </c>
      <c r="X79" s="202">
        <f t="shared" si="30"/>
        <v>9506.7685099999999</v>
      </c>
      <c r="Y79" s="202">
        <f t="shared" si="30"/>
        <v>0</v>
      </c>
      <c r="Z79" s="202">
        <f t="shared" si="30"/>
        <v>14696.479000000001</v>
      </c>
      <c r="AA79" s="202">
        <f t="shared" si="30"/>
        <v>0</v>
      </c>
      <c r="AB79" s="202">
        <f t="shared" si="30"/>
        <v>10706.053</v>
      </c>
      <c r="AC79" s="202">
        <f t="shared" si="30"/>
        <v>0</v>
      </c>
      <c r="AD79" s="202">
        <f t="shared" si="30"/>
        <v>13192.61888</v>
      </c>
      <c r="AE79" s="202">
        <f t="shared" si="30"/>
        <v>0</v>
      </c>
      <c r="AF79" s="203"/>
      <c r="AG79" s="171">
        <f t="shared" si="29"/>
        <v>0</v>
      </c>
    </row>
    <row r="80" spans="1:33" s="173" customFormat="1" x14ac:dyDescent="0.3">
      <c r="A80" s="146" t="s">
        <v>169</v>
      </c>
      <c r="B80" s="204">
        <f>B75+B69+B63+B33+B27+B21+B13</f>
        <v>6100.7000000000007</v>
      </c>
      <c r="C80" s="204">
        <f t="shared" ref="C80:E81" si="31">C75</f>
        <v>3007.94</v>
      </c>
      <c r="D80" s="204">
        <f t="shared" si="31"/>
        <v>3007.9400000000005</v>
      </c>
      <c r="E80" s="204">
        <f t="shared" si="31"/>
        <v>3007.9400000000005</v>
      </c>
      <c r="F80" s="204">
        <f>E80/B80*100</f>
        <v>49.304833871522938</v>
      </c>
      <c r="G80" s="204">
        <f>E80/C80*100</f>
        <v>100.00000000000003</v>
      </c>
      <c r="H80" s="204">
        <f t="shared" ref="H80:AE83" si="32">H75+H69+H63+H33+H27+H21+H13</f>
        <v>438.42099999999999</v>
      </c>
      <c r="I80" s="204">
        <f t="shared" si="32"/>
        <v>415.91363999999999</v>
      </c>
      <c r="J80" s="204">
        <f t="shared" si="32"/>
        <v>873.85599999999999</v>
      </c>
      <c r="K80" s="204">
        <f t="shared" si="32"/>
        <v>855.94970999999998</v>
      </c>
      <c r="L80" s="204">
        <f t="shared" si="32"/>
        <v>155.80000000000001</v>
      </c>
      <c r="M80" s="204">
        <f t="shared" si="32"/>
        <v>196.17665</v>
      </c>
      <c r="N80" s="204">
        <f t="shared" si="32"/>
        <v>565.00800000000004</v>
      </c>
      <c r="O80" s="204">
        <f t="shared" si="32"/>
        <v>335.28814</v>
      </c>
      <c r="P80" s="204">
        <f t="shared" si="32"/>
        <v>652.87800000000004</v>
      </c>
      <c r="Q80" s="204">
        <f t="shared" si="32"/>
        <v>780.76721999999995</v>
      </c>
      <c r="R80" s="204">
        <f t="shared" si="32"/>
        <v>321.97699999999998</v>
      </c>
      <c r="S80" s="204">
        <f t="shared" si="32"/>
        <v>423.84464000000003</v>
      </c>
      <c r="T80" s="204">
        <f t="shared" si="32"/>
        <v>532.11599999999999</v>
      </c>
      <c r="U80" s="204">
        <f t="shared" si="32"/>
        <v>0</v>
      </c>
      <c r="V80" s="204">
        <f t="shared" si="32"/>
        <v>606.75699999999995</v>
      </c>
      <c r="W80" s="204">
        <f t="shared" si="32"/>
        <v>0</v>
      </c>
      <c r="X80" s="204">
        <f t="shared" si="32"/>
        <v>384.42</v>
      </c>
      <c r="Y80" s="204">
        <f t="shared" si="32"/>
        <v>0</v>
      </c>
      <c r="Z80" s="204">
        <f t="shared" si="32"/>
        <v>568.47</v>
      </c>
      <c r="AA80" s="204">
        <f t="shared" si="32"/>
        <v>0</v>
      </c>
      <c r="AB80" s="204">
        <f t="shared" si="32"/>
        <v>476.66199999999998</v>
      </c>
      <c r="AC80" s="204">
        <f t="shared" si="32"/>
        <v>0</v>
      </c>
      <c r="AD80" s="204">
        <f t="shared" si="32"/>
        <v>524.33500000000004</v>
      </c>
      <c r="AE80" s="204">
        <f t="shared" si="32"/>
        <v>0</v>
      </c>
      <c r="AF80" s="205"/>
      <c r="AG80" s="171">
        <f>AD80+AB80+Z80+X80+V80+T80+R80+P80+N80+L80+J80+H80-B80</f>
        <v>0</v>
      </c>
    </row>
    <row r="81" spans="1:33" s="173" customFormat="1" x14ac:dyDescent="0.3">
      <c r="A81" s="146" t="s">
        <v>32</v>
      </c>
      <c r="B81" s="204">
        <f>B76+B70+B64+B34+B28+B22+B14</f>
        <v>3584.9509500000004</v>
      </c>
      <c r="C81" s="204">
        <f>C76</f>
        <v>1250</v>
      </c>
      <c r="D81" s="204">
        <f t="shared" si="31"/>
        <v>1197.09106</v>
      </c>
      <c r="E81" s="204">
        <f t="shared" si="31"/>
        <v>1197.09106</v>
      </c>
      <c r="F81" s="204">
        <f>E81/B81*100</f>
        <v>33.392118238047296</v>
      </c>
      <c r="G81" s="204">
        <f>E81/C81*100</f>
        <v>95.767284799999999</v>
      </c>
      <c r="H81" s="204">
        <f t="shared" si="32"/>
        <v>250</v>
      </c>
      <c r="I81" s="204">
        <f t="shared" si="32"/>
        <v>170.17898</v>
      </c>
      <c r="J81" s="204">
        <f t="shared" si="32"/>
        <v>200</v>
      </c>
      <c r="K81" s="204">
        <f t="shared" si="32"/>
        <v>125.64381</v>
      </c>
      <c r="L81" s="204">
        <f t="shared" si="32"/>
        <v>298.54500000000002</v>
      </c>
      <c r="M81" s="204">
        <f t="shared" si="32"/>
        <v>437.79602</v>
      </c>
      <c r="N81" s="204">
        <f t="shared" si="32"/>
        <v>200</v>
      </c>
      <c r="O81" s="204">
        <f t="shared" si="32"/>
        <v>172.99515</v>
      </c>
      <c r="P81" s="204">
        <f t="shared" si="32"/>
        <v>993.15094999999997</v>
      </c>
      <c r="Q81" s="204">
        <f t="shared" si="32"/>
        <v>793.15094999999997</v>
      </c>
      <c r="R81" s="204">
        <f t="shared" si="32"/>
        <v>101.455</v>
      </c>
      <c r="S81" s="204">
        <f t="shared" si="32"/>
        <v>290.47710000000001</v>
      </c>
      <c r="T81" s="204">
        <f t="shared" si="32"/>
        <v>200</v>
      </c>
      <c r="U81" s="204">
        <f t="shared" si="32"/>
        <v>0</v>
      </c>
      <c r="V81" s="204">
        <f t="shared" si="32"/>
        <v>200</v>
      </c>
      <c r="W81" s="204">
        <f t="shared" si="32"/>
        <v>0</v>
      </c>
      <c r="X81" s="204">
        <f t="shared" si="32"/>
        <v>200</v>
      </c>
      <c r="Y81" s="204">
        <f t="shared" si="32"/>
        <v>0</v>
      </c>
      <c r="Z81" s="204">
        <f t="shared" si="32"/>
        <v>409.9</v>
      </c>
      <c r="AA81" s="204">
        <f t="shared" si="32"/>
        <v>0</v>
      </c>
      <c r="AB81" s="204">
        <f t="shared" si="32"/>
        <v>200</v>
      </c>
      <c r="AC81" s="204">
        <f t="shared" si="32"/>
        <v>0</v>
      </c>
      <c r="AD81" s="204">
        <f t="shared" si="32"/>
        <v>331.9</v>
      </c>
      <c r="AE81" s="204">
        <f t="shared" si="32"/>
        <v>0</v>
      </c>
      <c r="AF81" s="206"/>
      <c r="AG81" s="171">
        <f t="shared" si="29"/>
        <v>0</v>
      </c>
    </row>
    <row r="82" spans="1:33" s="173" customFormat="1" x14ac:dyDescent="0.3">
      <c r="A82" s="146" t="s">
        <v>33</v>
      </c>
      <c r="B82" s="204">
        <f>B77+B71+B65+B35+B29+B23+B15</f>
        <v>150844.1</v>
      </c>
      <c r="C82" s="204">
        <f t="shared" ref="C82:E83" si="33">C15+C23+C29+C35+C65+C71+C77</f>
        <v>79107.703290000005</v>
      </c>
      <c r="D82" s="204">
        <f t="shared" si="33"/>
        <v>68033.664349999992</v>
      </c>
      <c r="E82" s="204">
        <f t="shared" si="33"/>
        <v>68033.664349999992</v>
      </c>
      <c r="F82" s="204">
        <f>E82/B82*100</f>
        <v>45.101972400644101</v>
      </c>
      <c r="G82" s="204">
        <f>E82/C82*100</f>
        <v>86.00131405736326</v>
      </c>
      <c r="H82" s="204">
        <f t="shared" si="32"/>
        <v>18664.650590000001</v>
      </c>
      <c r="I82" s="204">
        <f t="shared" si="32"/>
        <v>10539.267</v>
      </c>
      <c r="J82" s="204">
        <f t="shared" si="32"/>
        <v>12552.531999999999</v>
      </c>
      <c r="K82" s="204">
        <f t="shared" si="32"/>
        <v>11854.523220000001</v>
      </c>
      <c r="L82" s="204">
        <f t="shared" si="32"/>
        <v>9618.3700000000008</v>
      </c>
      <c r="M82" s="204">
        <f t="shared" si="32"/>
        <v>10849.068589999999</v>
      </c>
      <c r="N82" s="204">
        <f t="shared" si="32"/>
        <v>16752.688999999998</v>
      </c>
      <c r="O82" s="204">
        <f t="shared" si="32"/>
        <v>11751.986280000001</v>
      </c>
      <c r="P82" s="204">
        <f t="shared" si="32"/>
        <v>10646.400540000001</v>
      </c>
      <c r="Q82" s="204">
        <f t="shared" si="32"/>
        <v>10707.926539999999</v>
      </c>
      <c r="R82" s="204">
        <f t="shared" si="32"/>
        <v>10873.061160000001</v>
      </c>
      <c r="S82" s="204">
        <f t="shared" si="32"/>
        <v>12330.89272</v>
      </c>
      <c r="T82" s="204">
        <f t="shared" si="32"/>
        <v>16852.06783</v>
      </c>
      <c r="U82" s="204">
        <f t="shared" si="32"/>
        <v>0</v>
      </c>
      <c r="V82" s="204">
        <f t="shared" si="32"/>
        <v>9878.0964899999999</v>
      </c>
      <c r="W82" s="204">
        <f t="shared" si="32"/>
        <v>0</v>
      </c>
      <c r="X82" s="204">
        <f t="shared" si="32"/>
        <v>8922.3485099999998</v>
      </c>
      <c r="Y82" s="204">
        <f t="shared" si="32"/>
        <v>0</v>
      </c>
      <c r="Z82" s="204">
        <f t="shared" si="32"/>
        <v>13718.109</v>
      </c>
      <c r="AA82" s="204">
        <f t="shared" si="32"/>
        <v>0</v>
      </c>
      <c r="AB82" s="204">
        <f t="shared" si="32"/>
        <v>10029.391</v>
      </c>
      <c r="AC82" s="204">
        <f t="shared" si="32"/>
        <v>0</v>
      </c>
      <c r="AD82" s="204">
        <f t="shared" si="32"/>
        <v>12336.383879999999</v>
      </c>
      <c r="AE82" s="204">
        <f t="shared" si="32"/>
        <v>0</v>
      </c>
      <c r="AF82" s="206"/>
      <c r="AG82" s="171">
        <f t="shared" si="29"/>
        <v>0</v>
      </c>
    </row>
    <row r="83" spans="1:33" s="173" customFormat="1" x14ac:dyDescent="0.3">
      <c r="A83" s="148" t="s">
        <v>221</v>
      </c>
      <c r="B83" s="204">
        <f>B78+B72+B66+B36+B30+B24+B16</f>
        <v>0</v>
      </c>
      <c r="C83" s="204">
        <f t="shared" si="33"/>
        <v>0</v>
      </c>
      <c r="D83" s="204">
        <f t="shared" si="33"/>
        <v>0</v>
      </c>
      <c r="E83" s="204">
        <f t="shared" si="33"/>
        <v>0</v>
      </c>
      <c r="F83" s="204">
        <v>0</v>
      </c>
      <c r="G83" s="204">
        <v>0</v>
      </c>
      <c r="H83" s="204">
        <f t="shared" si="32"/>
        <v>0</v>
      </c>
      <c r="I83" s="204">
        <f t="shared" si="32"/>
        <v>0</v>
      </c>
      <c r="J83" s="204">
        <f t="shared" si="32"/>
        <v>0</v>
      </c>
      <c r="K83" s="204">
        <f t="shared" si="32"/>
        <v>0</v>
      </c>
      <c r="L83" s="204">
        <f t="shared" si="32"/>
        <v>0</v>
      </c>
      <c r="M83" s="204">
        <f t="shared" si="32"/>
        <v>0</v>
      </c>
      <c r="N83" s="204">
        <f t="shared" si="32"/>
        <v>0</v>
      </c>
      <c r="O83" s="204">
        <f t="shared" si="32"/>
        <v>0</v>
      </c>
      <c r="P83" s="204">
        <f t="shared" si="32"/>
        <v>0</v>
      </c>
      <c r="Q83" s="204">
        <f t="shared" si="32"/>
        <v>0</v>
      </c>
      <c r="R83" s="204">
        <f t="shared" si="32"/>
        <v>0</v>
      </c>
      <c r="S83" s="204">
        <f t="shared" si="32"/>
        <v>0</v>
      </c>
      <c r="T83" s="204">
        <f t="shared" si="32"/>
        <v>0</v>
      </c>
      <c r="U83" s="204">
        <f t="shared" si="32"/>
        <v>0</v>
      </c>
      <c r="V83" s="204">
        <f t="shared" si="32"/>
        <v>0</v>
      </c>
      <c r="W83" s="204">
        <f t="shared" si="32"/>
        <v>0</v>
      </c>
      <c r="X83" s="204">
        <f t="shared" si="32"/>
        <v>0</v>
      </c>
      <c r="Y83" s="204">
        <f t="shared" si="32"/>
        <v>0</v>
      </c>
      <c r="Z83" s="204">
        <f t="shared" si="32"/>
        <v>0</v>
      </c>
      <c r="AA83" s="204">
        <f t="shared" si="32"/>
        <v>0</v>
      </c>
      <c r="AB83" s="204">
        <f t="shared" si="32"/>
        <v>0</v>
      </c>
      <c r="AC83" s="204">
        <f t="shared" si="32"/>
        <v>0</v>
      </c>
      <c r="AD83" s="204">
        <f t="shared" si="32"/>
        <v>0</v>
      </c>
      <c r="AE83" s="204">
        <f t="shared" si="32"/>
        <v>0</v>
      </c>
      <c r="AF83" s="206"/>
      <c r="AG83" s="171">
        <f t="shared" si="29"/>
        <v>0</v>
      </c>
    </row>
    <row r="84" spans="1:33" s="173" customFormat="1" ht="37.5" x14ac:dyDescent="0.3">
      <c r="A84" s="144" t="s">
        <v>64</v>
      </c>
      <c r="B84" s="202">
        <f>B85+B86+B87+B88</f>
        <v>160529.75095000002</v>
      </c>
      <c r="C84" s="202">
        <f>C85+C86+C87+C88</f>
        <v>84158.794240000003</v>
      </c>
      <c r="D84" s="202">
        <f>D85+D86+D87+D88</f>
        <v>73031.846359999996</v>
      </c>
      <c r="E84" s="202">
        <f>E85+E86+E87+E88</f>
        <v>73031.846359999996</v>
      </c>
      <c r="F84" s="202">
        <f>E84/B84*100</f>
        <v>45.494275003732568</v>
      </c>
      <c r="G84" s="202">
        <f>E84/C84*100</f>
        <v>86.778627259952529</v>
      </c>
      <c r="H84" s="202">
        <f t="shared" ref="H84:AE84" si="34">H85+H86+H87+H88</f>
        <v>19353.07159</v>
      </c>
      <c r="I84" s="202">
        <f t="shared" si="34"/>
        <v>11125.359619999999</v>
      </c>
      <c r="J84" s="202">
        <f t="shared" si="34"/>
        <v>13626.387999999999</v>
      </c>
      <c r="K84" s="202">
        <f t="shared" si="34"/>
        <v>12836.116740000001</v>
      </c>
      <c r="L84" s="202">
        <f t="shared" si="34"/>
        <v>10072.714999999998</v>
      </c>
      <c r="M84" s="202">
        <f t="shared" si="34"/>
        <v>11483.041259999998</v>
      </c>
      <c r="N84" s="202">
        <f t="shared" si="34"/>
        <v>17517.697</v>
      </c>
      <c r="O84" s="202">
        <f t="shared" si="34"/>
        <v>12260.26957</v>
      </c>
      <c r="P84" s="202">
        <f t="shared" si="34"/>
        <v>12292.42949</v>
      </c>
      <c r="Q84" s="202">
        <f t="shared" si="34"/>
        <v>12281.844710000001</v>
      </c>
      <c r="R84" s="202">
        <f t="shared" si="34"/>
        <v>11296.493160000002</v>
      </c>
      <c r="S84" s="202">
        <f t="shared" si="34"/>
        <v>13045.214459999999</v>
      </c>
      <c r="T84" s="202">
        <f t="shared" si="34"/>
        <v>17584.183830000002</v>
      </c>
      <c r="U84" s="202">
        <f t="shared" si="34"/>
        <v>0</v>
      </c>
      <c r="V84" s="202">
        <f t="shared" si="34"/>
        <v>10684.85349</v>
      </c>
      <c r="W84" s="202">
        <f t="shared" si="34"/>
        <v>0</v>
      </c>
      <c r="X84" s="202">
        <f t="shared" si="34"/>
        <v>9506.7685099999999</v>
      </c>
      <c r="Y84" s="202">
        <f t="shared" si="34"/>
        <v>0</v>
      </c>
      <c r="Z84" s="202">
        <f t="shared" si="34"/>
        <v>14696.479000000001</v>
      </c>
      <c r="AA84" s="202">
        <f t="shared" si="34"/>
        <v>0</v>
      </c>
      <c r="AB84" s="202">
        <f t="shared" si="34"/>
        <v>10706.053</v>
      </c>
      <c r="AC84" s="202">
        <f t="shared" si="34"/>
        <v>0</v>
      </c>
      <c r="AD84" s="202">
        <f t="shared" si="34"/>
        <v>13192.61888</v>
      </c>
      <c r="AE84" s="202">
        <f t="shared" si="34"/>
        <v>0</v>
      </c>
      <c r="AF84" s="203"/>
      <c r="AG84" s="171">
        <f t="shared" si="29"/>
        <v>0</v>
      </c>
    </row>
    <row r="85" spans="1:33" s="173" customFormat="1" x14ac:dyDescent="0.3">
      <c r="A85" s="146" t="s">
        <v>169</v>
      </c>
      <c r="B85" s="204">
        <f t="shared" ref="B85:E88" si="35">B13+B21+B27+B33+B63+B69+B75</f>
        <v>6100.7000000000007</v>
      </c>
      <c r="C85" s="204">
        <f t="shared" si="35"/>
        <v>3007.94</v>
      </c>
      <c r="D85" s="204">
        <f t="shared" si="35"/>
        <v>3007.9400000000005</v>
      </c>
      <c r="E85" s="204">
        <f t="shared" si="35"/>
        <v>3007.9400000000005</v>
      </c>
      <c r="F85" s="204">
        <f>E85/B85*100</f>
        <v>49.304833871522938</v>
      </c>
      <c r="G85" s="204">
        <f>E85/C85*100</f>
        <v>100.00000000000003</v>
      </c>
      <c r="H85" s="204">
        <f t="shared" ref="H85:AE88" si="36">H13+H21+H27+H33+H63+H69+H75</f>
        <v>438.42099999999999</v>
      </c>
      <c r="I85" s="204">
        <f t="shared" si="36"/>
        <v>415.91363999999999</v>
      </c>
      <c r="J85" s="204">
        <f t="shared" si="36"/>
        <v>873.85599999999999</v>
      </c>
      <c r="K85" s="204">
        <f t="shared" si="36"/>
        <v>855.94970999999998</v>
      </c>
      <c r="L85" s="204">
        <f t="shared" si="36"/>
        <v>155.80000000000001</v>
      </c>
      <c r="M85" s="204">
        <f t="shared" si="36"/>
        <v>196.17665</v>
      </c>
      <c r="N85" s="204">
        <f t="shared" si="36"/>
        <v>565.00800000000004</v>
      </c>
      <c r="O85" s="204">
        <f t="shared" si="36"/>
        <v>335.28814</v>
      </c>
      <c r="P85" s="204">
        <f t="shared" si="36"/>
        <v>652.87800000000004</v>
      </c>
      <c r="Q85" s="204">
        <f t="shared" si="36"/>
        <v>780.76721999999995</v>
      </c>
      <c r="R85" s="204">
        <f t="shared" si="36"/>
        <v>321.97699999999998</v>
      </c>
      <c r="S85" s="204">
        <f t="shared" si="36"/>
        <v>423.84464000000003</v>
      </c>
      <c r="T85" s="204">
        <f t="shared" si="36"/>
        <v>532.11599999999999</v>
      </c>
      <c r="U85" s="204">
        <f t="shared" si="36"/>
        <v>0</v>
      </c>
      <c r="V85" s="204">
        <f t="shared" si="36"/>
        <v>606.75699999999995</v>
      </c>
      <c r="W85" s="204">
        <f t="shared" si="36"/>
        <v>0</v>
      </c>
      <c r="X85" s="204">
        <f t="shared" si="36"/>
        <v>384.42</v>
      </c>
      <c r="Y85" s="204">
        <f t="shared" si="36"/>
        <v>0</v>
      </c>
      <c r="Z85" s="204">
        <f t="shared" si="36"/>
        <v>568.47</v>
      </c>
      <c r="AA85" s="204">
        <f t="shared" si="36"/>
        <v>0</v>
      </c>
      <c r="AB85" s="204">
        <f t="shared" si="36"/>
        <v>476.66199999999998</v>
      </c>
      <c r="AC85" s="204">
        <f t="shared" si="36"/>
        <v>0</v>
      </c>
      <c r="AD85" s="204">
        <f t="shared" si="36"/>
        <v>524.33500000000004</v>
      </c>
      <c r="AE85" s="204">
        <f t="shared" si="36"/>
        <v>0</v>
      </c>
      <c r="AF85" s="205"/>
      <c r="AG85" s="171">
        <f t="shared" si="29"/>
        <v>0</v>
      </c>
    </row>
    <row r="86" spans="1:33" s="173" customFormat="1" x14ac:dyDescent="0.3">
      <c r="A86" s="146" t="s">
        <v>32</v>
      </c>
      <c r="B86" s="204">
        <f t="shared" si="35"/>
        <v>3584.9509500000004</v>
      </c>
      <c r="C86" s="204">
        <f t="shared" si="35"/>
        <v>2043.15095</v>
      </c>
      <c r="D86" s="204">
        <f t="shared" si="35"/>
        <v>1990.2420099999999</v>
      </c>
      <c r="E86" s="204">
        <f t="shared" si="35"/>
        <v>1990.2420099999999</v>
      </c>
      <c r="F86" s="204">
        <f>E86/B86*100</f>
        <v>55.516575756775687</v>
      </c>
      <c r="G86" s="204">
        <f>E86/C86*100</f>
        <v>97.410424325231574</v>
      </c>
      <c r="H86" s="204">
        <f t="shared" si="36"/>
        <v>250</v>
      </c>
      <c r="I86" s="204">
        <f t="shared" si="36"/>
        <v>170.17898</v>
      </c>
      <c r="J86" s="204">
        <f t="shared" si="36"/>
        <v>200</v>
      </c>
      <c r="K86" s="204">
        <f t="shared" si="36"/>
        <v>125.64381</v>
      </c>
      <c r="L86" s="204">
        <f t="shared" si="36"/>
        <v>298.54500000000002</v>
      </c>
      <c r="M86" s="204">
        <f t="shared" si="36"/>
        <v>437.79602</v>
      </c>
      <c r="N86" s="204">
        <f t="shared" si="36"/>
        <v>200</v>
      </c>
      <c r="O86" s="204">
        <f t="shared" si="36"/>
        <v>172.99515</v>
      </c>
      <c r="P86" s="204">
        <f t="shared" si="36"/>
        <v>993.15094999999997</v>
      </c>
      <c r="Q86" s="204">
        <f t="shared" si="36"/>
        <v>793.15094999999997</v>
      </c>
      <c r="R86" s="204">
        <f t="shared" si="36"/>
        <v>101.455</v>
      </c>
      <c r="S86" s="204">
        <f t="shared" si="36"/>
        <v>290.47710000000001</v>
      </c>
      <c r="T86" s="204">
        <f t="shared" si="36"/>
        <v>200</v>
      </c>
      <c r="U86" s="204">
        <f t="shared" si="36"/>
        <v>0</v>
      </c>
      <c r="V86" s="204">
        <f t="shared" si="36"/>
        <v>200</v>
      </c>
      <c r="W86" s="204">
        <f t="shared" si="36"/>
        <v>0</v>
      </c>
      <c r="X86" s="204">
        <f t="shared" si="36"/>
        <v>200</v>
      </c>
      <c r="Y86" s="204">
        <f t="shared" si="36"/>
        <v>0</v>
      </c>
      <c r="Z86" s="204">
        <f t="shared" si="36"/>
        <v>409.9</v>
      </c>
      <c r="AA86" s="204">
        <f t="shared" si="36"/>
        <v>0</v>
      </c>
      <c r="AB86" s="204">
        <f t="shared" si="36"/>
        <v>200</v>
      </c>
      <c r="AC86" s="204">
        <f t="shared" si="36"/>
        <v>0</v>
      </c>
      <c r="AD86" s="204">
        <f t="shared" si="36"/>
        <v>331.9</v>
      </c>
      <c r="AE86" s="204">
        <f t="shared" si="36"/>
        <v>0</v>
      </c>
      <c r="AF86" s="206"/>
      <c r="AG86" s="171">
        <f t="shared" si="29"/>
        <v>0</v>
      </c>
    </row>
    <row r="87" spans="1:33" s="173" customFormat="1" x14ac:dyDescent="0.3">
      <c r="A87" s="146" t="s">
        <v>33</v>
      </c>
      <c r="B87" s="204">
        <f t="shared" si="35"/>
        <v>150844.1</v>
      </c>
      <c r="C87" s="204">
        <f t="shared" si="35"/>
        <v>79107.703290000005</v>
      </c>
      <c r="D87" s="204">
        <f t="shared" si="35"/>
        <v>68033.664349999992</v>
      </c>
      <c r="E87" s="204">
        <f t="shared" si="35"/>
        <v>68033.664349999992</v>
      </c>
      <c r="F87" s="204">
        <f>E87/B87*100</f>
        <v>45.101972400644101</v>
      </c>
      <c r="G87" s="204">
        <f>E87/C87*100</f>
        <v>86.00131405736326</v>
      </c>
      <c r="H87" s="204">
        <f t="shared" si="36"/>
        <v>18664.650590000001</v>
      </c>
      <c r="I87" s="204">
        <f t="shared" si="36"/>
        <v>10539.267</v>
      </c>
      <c r="J87" s="204">
        <f t="shared" si="36"/>
        <v>12552.531999999999</v>
      </c>
      <c r="K87" s="204">
        <f t="shared" si="36"/>
        <v>11854.523220000001</v>
      </c>
      <c r="L87" s="204">
        <f t="shared" si="36"/>
        <v>9618.369999999999</v>
      </c>
      <c r="M87" s="204">
        <f t="shared" si="36"/>
        <v>10849.068589999999</v>
      </c>
      <c r="N87" s="204">
        <f t="shared" si="36"/>
        <v>16752.688999999998</v>
      </c>
      <c r="O87" s="204">
        <f t="shared" si="36"/>
        <v>11751.986280000001</v>
      </c>
      <c r="P87" s="204">
        <f t="shared" si="36"/>
        <v>10646.400540000001</v>
      </c>
      <c r="Q87" s="204">
        <f t="shared" si="36"/>
        <v>10707.92654</v>
      </c>
      <c r="R87" s="204">
        <f t="shared" si="36"/>
        <v>10873.061160000001</v>
      </c>
      <c r="S87" s="204">
        <f t="shared" si="36"/>
        <v>12330.89272</v>
      </c>
      <c r="T87" s="204">
        <f t="shared" si="36"/>
        <v>16852.06783</v>
      </c>
      <c r="U87" s="204">
        <f t="shared" si="36"/>
        <v>0</v>
      </c>
      <c r="V87" s="204">
        <f t="shared" si="36"/>
        <v>9878.0964899999999</v>
      </c>
      <c r="W87" s="204">
        <f t="shared" si="36"/>
        <v>0</v>
      </c>
      <c r="X87" s="204">
        <f t="shared" si="36"/>
        <v>8922.3485099999998</v>
      </c>
      <c r="Y87" s="204">
        <f t="shared" si="36"/>
        <v>0</v>
      </c>
      <c r="Z87" s="204">
        <f t="shared" si="36"/>
        <v>13718.109</v>
      </c>
      <c r="AA87" s="204">
        <f t="shared" si="36"/>
        <v>0</v>
      </c>
      <c r="AB87" s="204">
        <f t="shared" si="36"/>
        <v>10029.391</v>
      </c>
      <c r="AC87" s="204">
        <f t="shared" si="36"/>
        <v>0</v>
      </c>
      <c r="AD87" s="204">
        <f t="shared" si="36"/>
        <v>12336.383879999999</v>
      </c>
      <c r="AE87" s="204">
        <f t="shared" si="36"/>
        <v>0</v>
      </c>
      <c r="AF87" s="206"/>
      <c r="AG87" s="171">
        <f t="shared" si="29"/>
        <v>0</v>
      </c>
    </row>
    <row r="88" spans="1:33" s="173" customFormat="1" x14ac:dyDescent="0.3">
      <c r="A88" s="148" t="s">
        <v>221</v>
      </c>
      <c r="B88" s="204">
        <f t="shared" si="35"/>
        <v>0</v>
      </c>
      <c r="C88" s="204">
        <f t="shared" si="35"/>
        <v>0</v>
      </c>
      <c r="D88" s="204">
        <f t="shared" si="35"/>
        <v>0</v>
      </c>
      <c r="E88" s="204">
        <f t="shared" si="35"/>
        <v>0</v>
      </c>
      <c r="F88" s="204">
        <v>0</v>
      </c>
      <c r="G88" s="204">
        <v>0</v>
      </c>
      <c r="H88" s="204">
        <f t="shared" si="36"/>
        <v>0</v>
      </c>
      <c r="I88" s="204">
        <f t="shared" si="36"/>
        <v>0</v>
      </c>
      <c r="J88" s="204">
        <f t="shared" si="36"/>
        <v>0</v>
      </c>
      <c r="K88" s="204">
        <f t="shared" si="36"/>
        <v>0</v>
      </c>
      <c r="L88" s="204">
        <f t="shared" si="36"/>
        <v>0</v>
      </c>
      <c r="M88" s="204">
        <f t="shared" si="36"/>
        <v>0</v>
      </c>
      <c r="N88" s="204">
        <f t="shared" si="36"/>
        <v>0</v>
      </c>
      <c r="O88" s="204">
        <f t="shared" si="36"/>
        <v>0</v>
      </c>
      <c r="P88" s="204">
        <f t="shared" si="36"/>
        <v>0</v>
      </c>
      <c r="Q88" s="204">
        <f t="shared" si="36"/>
        <v>0</v>
      </c>
      <c r="R88" s="204">
        <f t="shared" si="36"/>
        <v>0</v>
      </c>
      <c r="S88" s="204">
        <f t="shared" si="36"/>
        <v>0</v>
      </c>
      <c r="T88" s="204">
        <f t="shared" si="36"/>
        <v>0</v>
      </c>
      <c r="U88" s="204">
        <f t="shared" si="36"/>
        <v>0</v>
      </c>
      <c r="V88" s="204">
        <f t="shared" si="36"/>
        <v>0</v>
      </c>
      <c r="W88" s="204">
        <f t="shared" si="36"/>
        <v>0</v>
      </c>
      <c r="X88" s="204">
        <f t="shared" si="36"/>
        <v>0</v>
      </c>
      <c r="Y88" s="204">
        <f t="shared" si="36"/>
        <v>0</v>
      </c>
      <c r="Z88" s="204">
        <f t="shared" si="36"/>
        <v>0</v>
      </c>
      <c r="AA88" s="204">
        <f t="shared" si="36"/>
        <v>0</v>
      </c>
      <c r="AB88" s="204">
        <f t="shared" si="36"/>
        <v>0</v>
      </c>
      <c r="AC88" s="204">
        <f t="shared" si="36"/>
        <v>0</v>
      </c>
      <c r="AD88" s="204">
        <f t="shared" si="36"/>
        <v>0</v>
      </c>
      <c r="AE88" s="204">
        <f t="shared" si="36"/>
        <v>0</v>
      </c>
      <c r="AF88" s="206"/>
      <c r="AG88" s="171">
        <f t="shared" si="29"/>
        <v>0</v>
      </c>
    </row>
    <row r="89" spans="1:33" s="155" customFormat="1" x14ac:dyDescent="0.3">
      <c r="B89" s="171">
        <f>B79-B11-B19-B25-B31-B61-B67-B73</f>
        <v>0</v>
      </c>
      <c r="C89" s="171">
        <f t="shared" ref="C89:AD89" si="37">C79-C11-C19-C25-C31-C61-C67-C73</f>
        <v>-793.15094999999383</v>
      </c>
      <c r="D89" s="171">
        <f t="shared" si="37"/>
        <v>-793.15095000000929</v>
      </c>
      <c r="E89" s="171">
        <f t="shared" si="37"/>
        <v>-793.15095000000929</v>
      </c>
      <c r="F89" s="171">
        <f t="shared" si="37"/>
        <v>-84.556864526858575</v>
      </c>
      <c r="G89" s="171">
        <f>G79-G11-G19-G25-G31-G61-G67-G73</f>
        <v>-172.12417054537991</v>
      </c>
      <c r="H89" s="171">
        <f t="shared" si="37"/>
        <v>0</v>
      </c>
      <c r="I89" s="171">
        <f t="shared" si="37"/>
        <v>0</v>
      </c>
      <c r="J89" s="171">
        <f t="shared" si="37"/>
        <v>0</v>
      </c>
      <c r="K89" s="171">
        <f t="shared" si="37"/>
        <v>0</v>
      </c>
      <c r="L89" s="171">
        <f t="shared" si="37"/>
        <v>-6.8212102632969618E-13</v>
      </c>
      <c r="M89" s="171">
        <f t="shared" si="37"/>
        <v>0</v>
      </c>
      <c r="N89" s="171">
        <f t="shared" si="37"/>
        <v>0</v>
      </c>
      <c r="O89" s="171">
        <f t="shared" si="37"/>
        <v>-5.6843418860808015E-13</v>
      </c>
      <c r="P89" s="171">
        <f t="shared" si="37"/>
        <v>0</v>
      </c>
      <c r="Q89" s="171">
        <f t="shared" si="37"/>
        <v>0</v>
      </c>
      <c r="R89" s="171">
        <f t="shared" si="37"/>
        <v>7.3896444519050419E-13</v>
      </c>
      <c r="S89" s="171">
        <f t="shared" si="37"/>
        <v>0</v>
      </c>
      <c r="T89" s="171">
        <f t="shared" si="37"/>
        <v>3.637978807091713E-12</v>
      </c>
      <c r="U89" s="171">
        <f t="shared" si="37"/>
        <v>0</v>
      </c>
      <c r="V89" s="171">
        <f t="shared" si="37"/>
        <v>0</v>
      </c>
      <c r="W89" s="171">
        <f t="shared" si="37"/>
        <v>0</v>
      </c>
      <c r="X89" s="171">
        <f t="shared" si="37"/>
        <v>-9.0949470177292824E-13</v>
      </c>
      <c r="Y89" s="171">
        <f t="shared" si="37"/>
        <v>0</v>
      </c>
      <c r="Z89" s="171">
        <f t="shared" si="37"/>
        <v>0</v>
      </c>
      <c r="AA89" s="171">
        <f t="shared" si="37"/>
        <v>0</v>
      </c>
      <c r="AB89" s="171">
        <f t="shared" si="37"/>
        <v>0</v>
      </c>
      <c r="AC89" s="171">
        <f t="shared" si="37"/>
        <v>0</v>
      </c>
      <c r="AD89" s="171">
        <f t="shared" si="37"/>
        <v>0</v>
      </c>
    </row>
    <row r="90" spans="1:33" s="155" customFormat="1" x14ac:dyDescent="0.3">
      <c r="B90" s="171">
        <f>B79-'[1]19 "Муницип. служба"'!$C$10</f>
        <v>2454.7509500000451</v>
      </c>
    </row>
    <row r="91" spans="1:33" x14ac:dyDescent="0.3">
      <c r="B91" s="151">
        <f>B13+B21+B27+B39+B45+B51+B57+B63+B69+B75-B80</f>
        <v>0</v>
      </c>
      <c r="C91" s="151">
        <f t="shared" ref="C91:AE94" si="38">C13+C21+C27+C39+C45+C51+C57+C63+C69+C75-C80</f>
        <v>0</v>
      </c>
      <c r="D91" s="151">
        <f t="shared" si="38"/>
        <v>0</v>
      </c>
      <c r="E91" s="151">
        <f t="shared" si="38"/>
        <v>0</v>
      </c>
      <c r="F91" s="151">
        <f t="shared" si="38"/>
        <v>0</v>
      </c>
      <c r="G91" s="151">
        <f t="shared" si="38"/>
        <v>0</v>
      </c>
      <c r="H91" s="151">
        <f t="shared" si="38"/>
        <v>0</v>
      </c>
      <c r="I91" s="151">
        <f t="shared" si="38"/>
        <v>0</v>
      </c>
      <c r="J91" s="151">
        <f t="shared" si="38"/>
        <v>0</v>
      </c>
      <c r="K91" s="151">
        <f t="shared" si="38"/>
        <v>0</v>
      </c>
      <c r="L91" s="151">
        <f t="shared" si="38"/>
        <v>0</v>
      </c>
      <c r="M91" s="151">
        <f t="shared" si="38"/>
        <v>0</v>
      </c>
      <c r="N91" s="151">
        <f t="shared" si="38"/>
        <v>0</v>
      </c>
      <c r="O91" s="151">
        <f t="shared" si="38"/>
        <v>0</v>
      </c>
      <c r="P91" s="151">
        <f t="shared" si="38"/>
        <v>0</v>
      </c>
      <c r="Q91" s="151">
        <f t="shared" si="38"/>
        <v>0</v>
      </c>
      <c r="R91" s="151">
        <f t="shared" si="38"/>
        <v>0</v>
      </c>
      <c r="S91" s="151">
        <f t="shared" si="38"/>
        <v>0</v>
      </c>
      <c r="T91" s="151">
        <f t="shared" si="38"/>
        <v>0</v>
      </c>
      <c r="U91" s="151">
        <f t="shared" si="38"/>
        <v>0</v>
      </c>
      <c r="V91" s="151">
        <f t="shared" si="38"/>
        <v>0</v>
      </c>
      <c r="W91" s="151">
        <f t="shared" si="38"/>
        <v>0</v>
      </c>
      <c r="X91" s="151">
        <f t="shared" si="38"/>
        <v>0</v>
      </c>
      <c r="Y91" s="151">
        <f t="shared" si="38"/>
        <v>0</v>
      </c>
      <c r="Z91" s="151">
        <f t="shared" si="38"/>
        <v>0</v>
      </c>
      <c r="AA91" s="151">
        <f t="shared" si="38"/>
        <v>0</v>
      </c>
      <c r="AB91" s="151">
        <f t="shared" si="38"/>
        <v>0</v>
      </c>
      <c r="AC91" s="151">
        <f t="shared" si="38"/>
        <v>0</v>
      </c>
      <c r="AD91" s="151">
        <f t="shared" si="38"/>
        <v>0</v>
      </c>
      <c r="AE91" s="151">
        <f t="shared" si="38"/>
        <v>0</v>
      </c>
    </row>
    <row r="92" spans="1:33" x14ac:dyDescent="0.3">
      <c r="B92" s="151">
        <f>B14+B22+B28+B40+B46+B52+B58+B64+B70+B76-B81</f>
        <v>0</v>
      </c>
      <c r="C92" s="151">
        <f t="shared" ref="C92:Q92" si="39">C14+C22+C28+C40+C46+C52+C58+C64+C70+C76-C81</f>
        <v>793.15094999999997</v>
      </c>
      <c r="D92" s="151">
        <f t="shared" si="39"/>
        <v>793.15094999999997</v>
      </c>
      <c r="E92" s="151">
        <f t="shared" si="39"/>
        <v>793.15094999999997</v>
      </c>
      <c r="F92" s="151">
        <f t="shared" si="39"/>
        <v>109.48670760907643</v>
      </c>
      <c r="G92" s="151">
        <f t="shared" si="39"/>
        <v>100</v>
      </c>
      <c r="H92" s="151">
        <f t="shared" si="39"/>
        <v>0</v>
      </c>
      <c r="I92" s="151">
        <f t="shared" si="39"/>
        <v>0</v>
      </c>
      <c r="J92" s="151">
        <f t="shared" si="39"/>
        <v>0</v>
      </c>
      <c r="K92" s="151">
        <f t="shared" si="39"/>
        <v>0</v>
      </c>
      <c r="L92" s="151">
        <f t="shared" si="39"/>
        <v>0</v>
      </c>
      <c r="M92" s="151">
        <f t="shared" si="39"/>
        <v>0</v>
      </c>
      <c r="N92" s="151">
        <f t="shared" si="39"/>
        <v>0</v>
      </c>
      <c r="O92" s="151">
        <f t="shared" si="39"/>
        <v>0</v>
      </c>
      <c r="P92" s="151">
        <f t="shared" si="39"/>
        <v>0</v>
      </c>
      <c r="Q92" s="151">
        <f t="shared" si="39"/>
        <v>0</v>
      </c>
      <c r="R92" s="151">
        <f t="shared" si="38"/>
        <v>0</v>
      </c>
      <c r="S92" s="151">
        <f t="shared" si="38"/>
        <v>0</v>
      </c>
      <c r="T92" s="151">
        <f t="shared" si="38"/>
        <v>0</v>
      </c>
      <c r="U92" s="151">
        <f t="shared" si="38"/>
        <v>0</v>
      </c>
      <c r="V92" s="151">
        <f t="shared" si="38"/>
        <v>0</v>
      </c>
      <c r="W92" s="151">
        <f t="shared" si="38"/>
        <v>0</v>
      </c>
      <c r="X92" s="151">
        <f t="shared" si="38"/>
        <v>0</v>
      </c>
      <c r="Y92" s="151">
        <f t="shared" si="38"/>
        <v>0</v>
      </c>
      <c r="Z92" s="151">
        <f t="shared" si="38"/>
        <v>0</v>
      </c>
      <c r="AA92" s="151">
        <f t="shared" si="38"/>
        <v>0</v>
      </c>
      <c r="AB92" s="151">
        <f t="shared" si="38"/>
        <v>0</v>
      </c>
      <c r="AC92" s="151">
        <f t="shared" si="38"/>
        <v>0</v>
      </c>
      <c r="AD92" s="151">
        <f t="shared" si="38"/>
        <v>0</v>
      </c>
      <c r="AE92" s="151">
        <f t="shared" si="38"/>
        <v>0</v>
      </c>
    </row>
    <row r="93" spans="1:33" x14ac:dyDescent="0.3">
      <c r="B93" s="151">
        <f>B15+B23+B29+B41+B47+B53+B59+B65+B71+B77-B82</f>
        <v>0</v>
      </c>
      <c r="C93" s="151">
        <f t="shared" si="38"/>
        <v>0</v>
      </c>
      <c r="D93" s="151">
        <f t="shared" si="38"/>
        <v>0</v>
      </c>
      <c r="E93" s="151">
        <f t="shared" si="38"/>
        <v>0</v>
      </c>
      <c r="F93" s="151">
        <f t="shared" si="38"/>
        <v>286.46055787783604</v>
      </c>
      <c r="G93" s="151">
        <f>G15+G23+G29+G41+G47+G53+G59+G65+G71+G77-G82</f>
        <v>417.77485041372597</v>
      </c>
      <c r="H93" s="151">
        <f t="shared" si="38"/>
        <v>0</v>
      </c>
      <c r="I93" s="151">
        <f t="shared" si="38"/>
        <v>0</v>
      </c>
      <c r="J93" s="151">
        <f t="shared" si="38"/>
        <v>0</v>
      </c>
      <c r="K93" s="151">
        <f t="shared" si="38"/>
        <v>0</v>
      </c>
      <c r="L93" s="151">
        <f t="shared" si="38"/>
        <v>0</v>
      </c>
      <c r="M93" s="151">
        <f t="shared" si="38"/>
        <v>0</v>
      </c>
      <c r="N93" s="151">
        <f t="shared" si="38"/>
        <v>0</v>
      </c>
      <c r="O93" s="151">
        <f t="shared" si="38"/>
        <v>0</v>
      </c>
      <c r="P93" s="151">
        <f t="shared" si="38"/>
        <v>0</v>
      </c>
      <c r="Q93" s="151">
        <f t="shared" si="38"/>
        <v>0</v>
      </c>
      <c r="R93" s="151">
        <f t="shared" si="38"/>
        <v>0</v>
      </c>
      <c r="S93" s="151">
        <f t="shared" si="38"/>
        <v>0</v>
      </c>
      <c r="T93" s="151">
        <f t="shared" si="38"/>
        <v>0</v>
      </c>
      <c r="U93" s="151">
        <f t="shared" si="38"/>
        <v>0</v>
      </c>
      <c r="V93" s="151">
        <f t="shared" si="38"/>
        <v>0</v>
      </c>
      <c r="W93" s="151">
        <f t="shared" si="38"/>
        <v>0</v>
      </c>
      <c r="X93" s="151">
        <f t="shared" si="38"/>
        <v>0</v>
      </c>
      <c r="Y93" s="151">
        <f t="shared" si="38"/>
        <v>0</v>
      </c>
      <c r="Z93" s="151">
        <f t="shared" si="38"/>
        <v>0</v>
      </c>
      <c r="AA93" s="151">
        <f t="shared" si="38"/>
        <v>0</v>
      </c>
      <c r="AB93" s="151">
        <f t="shared" si="38"/>
        <v>0</v>
      </c>
      <c r="AC93" s="151">
        <f t="shared" si="38"/>
        <v>0</v>
      </c>
      <c r="AD93" s="151">
        <f t="shared" si="38"/>
        <v>0</v>
      </c>
      <c r="AE93" s="151">
        <f t="shared" si="38"/>
        <v>0</v>
      </c>
    </row>
    <row r="94" spans="1:33" x14ac:dyDescent="0.3">
      <c r="B94" s="151">
        <f>B16+B24+B30+B42+B48+B54+B60+B66+B72+B78-B83</f>
        <v>0</v>
      </c>
      <c r="C94" s="151">
        <f t="shared" si="38"/>
        <v>0</v>
      </c>
      <c r="D94" s="151">
        <f t="shared" si="38"/>
        <v>0</v>
      </c>
      <c r="E94" s="151">
        <f t="shared" si="38"/>
        <v>0</v>
      </c>
      <c r="F94" s="151">
        <f t="shared" si="38"/>
        <v>0</v>
      </c>
      <c r="G94" s="151">
        <f t="shared" si="38"/>
        <v>0</v>
      </c>
      <c r="H94" s="151">
        <f t="shared" si="38"/>
        <v>0</v>
      </c>
      <c r="I94" s="151">
        <f t="shared" si="38"/>
        <v>0</v>
      </c>
      <c r="J94" s="151">
        <f t="shared" si="38"/>
        <v>0</v>
      </c>
      <c r="K94" s="151">
        <f t="shared" si="38"/>
        <v>0</v>
      </c>
      <c r="L94" s="151">
        <f t="shared" si="38"/>
        <v>0</v>
      </c>
      <c r="M94" s="151">
        <f t="shared" si="38"/>
        <v>0</v>
      </c>
      <c r="N94" s="151">
        <f t="shared" si="38"/>
        <v>0</v>
      </c>
      <c r="O94" s="151">
        <f t="shared" si="38"/>
        <v>0</v>
      </c>
      <c r="P94" s="151">
        <f t="shared" si="38"/>
        <v>0</v>
      </c>
      <c r="Q94" s="151">
        <f t="shared" si="38"/>
        <v>0</v>
      </c>
      <c r="R94" s="151">
        <f t="shared" si="38"/>
        <v>0</v>
      </c>
      <c r="S94" s="151">
        <f t="shared" si="38"/>
        <v>0</v>
      </c>
      <c r="T94" s="151">
        <f t="shared" si="38"/>
        <v>0</v>
      </c>
      <c r="U94" s="151">
        <f t="shared" si="38"/>
        <v>0</v>
      </c>
      <c r="V94" s="151">
        <f t="shared" si="38"/>
        <v>0</v>
      </c>
      <c r="W94" s="151">
        <f t="shared" si="38"/>
        <v>0</v>
      </c>
      <c r="X94" s="151">
        <f t="shared" si="38"/>
        <v>0</v>
      </c>
      <c r="Y94" s="151">
        <f t="shared" si="38"/>
        <v>0</v>
      </c>
      <c r="Z94" s="151">
        <f t="shared" si="38"/>
        <v>0</v>
      </c>
      <c r="AA94" s="151">
        <f t="shared" si="38"/>
        <v>0</v>
      </c>
      <c r="AB94" s="151">
        <f t="shared" si="38"/>
        <v>0</v>
      </c>
      <c r="AC94" s="151">
        <f t="shared" si="38"/>
        <v>0</v>
      </c>
      <c r="AD94" s="151">
        <f t="shared" si="38"/>
        <v>0</v>
      </c>
      <c r="AE94" s="151">
        <f t="shared" si="38"/>
        <v>0</v>
      </c>
    </row>
    <row r="143" spans="6:7" x14ac:dyDescent="0.3">
      <c r="F143" s="10">
        <v>0</v>
      </c>
      <c r="G143" s="10" t="e">
        <f>E143/C143*100</f>
        <v>#DIV/0!</v>
      </c>
    </row>
    <row r="146" spans="6:7" x14ac:dyDescent="0.3">
      <c r="F146" s="10">
        <v>0</v>
      </c>
      <c r="G146" s="10">
        <v>0</v>
      </c>
    </row>
  </sheetData>
  <customSheetViews>
    <customSheetView guid="{7C130984-112A-4861-AA43-E2940708E3DC}" scale="55" state="hidden">
      <pane xSplit="2" ySplit="10" topLeftCell="C11" activePane="bottomRight" state="frozen"/>
      <selection pane="bottomRight" activeCell="C7" sqref="C7"/>
      <pageMargins left="0.7" right="0.7" top="0.75" bottom="0.75" header="0.3" footer="0.3"/>
      <pageSetup paperSize="9" orientation="portrait" r:id="rId1"/>
    </customSheetView>
    <customSheetView guid="{533DC55B-6AD4-4674-9488-685EF2039F3E}" scale="55" state="hidden">
      <pane xSplit="2" ySplit="10" topLeftCell="C11" activePane="bottomRight" state="frozen"/>
      <selection pane="bottomRight" activeCell="C7" sqref="C7"/>
      <pageMargins left="0.7" right="0.7" top="0.75" bottom="0.75" header="0.3" footer="0.3"/>
      <pageSetup paperSize="9" orientation="portrait" r:id="rId2"/>
    </customSheetView>
    <customSheetView guid="{09C3E205-981E-4A4E-BE89-8B7044192060}" scale="55">
      <pane xSplit="2" ySplit="10" topLeftCell="C11" activePane="bottomRight" state="frozen"/>
      <selection pane="bottomRight" activeCell="C7" sqref="C7"/>
      <pageMargins left="0.7" right="0.7" top="0.75" bottom="0.75" header="0.3" footer="0.3"/>
      <pageSetup paperSize="9" orientation="portrait" r:id="rId3"/>
    </customSheetView>
    <customSheetView guid="{B1BF08D1-D416-4B47-ADD0-4F59132DC9E8}" scale="55">
      <pane xSplit="2" ySplit="10" topLeftCell="C11" activePane="bottomRight" state="frozen"/>
      <selection pane="bottomRight" activeCell="C7" sqref="C7"/>
      <pageMargins left="0.7" right="0.7" top="0.75" bottom="0.75" header="0.3" footer="0.3"/>
      <pageSetup paperSize="9" orientation="portrait" r:id="rId4"/>
    </customSheetView>
    <customSheetView guid="{4F41B9CC-959D-442C-80B0-1F0DB2C76D27}" scale="55">
      <pane xSplit="2" ySplit="10" topLeftCell="C11" activePane="bottomRight" state="frozen"/>
      <selection pane="bottomRight" activeCell="C7" sqref="C7"/>
      <pageMargins left="0.7" right="0.7" top="0.75" bottom="0.75" header="0.3" footer="0.3"/>
      <pageSetup paperSize="9" orientation="portrait" r:id="rId5"/>
    </customSheetView>
    <customSheetView guid="{84867370-1F3E-4368-AF79-FBCE46FFFE92}" scale="55">
      <pane xSplit="2" ySplit="10" topLeftCell="C11" activePane="bottomRight" state="frozen"/>
      <selection pane="bottomRight" activeCell="C7" sqref="C7"/>
      <pageMargins left="0.7" right="0.7" top="0.75" bottom="0.75" header="0.3" footer="0.3"/>
      <pageSetup paperSize="9" orientation="portrait" r:id="rId6"/>
    </customSheetView>
    <customSheetView guid="{E508E171-4ED9-4B07-84DF-DA28C60E1969}" scale="55">
      <pane xSplit="2" ySplit="10" topLeftCell="C11" activePane="bottomRight" state="frozen"/>
      <selection pane="bottomRight" activeCell="C7" sqref="C7"/>
      <pageMargins left="0.7" right="0.7" top="0.75" bottom="0.75" header="0.3" footer="0.3"/>
      <pageSetup paperSize="9" orientation="portrait" r:id="rId7"/>
    </customSheetView>
    <customSheetView guid="{602C8EDB-B9EF-4C85-B0D5-0558C3A0ABAB}" scale="55">
      <pane xSplit="2" ySplit="10" topLeftCell="C11" activePane="bottomRight" state="frozen"/>
      <selection pane="bottomRight" activeCell="C7" sqref="C7"/>
      <pageMargins left="0.7" right="0.7" top="0.75" bottom="0.75" header="0.3" footer="0.3"/>
      <pageSetup paperSize="9" orientation="portrait" r:id="rId8"/>
    </customSheetView>
    <customSheetView guid="{84B3377A-1CDD-4881-99FA-112F8B470D6F}" scale="55">
      <pane xSplit="2" ySplit="10" topLeftCell="C11" activePane="bottomRight" state="frozen"/>
      <selection pane="bottomRight" activeCell="C7" sqref="C7"/>
      <pageMargins left="0.7" right="0.7" top="0.75" bottom="0.75" header="0.3" footer="0.3"/>
      <pageSetup paperSize="9" orientation="portrait" r:id="rId9"/>
    </customSheetView>
    <customSheetView guid="{87218168-6C8E-4D5B-A5E5-DCCC26803AA3}" scale="55">
      <pane xSplit="2" ySplit="10" topLeftCell="C11" activePane="bottomRight" state="frozen"/>
      <selection pane="bottomRight" activeCell="C7" sqref="C7"/>
      <pageMargins left="0.7" right="0.7" top="0.75" bottom="0.75" header="0.3" footer="0.3"/>
      <pageSetup paperSize="9" orientation="portrait" r:id="rId10"/>
    </customSheetView>
    <customSheetView guid="{6A602CB8-B24C-4ED4-B378-B27354BE0A1A}" scale="55">
      <pane xSplit="2" ySplit="10" topLeftCell="C11" activePane="bottomRight" state="frozen"/>
      <selection pane="bottomRight" activeCell="C7" sqref="C7"/>
      <pageMargins left="0.7" right="0.7" top="0.75" bottom="0.75" header="0.3" footer="0.3"/>
      <pageSetup paperSize="9" orientation="portrait" r:id="rId11"/>
    </customSheetView>
    <customSheetView guid="{D01FA037-9AEC-4167-ADB8-2F327C01ECE6}" scale="70">
      <pane xSplit="2" ySplit="10" topLeftCell="C11" activePane="bottomRight" state="frozen"/>
      <selection pane="bottomRight" activeCell="C7" sqref="C7"/>
      <pageMargins left="0.7" right="0.7" top="0.75" bottom="0.75" header="0.3" footer="0.3"/>
      <pageSetup paperSize="9" orientation="portrait" r:id="rId12"/>
    </customSheetView>
    <customSheetView guid="{74870EE6-26B9-40F7-9DC9-260EF16D8959}" scale="70">
      <pane xSplit="2" ySplit="10" topLeftCell="C11" activePane="bottomRight" state="frozen"/>
      <selection pane="bottomRight" activeCell="C7" sqref="C7"/>
      <pageMargins left="0.7" right="0.7" top="0.75" bottom="0.75" header="0.3" footer="0.3"/>
      <pageSetup paperSize="9" orientation="portrait" r:id="rId13"/>
    </customSheetView>
    <customSheetView guid="{7226EA2B-7866-416F-9240-410CC1BF0336}" scale="70">
      <pane xSplit="2" ySplit="10" topLeftCell="C11" activePane="bottomRight" state="frozen"/>
      <selection pane="bottomRight" activeCell="C7" sqref="C7"/>
      <pageMargins left="0.7" right="0.7" top="0.75" bottom="0.75" header="0.3" footer="0.3"/>
      <pageSetup paperSize="9" orientation="portrait" r:id="rId14"/>
    </customSheetView>
    <customSheetView guid="{F8CAB90F-9980-4EC7-B30B-1637EB515304}" scale="70">
      <pane xSplit="2" ySplit="10" topLeftCell="C11" activePane="bottomRight" state="frozen"/>
      <selection pane="bottomRight" activeCell="A49" sqref="A49"/>
      <pageMargins left="0.7" right="0.7" top="0.75" bottom="0.75" header="0.3" footer="0.3"/>
      <pageSetup paperSize="9" orientation="portrait" r:id="rId15"/>
    </customSheetView>
    <customSheetView guid="{415078CD-EB99-432D-90BA-2F3D5A746E20}" scale="70">
      <pane xSplit="2" ySplit="10" topLeftCell="C11" activePane="bottomRight" state="frozen"/>
      <selection pane="bottomRight" activeCell="A49" sqref="A49"/>
      <pageMargins left="0.7" right="0.7" top="0.75" bottom="0.75" header="0.3" footer="0.3"/>
      <pageSetup paperSize="9" orientation="portrait" r:id="rId16"/>
    </customSheetView>
    <customSheetView guid="{CB4792DB-A624-4844-AEB6-A6ADA80946BB}" scale="70">
      <pane xSplit="2" ySplit="10" topLeftCell="C11" activePane="bottomRight" state="frozen"/>
      <selection pane="bottomRight" activeCell="A49" sqref="A49"/>
      <pageMargins left="0.7" right="0.7" top="0.75" bottom="0.75" header="0.3" footer="0.3"/>
      <pageSetup paperSize="9" orientation="portrait" r:id="rId17"/>
    </customSheetView>
    <customSheetView guid="{0C2B9C2A-7B94-41EF-A2E6-F8AC9A67DE25}" scale="70">
      <pane xSplit="2" ySplit="10" topLeftCell="C11" activePane="bottomRight" state="frozen"/>
      <selection pane="bottomRight" activeCell="A49" sqref="A49"/>
      <pageMargins left="0.7" right="0.7" top="0.75" bottom="0.75" header="0.3" footer="0.3"/>
      <pageSetup paperSize="9" orientation="portrait" r:id="rId18"/>
    </customSheetView>
    <customSheetView guid="{391AB76E-B386-49C1-800F-016A48AA1A46}" scale="70">
      <pane xSplit="2" ySplit="10" topLeftCell="C11" activePane="bottomRight" state="frozen"/>
      <selection pane="bottomRight" activeCell="A49" sqref="A49"/>
      <pageMargins left="0.7" right="0.7" top="0.75" bottom="0.75" header="0.3" footer="0.3"/>
      <pageSetup paperSize="9" orientation="portrait" r:id="rId19"/>
    </customSheetView>
    <customSheetView guid="{959E901C-5DDE-42EE-AE94-AB8976B5E00B}" scale="70">
      <pane xSplit="2" ySplit="10" topLeftCell="C77" activePane="bottomRight" state="frozen"/>
      <selection pane="bottomRight" activeCell="R41" sqref="R41"/>
      <pageMargins left="0.7" right="0.7" top="0.75" bottom="0.75" header="0.3" footer="0.3"/>
      <pageSetup paperSize="9" orientation="portrait" r:id="rId20"/>
    </customSheetView>
    <customSheetView guid="{F679EF4A-C5FD-4B86-B87B-D85968E0F2CA}" scale="70">
      <pane xSplit="2" ySplit="10" topLeftCell="C77" activePane="bottomRight" state="frozen"/>
      <selection pane="bottomRight" activeCell="R41" sqref="R41"/>
      <pageMargins left="0.7" right="0.7" top="0.75" bottom="0.75" header="0.3" footer="0.3"/>
      <pageSetup paperSize="9" orientation="portrait" r:id="rId21"/>
    </customSheetView>
    <customSheetView guid="{009B3074-D8EC-4952-BF50-43CD64449612}" scale="70">
      <pane xSplit="2" ySplit="10" topLeftCell="C77" activePane="bottomRight" state="frozen"/>
      <selection pane="bottomRight" activeCell="R41" sqref="R41"/>
      <pageMargins left="0.7" right="0.7" top="0.75" bottom="0.75" header="0.3" footer="0.3"/>
      <pageSetup paperSize="9" orientation="portrait" r:id="rId22"/>
    </customSheetView>
    <customSheetView guid="{770624BF-07F3-44B6-94C3-4CC447CDD45C}" scale="70">
      <pane xSplit="2" ySplit="10" topLeftCell="C53" activePane="bottomRight" state="frozen"/>
      <selection pane="bottomRight" activeCell="K61" sqref="K61:K66"/>
      <pageMargins left="0.7" right="0.7" top="0.75" bottom="0.75" header="0.3" footer="0.3"/>
      <pageSetup paperSize="9" orientation="portrait" r:id="rId23"/>
    </customSheetView>
    <customSheetView guid="{B82BA08A-1A30-4F4D-A478-74A6BD09EA97}" scale="70">
      <pane xSplit="2" ySplit="10" topLeftCell="F11" activePane="bottomRight" state="frozen"/>
      <selection pane="bottomRight" activeCell="A4" sqref="A4:AD4"/>
      <pageMargins left="0.7" right="0.7" top="0.75" bottom="0.75" header="0.3" footer="0.3"/>
      <pageSetup paperSize="9" orientation="portrait" r:id="rId24"/>
    </customSheetView>
    <customSheetView guid="{874882D1-E741-4CCA-BF0D-E72FA60B771D}" scale="70">
      <pane xSplit="2" ySplit="10" topLeftCell="F101" activePane="bottomRight" state="frozen"/>
      <selection pane="bottomRight" activeCell="A4" sqref="A4:AD4"/>
      <pageMargins left="0.7" right="0.7" top="0.75" bottom="0.75" header="0.3" footer="0.3"/>
      <pageSetup paperSize="9" orientation="portrait" r:id="rId25"/>
    </customSheetView>
    <customSheetView guid="{C236B307-BD63-48C4-A75F-B3F3717BF55C}" scale="70">
      <pane xSplit="2" ySplit="10" topLeftCell="F101" activePane="bottomRight" state="frozen"/>
      <selection pane="bottomRight" activeCell="A4" sqref="A4:AD4"/>
      <pageMargins left="0.7" right="0.7" top="0.75" bottom="0.75" header="0.3" footer="0.3"/>
      <pageSetup paperSize="9" orientation="portrait" r:id="rId26"/>
    </customSheetView>
    <customSheetView guid="{BCD82A82-B724-4763-8580-D765356E09BA}" scale="70">
      <pane xSplit="2" ySplit="10" topLeftCell="F11" activePane="bottomRight" state="frozen"/>
      <selection pane="bottomRight" activeCell="A4" sqref="A4:AD4"/>
      <pageMargins left="0.7" right="0.7" top="0.75" bottom="0.75" header="0.3" footer="0.3"/>
      <pageSetup paperSize="9" orientation="portrait" r:id="rId27"/>
    </customSheetView>
    <customSheetView guid="{85F4575B-DBC5-482A-9916-255D8F0BC94E}" scale="70">
      <pane xSplit="2" ySplit="10" topLeftCell="C38" activePane="bottomRight" state="frozen"/>
      <selection pane="bottomRight" activeCell="A49" sqref="A49"/>
      <pageMargins left="0.7" right="0.7" top="0.75" bottom="0.75" header="0.3" footer="0.3"/>
      <pageSetup paperSize="9" orientation="portrait" r:id="rId28"/>
    </customSheetView>
    <customSheetView guid="{4D0DFB57-2CBA-42F2-9A97-C453A6851FBA}" scale="70">
      <pane xSplit="2" ySplit="10" topLeftCell="C11" activePane="bottomRight" state="frozen"/>
      <selection pane="bottomRight" activeCell="A49" sqref="A49"/>
      <pageMargins left="0.7" right="0.7" top="0.75" bottom="0.75" header="0.3" footer="0.3"/>
      <pageSetup paperSize="9" orientation="portrait" r:id="rId29"/>
    </customSheetView>
    <customSheetView guid="{CE1CCA00-200D-4EAA-9FBE-F8EE7C5F82FE}" scale="70">
      <pane xSplit="2" ySplit="10" topLeftCell="C11" activePane="bottomRight" state="frozen"/>
      <selection pane="bottomRight" activeCell="A49" sqref="A49"/>
      <pageMargins left="0.7" right="0.7" top="0.75" bottom="0.75" header="0.3" footer="0.3"/>
      <pageSetup paperSize="9" orientation="portrait" r:id="rId30"/>
    </customSheetView>
    <customSheetView guid="{AC2D5927-4079-4C74-AF69-1BFAC505648F}" scale="70">
      <pane xSplit="2" ySplit="10" topLeftCell="C11" activePane="bottomRight" state="frozen"/>
      <selection pane="bottomRight" activeCell="A49" sqref="A49"/>
      <pageMargins left="0.7" right="0.7" top="0.75" bottom="0.75" header="0.3" footer="0.3"/>
      <pageSetup paperSize="9" orientation="portrait" r:id="rId31"/>
    </customSheetView>
    <customSheetView guid="{3C3F523F-5F34-4CF7-831E-F1ABC4278CEB}" scale="70">
      <pane xSplit="2" ySplit="10" topLeftCell="C11" activePane="bottomRight" state="frozen"/>
      <selection pane="bottomRight" activeCell="A49" sqref="A49"/>
      <pageMargins left="0.7" right="0.7" top="0.75" bottom="0.75" header="0.3" footer="0.3"/>
      <pageSetup paperSize="9" orientation="portrait" r:id="rId32"/>
    </customSheetView>
    <customSheetView guid="{69DABE6F-6182-4403-A4A2-969F10F1C13A}" scale="55">
      <pane xSplit="2" ySplit="10" topLeftCell="C11" activePane="bottomRight" state="frozen"/>
      <selection pane="bottomRight" activeCell="C7" sqref="C7"/>
      <pageMargins left="0.7" right="0.7" top="0.75" bottom="0.75" header="0.3" footer="0.3"/>
      <pageSetup paperSize="9" orientation="portrait" r:id="rId33"/>
    </customSheetView>
    <customSheetView guid="{DAA8A688-7558-4B5B-8DBD-E2629BD9E9A8}" scale="55">
      <pane xSplit="2" ySplit="10" topLeftCell="C11" activePane="bottomRight" state="frozen"/>
      <selection pane="bottomRight" activeCell="C7" sqref="C7"/>
      <pageMargins left="0.7" right="0.7" top="0.75" bottom="0.75" header="0.3" footer="0.3"/>
      <pageSetup paperSize="9" orientation="portrait" r:id="rId34"/>
    </customSheetView>
    <customSheetView guid="{47B983AB-FE5F-4725-860C-A2F29420596D}" scale="55">
      <pane xSplit="2" ySplit="10" topLeftCell="C11" activePane="bottomRight" state="frozen"/>
      <selection pane="bottomRight" activeCell="C7" sqref="C7"/>
      <pageMargins left="0.7" right="0.7" top="0.75" bottom="0.75" header="0.3" footer="0.3"/>
      <pageSetup paperSize="9" orientation="portrait" r:id="rId35"/>
    </customSheetView>
    <customSheetView guid="{442F2C94-DD1B-4A01-8694-513D4D6F3BD9}" scale="55">
      <pane xSplit="2" ySplit="10" topLeftCell="C11" activePane="bottomRight" state="frozen"/>
      <selection pane="bottomRight" activeCell="C7" sqref="C7"/>
      <pageMargins left="0.7" right="0.7" top="0.75" bottom="0.75" header="0.3" footer="0.3"/>
      <pageSetup paperSize="9" orientation="portrait" r:id="rId36"/>
    </customSheetView>
    <customSheetView guid="{472DFAFE-DC7C-463D-92A0-F6A14555FDD6}" scale="55">
      <pane xSplit="2" ySplit="10" topLeftCell="C11" activePane="bottomRight" state="frozen"/>
      <selection pane="bottomRight" activeCell="C7" sqref="C7"/>
      <pageMargins left="0.7" right="0.7" top="0.75" bottom="0.75" header="0.3" footer="0.3"/>
      <pageSetup paperSize="9" orientation="portrait" r:id="rId37"/>
    </customSheetView>
    <customSheetView guid="{B43381A8-767B-4F49-BD2E-0056691293F3}" scale="55">
      <pane xSplit="2" ySplit="10" topLeftCell="C11" activePane="bottomRight" state="frozen"/>
      <selection pane="bottomRight" activeCell="C7" sqref="C7"/>
      <pageMargins left="0.7" right="0.7" top="0.75" bottom="0.75" header="0.3" footer="0.3"/>
      <pageSetup paperSize="9" orientation="portrait" r:id="rId38"/>
    </customSheetView>
  </customSheetViews>
  <mergeCells count="24">
    <mergeCell ref="A17:AF17"/>
    <mergeCell ref="A18:AF18"/>
    <mergeCell ref="Z6:AA6"/>
    <mergeCell ref="AB6:AC6"/>
    <mergeCell ref="AD6:AE6"/>
    <mergeCell ref="AF6:AF7"/>
    <mergeCell ref="A9:AF9"/>
    <mergeCell ref="A10:AF10"/>
    <mergeCell ref="N6:O6"/>
    <mergeCell ref="P6:Q6"/>
    <mergeCell ref="R6:S6"/>
    <mergeCell ref="T6:U6"/>
    <mergeCell ref="V6:W6"/>
    <mergeCell ref="X6:Y6"/>
    <mergeCell ref="A6:A7"/>
    <mergeCell ref="F6:G6"/>
    <mergeCell ref="H6:I6"/>
    <mergeCell ref="J6:K6"/>
    <mergeCell ref="L6:M6"/>
    <mergeCell ref="A1:AD1"/>
    <mergeCell ref="A2:AD2"/>
    <mergeCell ref="A3:AD3"/>
    <mergeCell ref="A4:AD4"/>
    <mergeCell ref="AB5:AD5"/>
  </mergeCells>
  <hyperlinks>
    <hyperlink ref="A4:AD4" location="Оглавление!A1" display="Комплексный план (сетевой график) по реализации муниципальной программы &quot;Развитие муниципальной службы  в городе Когалыме&quot;"/>
  </hyperlinks>
  <pageMargins left="0.7" right="0.7" top="0.75" bottom="0.75" header="0.3" footer="0.3"/>
  <pageSetup paperSize="9" orientation="portrait" r:id="rId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24</vt:i4>
      </vt:variant>
    </vt:vector>
  </HeadingPairs>
  <TitlesOfParts>
    <vt:vector size="24" baseType="lpstr">
      <vt:lpstr>Оглавление</vt:lpstr>
      <vt:lpstr>1.СЗН</vt:lpstr>
      <vt:lpstr>2.АПК</vt:lpstr>
      <vt:lpstr>3.БЖД</vt:lpstr>
      <vt:lpstr>4.УМИ</vt:lpstr>
      <vt:lpstr>5.Проф. прав.</vt:lpstr>
      <vt:lpstr>6.Экстримизм</vt:lpstr>
      <vt:lpstr>7.МП КП</vt:lpstr>
      <vt:lpstr>8.МП РМС</vt:lpstr>
      <vt:lpstr>Лист3</vt:lpstr>
      <vt:lpstr>9.МП РИГО</vt:lpstr>
      <vt:lpstr>10.МП РФКиС</vt:lpstr>
      <vt:lpstr>Лист2</vt:lpstr>
      <vt:lpstr>11.МП РО</vt:lpstr>
      <vt:lpstr>12.МП УМФ</vt:lpstr>
      <vt:lpstr>Лист1</vt:lpstr>
      <vt:lpstr>13.МП РЖС</vt:lpstr>
      <vt:lpstr>14.МП СЭР</vt:lpstr>
      <vt:lpstr>15.МП ЭБ</vt:lpstr>
      <vt:lpstr>16.МП РЖКК</vt:lpstr>
      <vt:lpstr>17.МП РТС</vt:lpstr>
      <vt:lpstr>Лист4</vt:lpstr>
      <vt:lpstr>18.МП ФКГС</vt:lpstr>
      <vt:lpstr>19.МП СОГХ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Тихонова Лариса Анатольевна</dc:creator>
  <cp:lastModifiedBy>Тихонова Лариса Анатольевна</cp:lastModifiedBy>
  <cp:lastPrinted>2024-06-04T07:28:30Z</cp:lastPrinted>
  <dcterms:created xsi:type="dcterms:W3CDTF">2006-09-16T00:00:00Z</dcterms:created>
  <dcterms:modified xsi:type="dcterms:W3CDTF">2025-04-08T08:50:06Z</dcterms:modified>
</cp:coreProperties>
</file>