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к СОВЕЩ. по программам" sheetId="2" r:id="rId2"/>
  </sheets>
  <calcPr calcId="152511"/>
</workbook>
</file>

<file path=xl/calcChain.xml><?xml version="1.0" encoding="utf-8"?>
<calcChain xmlns="http://schemas.openxmlformats.org/spreadsheetml/2006/main">
  <c r="G386" i="1" l="1"/>
  <c r="F386" i="1"/>
  <c r="G385" i="1"/>
  <c r="F385" i="1"/>
  <c r="G384" i="1"/>
  <c r="F384" i="1"/>
  <c r="G383" i="1"/>
  <c r="F383" i="1"/>
  <c r="E382" i="1"/>
  <c r="D382" i="1"/>
  <c r="C382" i="1"/>
  <c r="G382" i="1" s="1"/>
  <c r="B382" i="1"/>
  <c r="F382" i="1" s="1"/>
  <c r="G380" i="1"/>
  <c r="F380" i="1"/>
  <c r="G379" i="1"/>
  <c r="F379" i="1"/>
  <c r="G378" i="1"/>
  <c r="F378" i="1"/>
  <c r="G377" i="1"/>
  <c r="F377" i="1"/>
  <c r="E376" i="1"/>
  <c r="D376" i="1"/>
  <c r="C376" i="1"/>
  <c r="B376" i="1"/>
  <c r="Q371" i="1"/>
  <c r="Y362" i="1"/>
  <c r="T360" i="1"/>
  <c r="AD356" i="1"/>
  <c r="AD374" i="1" s="1"/>
  <c r="N356" i="1"/>
  <c r="N374" i="1" s="1"/>
  <c r="AB355" i="1"/>
  <c r="L355" i="1"/>
  <c r="Z354" i="1"/>
  <c r="Z372" i="1" s="1"/>
  <c r="J354" i="1"/>
  <c r="J372" i="1" s="1"/>
  <c r="X353" i="1"/>
  <c r="H353" i="1"/>
  <c r="R349" i="1"/>
  <c r="AD347" i="1"/>
  <c r="E343" i="1"/>
  <c r="G343" i="1" s="1"/>
  <c r="D343" i="1"/>
  <c r="D322" i="1" s="1"/>
  <c r="C343" i="1"/>
  <c r="B343" i="1"/>
  <c r="E342" i="1"/>
  <c r="G342" i="1" s="1"/>
  <c r="D342" i="1"/>
  <c r="C342" i="1"/>
  <c r="B342" i="1"/>
  <c r="F342" i="1" s="1"/>
  <c r="E341" i="1"/>
  <c r="G341" i="1" s="1"/>
  <c r="D341" i="1"/>
  <c r="C341" i="1"/>
  <c r="B341" i="1"/>
  <c r="F340" i="1"/>
  <c r="E340" i="1"/>
  <c r="D340" i="1" s="1"/>
  <c r="C340" i="1"/>
  <c r="B340" i="1"/>
  <c r="E339" i="1"/>
  <c r="G339" i="1" s="1"/>
  <c r="D339" i="1"/>
  <c r="C339" i="1"/>
  <c r="B339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F338" i="1"/>
  <c r="E338" i="1"/>
  <c r="G338" i="1" s="1"/>
  <c r="C338" i="1"/>
  <c r="B338" i="1"/>
  <c r="E336" i="1"/>
  <c r="G336" i="1" s="1"/>
  <c r="D336" i="1"/>
  <c r="C336" i="1"/>
  <c r="B336" i="1"/>
  <c r="E335" i="1"/>
  <c r="G335" i="1" s="1"/>
  <c r="D335" i="1"/>
  <c r="C335" i="1"/>
  <c r="B335" i="1"/>
  <c r="F335" i="1" s="1"/>
  <c r="E334" i="1"/>
  <c r="G334" i="1" s="1"/>
  <c r="D334" i="1"/>
  <c r="C334" i="1"/>
  <c r="B334" i="1"/>
  <c r="E333" i="1"/>
  <c r="D333" i="1" s="1"/>
  <c r="C333" i="1"/>
  <c r="B333" i="1"/>
  <c r="F333" i="1" s="1"/>
  <c r="E332" i="1"/>
  <c r="G332" i="1" s="1"/>
  <c r="D332" i="1"/>
  <c r="C332" i="1"/>
  <c r="B332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E331" i="1"/>
  <c r="C331" i="1"/>
  <c r="G331" i="1" s="1"/>
  <c r="B331" i="1"/>
  <c r="F331" i="1" s="1"/>
  <c r="E329" i="1"/>
  <c r="G329" i="1" s="1"/>
  <c r="D329" i="1"/>
  <c r="C329" i="1"/>
  <c r="B329" i="1"/>
  <c r="E328" i="1"/>
  <c r="D328" i="1" s="1"/>
  <c r="D321" i="1" s="1"/>
  <c r="C328" i="1"/>
  <c r="B328" i="1"/>
  <c r="F328" i="1" s="1"/>
  <c r="E327" i="1"/>
  <c r="G327" i="1" s="1"/>
  <c r="D327" i="1"/>
  <c r="C327" i="1"/>
  <c r="B327" i="1"/>
  <c r="E326" i="1"/>
  <c r="D326" i="1" s="1"/>
  <c r="D319" i="1" s="1"/>
  <c r="C326" i="1"/>
  <c r="B326" i="1"/>
  <c r="F326" i="1" s="1"/>
  <c r="E325" i="1"/>
  <c r="G325" i="1" s="1"/>
  <c r="D325" i="1"/>
  <c r="D324" i="1" s="1"/>
  <c r="C325" i="1"/>
  <c r="B325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E324" i="1"/>
  <c r="G324" i="1" s="1"/>
  <c r="C324" i="1"/>
  <c r="AE322" i="1"/>
  <c r="AD322" i="1"/>
  <c r="AC322" i="1"/>
  <c r="AB322" i="1"/>
  <c r="AB350" i="1" s="1"/>
  <c r="AA322" i="1"/>
  <c r="Z322" i="1"/>
  <c r="Y322" i="1"/>
  <c r="X322" i="1"/>
  <c r="X350" i="1" s="1"/>
  <c r="W322" i="1"/>
  <c r="V322" i="1"/>
  <c r="U322" i="1"/>
  <c r="T322" i="1"/>
  <c r="T350" i="1" s="1"/>
  <c r="S322" i="1"/>
  <c r="R322" i="1"/>
  <c r="Q322" i="1"/>
  <c r="P322" i="1"/>
  <c r="P350" i="1" s="1"/>
  <c r="O322" i="1"/>
  <c r="N322" i="1"/>
  <c r="M322" i="1"/>
  <c r="L322" i="1"/>
  <c r="L350" i="1" s="1"/>
  <c r="K322" i="1"/>
  <c r="J322" i="1"/>
  <c r="I322" i="1"/>
  <c r="H322" i="1"/>
  <c r="H350" i="1" s="1"/>
  <c r="E322" i="1"/>
  <c r="G322" i="1" s="1"/>
  <c r="C322" i="1"/>
  <c r="B322" i="1"/>
  <c r="AE321" i="1"/>
  <c r="AD321" i="1"/>
  <c r="AD349" i="1" s="1"/>
  <c r="AC321" i="1"/>
  <c r="AB321" i="1"/>
  <c r="AA321" i="1"/>
  <c r="Z321" i="1"/>
  <c r="Z349" i="1" s="1"/>
  <c r="Y321" i="1"/>
  <c r="X321" i="1"/>
  <c r="W321" i="1"/>
  <c r="V321" i="1"/>
  <c r="V349" i="1" s="1"/>
  <c r="U321" i="1"/>
  <c r="T321" i="1"/>
  <c r="S321" i="1"/>
  <c r="R321" i="1"/>
  <c r="Q321" i="1"/>
  <c r="P321" i="1"/>
  <c r="O321" i="1"/>
  <c r="N321" i="1"/>
  <c r="N349" i="1" s="1"/>
  <c r="M321" i="1"/>
  <c r="L321" i="1"/>
  <c r="K321" i="1"/>
  <c r="J321" i="1"/>
  <c r="J349" i="1" s="1"/>
  <c r="I321" i="1"/>
  <c r="H321" i="1"/>
  <c r="E321" i="1"/>
  <c r="C321" i="1"/>
  <c r="AE320" i="1"/>
  <c r="AD320" i="1"/>
  <c r="AC320" i="1"/>
  <c r="AB320" i="1"/>
  <c r="AB348" i="1" s="1"/>
  <c r="AA320" i="1"/>
  <c r="Z320" i="1"/>
  <c r="Y320" i="1"/>
  <c r="X320" i="1"/>
  <c r="X348" i="1" s="1"/>
  <c r="W320" i="1"/>
  <c r="V320" i="1"/>
  <c r="U320" i="1"/>
  <c r="T320" i="1"/>
  <c r="T348" i="1" s="1"/>
  <c r="S320" i="1"/>
  <c r="R320" i="1"/>
  <c r="Q320" i="1"/>
  <c r="P320" i="1"/>
  <c r="P348" i="1" s="1"/>
  <c r="O320" i="1"/>
  <c r="N320" i="1"/>
  <c r="M320" i="1"/>
  <c r="L320" i="1"/>
  <c r="L348" i="1" s="1"/>
  <c r="K320" i="1"/>
  <c r="J320" i="1"/>
  <c r="I320" i="1"/>
  <c r="H320" i="1"/>
  <c r="H348" i="1" s="1"/>
  <c r="E320" i="1"/>
  <c r="G320" i="1" s="1"/>
  <c r="D320" i="1"/>
  <c r="C320" i="1"/>
  <c r="B320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E319" i="1"/>
  <c r="C319" i="1"/>
  <c r="B319" i="1"/>
  <c r="AE318" i="1"/>
  <c r="AD318" i="1"/>
  <c r="AC318" i="1"/>
  <c r="AB318" i="1"/>
  <c r="AB317" i="1" s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L317" i="1" s="1"/>
  <c r="K318" i="1"/>
  <c r="J318" i="1"/>
  <c r="I318" i="1"/>
  <c r="H318" i="1"/>
  <c r="E318" i="1"/>
  <c r="G318" i="1" s="1"/>
  <c r="D318" i="1"/>
  <c r="C318" i="1"/>
  <c r="B318" i="1"/>
  <c r="AE317" i="1"/>
  <c r="AD317" i="1"/>
  <c r="AC317" i="1"/>
  <c r="AA317" i="1"/>
  <c r="Y317" i="1"/>
  <c r="W317" i="1"/>
  <c r="V317" i="1"/>
  <c r="U317" i="1"/>
  <c r="S317" i="1"/>
  <c r="Q317" i="1"/>
  <c r="O317" i="1"/>
  <c r="N317" i="1"/>
  <c r="M317" i="1"/>
  <c r="K317" i="1"/>
  <c r="I317" i="1"/>
  <c r="E317" i="1"/>
  <c r="C317" i="1"/>
  <c r="G317" i="1" s="1"/>
  <c r="AD314" i="1"/>
  <c r="S314" i="1"/>
  <c r="E314" i="1"/>
  <c r="D314" i="1" s="1"/>
  <c r="C314" i="1"/>
  <c r="B314" i="1"/>
  <c r="AD313" i="1"/>
  <c r="S313" i="1"/>
  <c r="E313" i="1"/>
  <c r="D313" i="1" s="1"/>
  <c r="D300" i="1" s="1"/>
  <c r="D362" i="1" s="1"/>
  <c r="C313" i="1"/>
  <c r="B313" i="1"/>
  <c r="F313" i="1" s="1"/>
  <c r="AD312" i="1"/>
  <c r="Y312" i="1"/>
  <c r="S312" i="1"/>
  <c r="R312" i="1"/>
  <c r="E312" i="1"/>
  <c r="D312" i="1"/>
  <c r="AD311" i="1"/>
  <c r="Y311" i="1"/>
  <c r="Y310" i="1" s="1"/>
  <c r="X311" i="1"/>
  <c r="X310" i="1" s="1"/>
  <c r="S311" i="1"/>
  <c r="R311" i="1"/>
  <c r="R310" i="1" s="1"/>
  <c r="P311" i="1"/>
  <c r="E311" i="1"/>
  <c r="C311" i="1"/>
  <c r="AE310" i="1"/>
  <c r="AD310" i="1"/>
  <c r="AC310" i="1"/>
  <c r="AB310" i="1"/>
  <c r="AA310" i="1"/>
  <c r="Z310" i="1"/>
  <c r="W310" i="1"/>
  <c r="V310" i="1"/>
  <c r="U310" i="1"/>
  <c r="T310" i="1"/>
  <c r="S310" i="1"/>
  <c r="Q310" i="1"/>
  <c r="O310" i="1"/>
  <c r="N310" i="1"/>
  <c r="M310" i="1"/>
  <c r="L310" i="1"/>
  <c r="K310" i="1"/>
  <c r="J310" i="1"/>
  <c r="I310" i="1"/>
  <c r="H310" i="1"/>
  <c r="F308" i="1"/>
  <c r="E308" i="1"/>
  <c r="G308" i="1" s="1"/>
  <c r="C308" i="1"/>
  <c r="C302" i="1" s="1"/>
  <c r="B308" i="1"/>
  <c r="C307" i="1"/>
  <c r="C301" i="1" s="1"/>
  <c r="G301" i="1" s="1"/>
  <c r="V306" i="1"/>
  <c r="T306" i="1"/>
  <c r="C306" i="1" s="1"/>
  <c r="F306" i="1"/>
  <c r="E306" i="1"/>
  <c r="G306" i="1" s="1"/>
  <c r="D306" i="1"/>
  <c r="B306" i="1"/>
  <c r="C305" i="1"/>
  <c r="B305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D304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E302" i="1"/>
  <c r="G302" i="1" s="1"/>
  <c r="D302" i="1"/>
  <c r="B302" i="1"/>
  <c r="F302" i="1" s="1"/>
  <c r="AE301" i="1"/>
  <c r="AD301" i="1"/>
  <c r="AC301" i="1"/>
  <c r="AB301" i="1"/>
  <c r="AB297" i="1" s="1"/>
  <c r="AA301" i="1"/>
  <c r="Z301" i="1"/>
  <c r="Y301" i="1"/>
  <c r="X301" i="1"/>
  <c r="W301" i="1"/>
  <c r="V301" i="1"/>
  <c r="U301" i="1"/>
  <c r="T301" i="1"/>
  <c r="T297" i="1" s="1"/>
  <c r="S301" i="1"/>
  <c r="R301" i="1"/>
  <c r="Q301" i="1"/>
  <c r="P301" i="1"/>
  <c r="O301" i="1"/>
  <c r="N301" i="1"/>
  <c r="M301" i="1"/>
  <c r="L301" i="1"/>
  <c r="L297" i="1" s="1"/>
  <c r="K301" i="1"/>
  <c r="J301" i="1"/>
  <c r="I301" i="1"/>
  <c r="H301" i="1"/>
  <c r="E301" i="1"/>
  <c r="D301" i="1"/>
  <c r="AE300" i="1"/>
  <c r="AE362" i="1" s="1"/>
  <c r="AD300" i="1"/>
  <c r="AD362" i="1" s="1"/>
  <c r="AC300" i="1"/>
  <c r="AC362" i="1" s="1"/>
  <c r="AB300" i="1"/>
  <c r="AB362" i="1" s="1"/>
  <c r="AA300" i="1"/>
  <c r="AA362" i="1" s="1"/>
  <c r="Z300" i="1"/>
  <c r="Z362" i="1" s="1"/>
  <c r="Y300" i="1"/>
  <c r="X300" i="1"/>
  <c r="X362" i="1" s="1"/>
  <c r="W300" i="1"/>
  <c r="W362" i="1" s="1"/>
  <c r="V300" i="1"/>
  <c r="V362" i="1" s="1"/>
  <c r="U300" i="1"/>
  <c r="U362" i="1" s="1"/>
  <c r="T300" i="1"/>
  <c r="T362" i="1" s="1"/>
  <c r="S300" i="1"/>
  <c r="S362" i="1" s="1"/>
  <c r="R300" i="1"/>
  <c r="R362" i="1" s="1"/>
  <c r="Q300" i="1"/>
  <c r="Q362" i="1" s="1"/>
  <c r="P300" i="1"/>
  <c r="P362" i="1" s="1"/>
  <c r="O300" i="1"/>
  <c r="O362" i="1" s="1"/>
  <c r="N300" i="1"/>
  <c r="N362" i="1" s="1"/>
  <c r="M300" i="1"/>
  <c r="M362" i="1" s="1"/>
  <c r="L300" i="1"/>
  <c r="L362" i="1" s="1"/>
  <c r="K300" i="1"/>
  <c r="K362" i="1" s="1"/>
  <c r="J300" i="1"/>
  <c r="J362" i="1" s="1"/>
  <c r="I300" i="1"/>
  <c r="I362" i="1" s="1"/>
  <c r="H300" i="1"/>
  <c r="H362" i="1" s="1"/>
  <c r="E300" i="1"/>
  <c r="E362" i="1" s="1"/>
  <c r="C300" i="1"/>
  <c r="C362" i="1" s="1"/>
  <c r="B300" i="1"/>
  <c r="B362" i="1" s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S361" i="1" s="1"/>
  <c r="R299" i="1"/>
  <c r="Q299" i="1"/>
  <c r="P299" i="1"/>
  <c r="O299" i="1"/>
  <c r="N299" i="1"/>
  <c r="M299" i="1"/>
  <c r="L299" i="1"/>
  <c r="K299" i="1"/>
  <c r="J299" i="1"/>
  <c r="I299" i="1"/>
  <c r="H299" i="1"/>
  <c r="E299" i="1"/>
  <c r="D299" i="1"/>
  <c r="AE298" i="1"/>
  <c r="AD298" i="1"/>
  <c r="AD297" i="1" s="1"/>
  <c r="AC298" i="1"/>
  <c r="AB298" i="1"/>
  <c r="AA298" i="1"/>
  <c r="Z298" i="1"/>
  <c r="Z297" i="1" s="1"/>
  <c r="Y298" i="1"/>
  <c r="X298" i="1"/>
  <c r="W298" i="1"/>
  <c r="V298" i="1"/>
  <c r="V297" i="1" s="1"/>
  <c r="U298" i="1"/>
  <c r="T298" i="1"/>
  <c r="S298" i="1"/>
  <c r="R298" i="1"/>
  <c r="R297" i="1" s="1"/>
  <c r="Q298" i="1"/>
  <c r="P298" i="1"/>
  <c r="O298" i="1"/>
  <c r="N298" i="1"/>
  <c r="N297" i="1" s="1"/>
  <c r="M298" i="1"/>
  <c r="L298" i="1"/>
  <c r="K298" i="1"/>
  <c r="J298" i="1"/>
  <c r="J297" i="1" s="1"/>
  <c r="I298" i="1"/>
  <c r="H298" i="1"/>
  <c r="C298" i="1"/>
  <c r="AE297" i="1"/>
  <c r="AC297" i="1"/>
  <c r="AA297" i="1"/>
  <c r="Y297" i="1"/>
  <c r="W297" i="1"/>
  <c r="U297" i="1"/>
  <c r="S297" i="1"/>
  <c r="Q297" i="1"/>
  <c r="O297" i="1"/>
  <c r="M297" i="1"/>
  <c r="K297" i="1"/>
  <c r="I297" i="1"/>
  <c r="C295" i="1"/>
  <c r="C294" i="1"/>
  <c r="AD293" i="1"/>
  <c r="T293" i="1"/>
  <c r="B293" i="1" s="1"/>
  <c r="B291" i="1" s="1"/>
  <c r="N293" i="1"/>
  <c r="G293" i="1"/>
  <c r="E293" i="1"/>
  <c r="C293" i="1"/>
  <c r="C291" i="1" s="1"/>
  <c r="C292" i="1"/>
  <c r="AE291" i="1"/>
  <c r="AD291" i="1"/>
  <c r="AC291" i="1"/>
  <c r="AB291" i="1"/>
  <c r="AA291" i="1"/>
  <c r="Z291" i="1"/>
  <c r="Y291" i="1"/>
  <c r="X291" i="1"/>
  <c r="W291" i="1"/>
  <c r="V291" i="1"/>
  <c r="U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E291" i="1"/>
  <c r="F291" i="1" s="1"/>
  <c r="E289" i="1"/>
  <c r="C289" i="1"/>
  <c r="B289" i="1"/>
  <c r="C288" i="1"/>
  <c r="E287" i="1"/>
  <c r="G287" i="1" s="1"/>
  <c r="D287" i="1"/>
  <c r="C287" i="1"/>
  <c r="B287" i="1"/>
  <c r="B285" i="1" s="1"/>
  <c r="C286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C285" i="1"/>
  <c r="C283" i="1"/>
  <c r="C282" i="1"/>
  <c r="AD281" i="1"/>
  <c r="AD279" i="1" s="1"/>
  <c r="V281" i="1"/>
  <c r="T281" i="1"/>
  <c r="N281" i="1"/>
  <c r="L281" i="1"/>
  <c r="E281" i="1"/>
  <c r="D281" i="1"/>
  <c r="E280" i="1"/>
  <c r="D280" i="1"/>
  <c r="C280" i="1"/>
  <c r="G280" i="1" s="1"/>
  <c r="B280" i="1"/>
  <c r="AE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K279" i="1"/>
  <c r="J279" i="1"/>
  <c r="I279" i="1"/>
  <c r="H279" i="1"/>
  <c r="E279" i="1"/>
  <c r="D279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R273" i="1" s="1"/>
  <c r="R359" i="1" s="1"/>
  <c r="Q277" i="1"/>
  <c r="P277" i="1"/>
  <c r="O277" i="1"/>
  <c r="N277" i="1"/>
  <c r="N273" i="1" s="1"/>
  <c r="N359" i="1" s="1"/>
  <c r="M277" i="1"/>
  <c r="L277" i="1"/>
  <c r="K277" i="1"/>
  <c r="J277" i="1"/>
  <c r="J273" i="1" s="1"/>
  <c r="J359" i="1" s="1"/>
  <c r="I277" i="1"/>
  <c r="H277" i="1"/>
  <c r="C277" i="1"/>
  <c r="B277" i="1"/>
  <c r="G276" i="1"/>
  <c r="F276" i="1"/>
  <c r="AE275" i="1"/>
  <c r="AE361" i="1" s="1"/>
  <c r="AD275" i="1"/>
  <c r="AC275" i="1"/>
  <c r="AC361" i="1" s="1"/>
  <c r="AB275" i="1"/>
  <c r="AA275" i="1"/>
  <c r="AA361" i="1" s="1"/>
  <c r="Z275" i="1"/>
  <c r="Y275" i="1"/>
  <c r="Y361" i="1" s="1"/>
  <c r="X275" i="1"/>
  <c r="W275" i="1"/>
  <c r="W361" i="1" s="1"/>
  <c r="V275" i="1"/>
  <c r="V273" i="1" s="1"/>
  <c r="V359" i="1" s="1"/>
  <c r="U275" i="1"/>
  <c r="U361" i="1" s="1"/>
  <c r="T275" i="1"/>
  <c r="R275" i="1"/>
  <c r="R361" i="1" s="1"/>
  <c r="Q275" i="1"/>
  <c r="Q361" i="1" s="1"/>
  <c r="P275" i="1"/>
  <c r="O275" i="1"/>
  <c r="O361" i="1" s="1"/>
  <c r="N275" i="1"/>
  <c r="N361" i="1" s="1"/>
  <c r="M275" i="1"/>
  <c r="M361" i="1" s="1"/>
  <c r="K275" i="1"/>
  <c r="K361" i="1" s="1"/>
  <c r="J275" i="1"/>
  <c r="J361" i="1" s="1"/>
  <c r="I275" i="1"/>
  <c r="I361" i="1" s="1"/>
  <c r="H275" i="1"/>
  <c r="E275" i="1"/>
  <c r="AE274" i="1"/>
  <c r="AD274" i="1"/>
  <c r="AC274" i="1"/>
  <c r="AC360" i="1" s="1"/>
  <c r="AB274" i="1"/>
  <c r="AB360" i="1" s="1"/>
  <c r="AA274" i="1"/>
  <c r="Z274" i="1"/>
  <c r="Y274" i="1"/>
  <c r="Y360" i="1" s="1"/>
  <c r="X274" i="1"/>
  <c r="X360" i="1" s="1"/>
  <c r="W274" i="1"/>
  <c r="V274" i="1"/>
  <c r="U274" i="1"/>
  <c r="U360" i="1" s="1"/>
  <c r="T274" i="1"/>
  <c r="S274" i="1"/>
  <c r="R274" i="1"/>
  <c r="Q274" i="1"/>
  <c r="Q360" i="1" s="1"/>
  <c r="P274" i="1"/>
  <c r="P360" i="1" s="1"/>
  <c r="O274" i="1"/>
  <c r="N274" i="1"/>
  <c r="M274" i="1"/>
  <c r="M360" i="1" s="1"/>
  <c r="L274" i="1"/>
  <c r="L360" i="1" s="1"/>
  <c r="K274" i="1"/>
  <c r="J274" i="1"/>
  <c r="I274" i="1"/>
  <c r="I360" i="1" s="1"/>
  <c r="H274" i="1"/>
  <c r="H360" i="1" s="1"/>
  <c r="G274" i="1"/>
  <c r="E274" i="1"/>
  <c r="D274" i="1"/>
  <c r="C274" i="1"/>
  <c r="AC273" i="1"/>
  <c r="AC359" i="1" s="1"/>
  <c r="AC358" i="1" s="1"/>
  <c r="AB273" i="1"/>
  <c r="Y273" i="1"/>
  <c r="Y359" i="1" s="1"/>
  <c r="Y358" i="1" s="1"/>
  <c r="X273" i="1"/>
  <c r="U273" i="1"/>
  <c r="U359" i="1" s="1"/>
  <c r="U358" i="1" s="1"/>
  <c r="T273" i="1"/>
  <c r="Q273" i="1"/>
  <c r="Q359" i="1" s="1"/>
  <c r="Q358" i="1" s="1"/>
  <c r="P273" i="1"/>
  <c r="M273" i="1"/>
  <c r="M359" i="1" s="1"/>
  <c r="M358" i="1" s="1"/>
  <c r="I273" i="1"/>
  <c r="I359" i="1" s="1"/>
  <c r="I358" i="1" s="1"/>
  <c r="H273" i="1"/>
  <c r="C269" i="1"/>
  <c r="C262" i="1" s="1"/>
  <c r="C353" i="1" s="1"/>
  <c r="E268" i="1"/>
  <c r="D268" i="1"/>
  <c r="C268" i="1"/>
  <c r="G268" i="1" s="1"/>
  <c r="B268" i="1"/>
  <c r="F268" i="1" s="1"/>
  <c r="E267" i="1"/>
  <c r="G267" i="1" s="1"/>
  <c r="D267" i="1"/>
  <c r="C267" i="1"/>
  <c r="B267" i="1"/>
  <c r="F267" i="1" s="1"/>
  <c r="E266" i="1"/>
  <c r="D266" i="1"/>
  <c r="D265" i="1" s="1"/>
  <c r="C266" i="1"/>
  <c r="G266" i="1" s="1"/>
  <c r="B266" i="1"/>
  <c r="F266" i="1" s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E265" i="1"/>
  <c r="B265" i="1"/>
  <c r="F265" i="1" s="1"/>
  <c r="AE263" i="1"/>
  <c r="AE356" i="1" s="1"/>
  <c r="AE374" i="1" s="1"/>
  <c r="AD263" i="1"/>
  <c r="AC263" i="1"/>
  <c r="AC356" i="1" s="1"/>
  <c r="AC374" i="1" s="1"/>
  <c r="AB263" i="1"/>
  <c r="AB356" i="1" s="1"/>
  <c r="AB374" i="1" s="1"/>
  <c r="AA263" i="1"/>
  <c r="AA356" i="1" s="1"/>
  <c r="AA374" i="1" s="1"/>
  <c r="Z263" i="1"/>
  <c r="Z356" i="1" s="1"/>
  <c r="Z374" i="1" s="1"/>
  <c r="Y263" i="1"/>
  <c r="Y356" i="1" s="1"/>
  <c r="Y374" i="1" s="1"/>
  <c r="X263" i="1"/>
  <c r="X356" i="1" s="1"/>
  <c r="X374" i="1" s="1"/>
  <c r="W263" i="1"/>
  <c r="W356" i="1" s="1"/>
  <c r="W374" i="1" s="1"/>
  <c r="V263" i="1"/>
  <c r="V356" i="1" s="1"/>
  <c r="V374" i="1" s="1"/>
  <c r="U263" i="1"/>
  <c r="U356" i="1" s="1"/>
  <c r="U374" i="1" s="1"/>
  <c r="T263" i="1"/>
  <c r="T356" i="1" s="1"/>
  <c r="T374" i="1" s="1"/>
  <c r="S263" i="1"/>
  <c r="S356" i="1" s="1"/>
  <c r="S374" i="1" s="1"/>
  <c r="R263" i="1"/>
  <c r="R356" i="1" s="1"/>
  <c r="R374" i="1" s="1"/>
  <c r="Q263" i="1"/>
  <c r="Q356" i="1" s="1"/>
  <c r="Q374" i="1" s="1"/>
  <c r="P263" i="1"/>
  <c r="P356" i="1" s="1"/>
  <c r="P374" i="1" s="1"/>
  <c r="O263" i="1"/>
  <c r="O356" i="1" s="1"/>
  <c r="O374" i="1" s="1"/>
  <c r="N263" i="1"/>
  <c r="M263" i="1"/>
  <c r="M356" i="1" s="1"/>
  <c r="M374" i="1" s="1"/>
  <c r="L263" i="1"/>
  <c r="L356" i="1" s="1"/>
  <c r="L374" i="1" s="1"/>
  <c r="K263" i="1"/>
  <c r="K356" i="1" s="1"/>
  <c r="K374" i="1" s="1"/>
  <c r="J263" i="1"/>
  <c r="J356" i="1" s="1"/>
  <c r="J374" i="1" s="1"/>
  <c r="I263" i="1"/>
  <c r="I356" i="1" s="1"/>
  <c r="I374" i="1" s="1"/>
  <c r="H263" i="1"/>
  <c r="H356" i="1" s="1"/>
  <c r="H374" i="1" s="1"/>
  <c r="E263" i="1"/>
  <c r="E356" i="1" s="1"/>
  <c r="D263" i="1"/>
  <c r="D356" i="1" s="1"/>
  <c r="D374" i="1" s="1"/>
  <c r="C263" i="1"/>
  <c r="C356" i="1" s="1"/>
  <c r="C374" i="1" s="1"/>
  <c r="B263" i="1"/>
  <c r="F263" i="1" s="1"/>
  <c r="AE262" i="1"/>
  <c r="AE353" i="1" s="1"/>
  <c r="AD262" i="1"/>
  <c r="AD353" i="1" s="1"/>
  <c r="AC262" i="1"/>
  <c r="AC353" i="1" s="1"/>
  <c r="AB262" i="1"/>
  <c r="AB353" i="1" s="1"/>
  <c r="AA262" i="1"/>
  <c r="AA353" i="1" s="1"/>
  <c r="Z262" i="1"/>
  <c r="Z353" i="1" s="1"/>
  <c r="Y262" i="1"/>
  <c r="Y353" i="1" s="1"/>
  <c r="X262" i="1"/>
  <c r="W262" i="1"/>
  <c r="W353" i="1" s="1"/>
  <c r="V262" i="1"/>
  <c r="V353" i="1" s="1"/>
  <c r="V371" i="1" s="1"/>
  <c r="U262" i="1"/>
  <c r="U353" i="1" s="1"/>
  <c r="T262" i="1"/>
  <c r="T353" i="1" s="1"/>
  <c r="S262" i="1"/>
  <c r="S353" i="1" s="1"/>
  <c r="R262" i="1"/>
  <c r="R353" i="1" s="1"/>
  <c r="Q262" i="1"/>
  <c r="Q353" i="1" s="1"/>
  <c r="P262" i="1"/>
  <c r="P353" i="1" s="1"/>
  <c r="O262" i="1"/>
  <c r="O353" i="1" s="1"/>
  <c r="N262" i="1"/>
  <c r="N353" i="1" s="1"/>
  <c r="M262" i="1"/>
  <c r="M353" i="1" s="1"/>
  <c r="L262" i="1"/>
  <c r="L353" i="1" s="1"/>
  <c r="K262" i="1"/>
  <c r="K353" i="1" s="1"/>
  <c r="J262" i="1"/>
  <c r="J353" i="1" s="1"/>
  <c r="I262" i="1"/>
  <c r="I353" i="1" s="1"/>
  <c r="H262" i="1"/>
  <c r="E262" i="1"/>
  <c r="E353" i="1" s="1"/>
  <c r="D262" i="1"/>
  <c r="D353" i="1" s="1"/>
  <c r="B262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E261" i="1"/>
  <c r="D261" i="1"/>
  <c r="C261" i="1"/>
  <c r="G261" i="1" s="1"/>
  <c r="B261" i="1"/>
  <c r="F261" i="1" s="1"/>
  <c r="AE260" i="1"/>
  <c r="AE355" i="1" s="1"/>
  <c r="AD260" i="1"/>
  <c r="AD355" i="1" s="1"/>
  <c r="AC260" i="1"/>
  <c r="AC355" i="1" s="1"/>
  <c r="AB260" i="1"/>
  <c r="AA260" i="1"/>
  <c r="AA355" i="1" s="1"/>
  <c r="Z260" i="1"/>
  <c r="Z355" i="1" s="1"/>
  <c r="Y260" i="1"/>
  <c r="Y355" i="1" s="1"/>
  <c r="X260" i="1"/>
  <c r="X355" i="1" s="1"/>
  <c r="W260" i="1"/>
  <c r="W355" i="1" s="1"/>
  <c r="V260" i="1"/>
  <c r="V355" i="1" s="1"/>
  <c r="U260" i="1"/>
  <c r="U355" i="1" s="1"/>
  <c r="T260" i="1"/>
  <c r="T355" i="1" s="1"/>
  <c r="S260" i="1"/>
  <c r="S355" i="1" s="1"/>
  <c r="R260" i="1"/>
  <c r="R355" i="1" s="1"/>
  <c r="Q260" i="1"/>
  <c r="Q355" i="1" s="1"/>
  <c r="P260" i="1"/>
  <c r="P355" i="1" s="1"/>
  <c r="O260" i="1"/>
  <c r="O355" i="1" s="1"/>
  <c r="N260" i="1"/>
  <c r="N355" i="1" s="1"/>
  <c r="M260" i="1"/>
  <c r="M355" i="1" s="1"/>
  <c r="L260" i="1"/>
  <c r="K260" i="1"/>
  <c r="K355" i="1" s="1"/>
  <c r="J260" i="1"/>
  <c r="J355" i="1" s="1"/>
  <c r="I260" i="1"/>
  <c r="I355" i="1" s="1"/>
  <c r="H260" i="1"/>
  <c r="H355" i="1" s="1"/>
  <c r="E260" i="1"/>
  <c r="E355" i="1" s="1"/>
  <c r="D260" i="1"/>
  <c r="D355" i="1" s="1"/>
  <c r="C260" i="1"/>
  <c r="C355" i="1" s="1"/>
  <c r="B260" i="1"/>
  <c r="B355" i="1" s="1"/>
  <c r="AE259" i="1"/>
  <c r="AE354" i="1" s="1"/>
  <c r="AE372" i="1" s="1"/>
  <c r="AD259" i="1"/>
  <c r="AD354" i="1" s="1"/>
  <c r="AD372" i="1" s="1"/>
  <c r="AC259" i="1"/>
  <c r="AC354" i="1" s="1"/>
  <c r="AC372" i="1" s="1"/>
  <c r="AB259" i="1"/>
  <c r="AA259" i="1"/>
  <c r="AA354" i="1" s="1"/>
  <c r="AA372" i="1" s="1"/>
  <c r="Z259" i="1"/>
  <c r="Y259" i="1"/>
  <c r="Y354" i="1" s="1"/>
  <c r="Y372" i="1" s="1"/>
  <c r="X259" i="1"/>
  <c r="W259" i="1"/>
  <c r="W354" i="1" s="1"/>
  <c r="W372" i="1" s="1"/>
  <c r="V259" i="1"/>
  <c r="V354" i="1" s="1"/>
  <c r="V372" i="1" s="1"/>
  <c r="U259" i="1"/>
  <c r="U354" i="1" s="1"/>
  <c r="U372" i="1" s="1"/>
  <c r="T259" i="1"/>
  <c r="S259" i="1"/>
  <c r="S354" i="1" s="1"/>
  <c r="S372" i="1" s="1"/>
  <c r="R259" i="1"/>
  <c r="R354" i="1" s="1"/>
  <c r="R372" i="1" s="1"/>
  <c r="Q259" i="1"/>
  <c r="Q354" i="1" s="1"/>
  <c r="Q372" i="1" s="1"/>
  <c r="P259" i="1"/>
  <c r="O259" i="1"/>
  <c r="O354" i="1" s="1"/>
  <c r="O372" i="1" s="1"/>
  <c r="N259" i="1"/>
  <c r="N354" i="1" s="1"/>
  <c r="N372" i="1" s="1"/>
  <c r="M259" i="1"/>
  <c r="M354" i="1" s="1"/>
  <c r="M372" i="1" s="1"/>
  <c r="L259" i="1"/>
  <c r="K259" i="1"/>
  <c r="K354" i="1" s="1"/>
  <c r="K372" i="1" s="1"/>
  <c r="J259" i="1"/>
  <c r="I259" i="1"/>
  <c r="I354" i="1" s="1"/>
  <c r="I372" i="1" s="1"/>
  <c r="H259" i="1"/>
  <c r="E259" i="1"/>
  <c r="E354" i="1" s="1"/>
  <c r="D259" i="1"/>
  <c r="C259" i="1"/>
  <c r="C354" i="1" s="1"/>
  <c r="C372" i="1" s="1"/>
  <c r="B259" i="1"/>
  <c r="B354" i="1" s="1"/>
  <c r="B372" i="1" s="1"/>
  <c r="AE258" i="1"/>
  <c r="AC258" i="1"/>
  <c r="AA258" i="1"/>
  <c r="Z258" i="1"/>
  <c r="Y258" i="1"/>
  <c r="W258" i="1"/>
  <c r="U258" i="1"/>
  <c r="Q258" i="1"/>
  <c r="M258" i="1"/>
  <c r="I258" i="1"/>
  <c r="E258" i="1"/>
  <c r="J253" i="1"/>
  <c r="X252" i="1"/>
  <c r="H252" i="1"/>
  <c r="G248" i="1"/>
  <c r="F248" i="1"/>
  <c r="G246" i="1"/>
  <c r="F246" i="1"/>
  <c r="G245" i="1"/>
  <c r="F245" i="1"/>
  <c r="AC244" i="1"/>
  <c r="U244" i="1"/>
  <c r="M244" i="1"/>
  <c r="E244" i="1"/>
  <c r="AA242" i="1"/>
  <c r="O242" i="1"/>
  <c r="I242" i="1"/>
  <c r="AA241" i="1"/>
  <c r="P241" i="1"/>
  <c r="K241" i="1"/>
  <c r="W240" i="1"/>
  <c r="C239" i="1"/>
  <c r="C237" i="1"/>
  <c r="C233" i="1" s="1"/>
  <c r="C236" i="1"/>
  <c r="AD235" i="1"/>
  <c r="AA235" i="1"/>
  <c r="C235" i="1"/>
  <c r="B235" i="1"/>
  <c r="B229" i="1" s="1"/>
  <c r="E234" i="1"/>
  <c r="D234" i="1"/>
  <c r="D228" i="1" s="1"/>
  <c r="C234" i="1"/>
  <c r="G234" i="1" s="1"/>
  <c r="B234" i="1"/>
  <c r="B228" i="1" s="1"/>
  <c r="AE233" i="1"/>
  <c r="AD233" i="1"/>
  <c r="AC233" i="1"/>
  <c r="AB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B233" i="1" s="1"/>
  <c r="AE229" i="1"/>
  <c r="AD229" i="1"/>
  <c r="AC229" i="1"/>
  <c r="AB229" i="1"/>
  <c r="Z229" i="1"/>
  <c r="Y229" i="1"/>
  <c r="X229" i="1"/>
  <c r="W229" i="1"/>
  <c r="V229" i="1"/>
  <c r="U229" i="1"/>
  <c r="T229" i="1"/>
  <c r="R229" i="1"/>
  <c r="Q229" i="1"/>
  <c r="P229" i="1"/>
  <c r="O229" i="1"/>
  <c r="N229" i="1"/>
  <c r="M229" i="1"/>
  <c r="L229" i="1"/>
  <c r="K229" i="1"/>
  <c r="J229" i="1"/>
  <c r="I229" i="1"/>
  <c r="H229" i="1"/>
  <c r="C229" i="1"/>
  <c r="AE228" i="1"/>
  <c r="AD228" i="1"/>
  <c r="AC228" i="1"/>
  <c r="AC239" i="1" s="1"/>
  <c r="AB228" i="1"/>
  <c r="AB227" i="1" s="1"/>
  <c r="AA228" i="1"/>
  <c r="Z228" i="1"/>
  <c r="Y228" i="1"/>
  <c r="Y239" i="1" s="1"/>
  <c r="Y238" i="1" s="1"/>
  <c r="X228" i="1"/>
  <c r="X227" i="1" s="1"/>
  <c r="W228" i="1"/>
  <c r="V228" i="1"/>
  <c r="U228" i="1"/>
  <c r="U239" i="1" s="1"/>
  <c r="T228" i="1"/>
  <c r="T227" i="1" s="1"/>
  <c r="S228" i="1"/>
  <c r="S227" i="1" s="1"/>
  <c r="R228" i="1"/>
  <c r="Q228" i="1"/>
  <c r="Q239" i="1" s="1"/>
  <c r="P228" i="1"/>
  <c r="P227" i="1" s="1"/>
  <c r="O228" i="1"/>
  <c r="N228" i="1"/>
  <c r="M228" i="1"/>
  <c r="M239" i="1" s="1"/>
  <c r="L228" i="1"/>
  <c r="L227" i="1" s="1"/>
  <c r="K228" i="1"/>
  <c r="J228" i="1"/>
  <c r="I228" i="1"/>
  <c r="I239" i="1" s="1"/>
  <c r="H228" i="1"/>
  <c r="H227" i="1" s="1"/>
  <c r="G228" i="1"/>
  <c r="E228" i="1"/>
  <c r="C228" i="1"/>
  <c r="C227" i="1" s="1"/>
  <c r="AC227" i="1"/>
  <c r="Y227" i="1"/>
  <c r="U227" i="1"/>
  <c r="R227" i="1"/>
  <c r="N227" i="1"/>
  <c r="J227" i="1"/>
  <c r="G225" i="1"/>
  <c r="E225" i="1"/>
  <c r="C225" i="1"/>
  <c r="B225" i="1"/>
  <c r="F224" i="1"/>
  <c r="E224" i="1"/>
  <c r="G224" i="1" s="1"/>
  <c r="C224" i="1"/>
  <c r="B224" i="1"/>
  <c r="E223" i="1"/>
  <c r="C223" i="1"/>
  <c r="C221" i="1" s="1"/>
  <c r="B223" i="1"/>
  <c r="G222" i="1"/>
  <c r="E222" i="1"/>
  <c r="C222" i="1"/>
  <c r="B222" i="1"/>
  <c r="B198" i="1" s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B221" i="1" s="1"/>
  <c r="F219" i="1"/>
  <c r="E219" i="1"/>
  <c r="C219" i="1"/>
  <c r="G219" i="1" s="1"/>
  <c r="B219" i="1"/>
  <c r="G218" i="1"/>
  <c r="E218" i="1"/>
  <c r="C218" i="1"/>
  <c r="B218" i="1"/>
  <c r="B200" i="1" s="1"/>
  <c r="E217" i="1"/>
  <c r="G217" i="1" s="1"/>
  <c r="D217" i="1"/>
  <c r="D215" i="1" s="1"/>
  <c r="C217" i="1"/>
  <c r="B217" i="1"/>
  <c r="F217" i="1" s="1"/>
  <c r="F216" i="1"/>
  <c r="E216" i="1"/>
  <c r="C216" i="1"/>
  <c r="G216" i="1" s="1"/>
  <c r="B216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B215" i="1" s="1"/>
  <c r="E215" i="1"/>
  <c r="C215" i="1"/>
  <c r="G215" i="1" s="1"/>
  <c r="E213" i="1"/>
  <c r="C213" i="1"/>
  <c r="B213" i="1"/>
  <c r="F212" i="1"/>
  <c r="E212" i="1"/>
  <c r="C212" i="1"/>
  <c r="G212" i="1" s="1"/>
  <c r="B212" i="1"/>
  <c r="G211" i="1"/>
  <c r="E211" i="1"/>
  <c r="F211" i="1" s="1"/>
  <c r="C211" i="1"/>
  <c r="B211" i="1"/>
  <c r="E210" i="1"/>
  <c r="C210" i="1"/>
  <c r="B210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B209" i="1" s="1"/>
  <c r="C209" i="1"/>
  <c r="E207" i="1"/>
  <c r="C207" i="1"/>
  <c r="B207" i="1"/>
  <c r="F206" i="1"/>
  <c r="E206" i="1"/>
  <c r="C206" i="1"/>
  <c r="G206" i="1" s="1"/>
  <c r="B206" i="1"/>
  <c r="Z205" i="1"/>
  <c r="E205" i="1"/>
  <c r="D205" i="1"/>
  <c r="F204" i="1"/>
  <c r="E204" i="1"/>
  <c r="C204" i="1"/>
  <c r="G204" i="1" s="1"/>
  <c r="B204" i="1"/>
  <c r="AE203" i="1"/>
  <c r="AD203" i="1"/>
  <c r="AC203" i="1"/>
  <c r="AB203" i="1"/>
  <c r="AA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AE201" i="1"/>
  <c r="AE242" i="1" s="1"/>
  <c r="AD201" i="1"/>
  <c r="AC201" i="1"/>
  <c r="AC242" i="1" s="1"/>
  <c r="AB201" i="1"/>
  <c r="AA201" i="1"/>
  <c r="Z201" i="1"/>
  <c r="Y201" i="1"/>
  <c r="Y242" i="1" s="1"/>
  <c r="X201" i="1"/>
  <c r="W201" i="1"/>
  <c r="W242" i="1" s="1"/>
  <c r="V201" i="1"/>
  <c r="U201" i="1"/>
  <c r="U242" i="1" s="1"/>
  <c r="T201" i="1"/>
  <c r="S201" i="1"/>
  <c r="S242" i="1" s="1"/>
  <c r="R201" i="1"/>
  <c r="Q201" i="1"/>
  <c r="Q242" i="1" s="1"/>
  <c r="P201" i="1"/>
  <c r="O201" i="1"/>
  <c r="N201" i="1"/>
  <c r="M201" i="1"/>
  <c r="M242" i="1" s="1"/>
  <c r="L201" i="1"/>
  <c r="K201" i="1"/>
  <c r="K242" i="1" s="1"/>
  <c r="J201" i="1"/>
  <c r="I201" i="1"/>
  <c r="H201" i="1"/>
  <c r="D201" i="1"/>
  <c r="C201" i="1"/>
  <c r="AE200" i="1"/>
  <c r="AE241" i="1" s="1"/>
  <c r="AD200" i="1"/>
  <c r="AC200" i="1"/>
  <c r="AC241" i="1" s="1"/>
  <c r="AB200" i="1"/>
  <c r="AB241" i="1" s="1"/>
  <c r="AA200" i="1"/>
  <c r="Z200" i="1"/>
  <c r="Y200" i="1"/>
  <c r="Y241" i="1" s="1"/>
  <c r="X200" i="1"/>
  <c r="X241" i="1" s="1"/>
  <c r="W200" i="1"/>
  <c r="W241" i="1" s="1"/>
  <c r="V200" i="1"/>
  <c r="U200" i="1"/>
  <c r="U241" i="1" s="1"/>
  <c r="T200" i="1"/>
  <c r="T241" i="1" s="1"/>
  <c r="S200" i="1"/>
  <c r="S241" i="1" s="1"/>
  <c r="R200" i="1"/>
  <c r="Q200" i="1"/>
  <c r="Q241" i="1" s="1"/>
  <c r="P200" i="1"/>
  <c r="O200" i="1"/>
  <c r="O241" i="1" s="1"/>
  <c r="N200" i="1"/>
  <c r="M200" i="1"/>
  <c r="M241" i="1" s="1"/>
  <c r="L200" i="1"/>
  <c r="L241" i="1" s="1"/>
  <c r="K200" i="1"/>
  <c r="J200" i="1"/>
  <c r="I200" i="1"/>
  <c r="I241" i="1" s="1"/>
  <c r="H200" i="1"/>
  <c r="H241" i="1" s="1"/>
  <c r="E200" i="1"/>
  <c r="D200" i="1"/>
  <c r="C200" i="1"/>
  <c r="AE199" i="1"/>
  <c r="AE240" i="1" s="1"/>
  <c r="AD199" i="1"/>
  <c r="AC199" i="1"/>
  <c r="AB199" i="1"/>
  <c r="AA199" i="1"/>
  <c r="Y199" i="1"/>
  <c r="Y240" i="1" s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E199" i="1"/>
  <c r="AE198" i="1"/>
  <c r="AE197" i="1" s="1"/>
  <c r="AD198" i="1"/>
  <c r="AC198" i="1"/>
  <c r="AB198" i="1"/>
  <c r="AB197" i="1" s="1"/>
  <c r="AA198" i="1"/>
  <c r="AA197" i="1" s="1"/>
  <c r="Z198" i="1"/>
  <c r="Y198" i="1"/>
  <c r="X198" i="1"/>
  <c r="X197" i="1" s="1"/>
  <c r="W198" i="1"/>
  <c r="W197" i="1" s="1"/>
  <c r="V198" i="1"/>
  <c r="U198" i="1"/>
  <c r="T198" i="1"/>
  <c r="T197" i="1" s="1"/>
  <c r="S198" i="1"/>
  <c r="S197" i="1" s="1"/>
  <c r="R198" i="1"/>
  <c r="Q198" i="1"/>
  <c r="P198" i="1"/>
  <c r="P197" i="1" s="1"/>
  <c r="O198" i="1"/>
  <c r="O197" i="1" s="1"/>
  <c r="N198" i="1"/>
  <c r="M198" i="1"/>
  <c r="L198" i="1"/>
  <c r="L197" i="1" s="1"/>
  <c r="K198" i="1"/>
  <c r="K197" i="1" s="1"/>
  <c r="J198" i="1"/>
  <c r="I198" i="1"/>
  <c r="H198" i="1"/>
  <c r="H197" i="1" s="1"/>
  <c r="C198" i="1"/>
  <c r="AD197" i="1"/>
  <c r="AC197" i="1"/>
  <c r="Y197" i="1"/>
  <c r="V197" i="1"/>
  <c r="U197" i="1"/>
  <c r="R197" i="1"/>
  <c r="Q197" i="1"/>
  <c r="N197" i="1"/>
  <c r="M197" i="1"/>
  <c r="J197" i="1"/>
  <c r="I197" i="1"/>
  <c r="G195" i="1"/>
  <c r="E195" i="1"/>
  <c r="F195" i="1" s="1"/>
  <c r="C195" i="1"/>
  <c r="B195" i="1"/>
  <c r="F194" i="1"/>
  <c r="E194" i="1"/>
  <c r="C194" i="1"/>
  <c r="C182" i="1" s="1"/>
  <c r="C251" i="1" s="1"/>
  <c r="B194" i="1"/>
  <c r="E193" i="1"/>
  <c r="C193" i="1"/>
  <c r="B193" i="1"/>
  <c r="G192" i="1"/>
  <c r="E192" i="1"/>
  <c r="C192" i="1"/>
  <c r="B192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B191" i="1" s="1"/>
  <c r="F189" i="1"/>
  <c r="E189" i="1"/>
  <c r="C189" i="1"/>
  <c r="C183" i="1" s="1"/>
  <c r="C254" i="1" s="1"/>
  <c r="B189" i="1"/>
  <c r="G188" i="1"/>
  <c r="E188" i="1"/>
  <c r="F188" i="1" s="1"/>
  <c r="C188" i="1"/>
  <c r="B188" i="1"/>
  <c r="Z187" i="1"/>
  <c r="X187" i="1"/>
  <c r="V187" i="1"/>
  <c r="B187" i="1" s="1"/>
  <c r="E187" i="1"/>
  <c r="C187" i="1"/>
  <c r="E186" i="1"/>
  <c r="C186" i="1"/>
  <c r="B186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B185" i="1"/>
  <c r="AE183" i="1"/>
  <c r="AE254" i="1" s="1"/>
  <c r="AD183" i="1"/>
  <c r="AD254" i="1" s="1"/>
  <c r="AC183" i="1"/>
  <c r="AB183" i="1"/>
  <c r="AB254" i="1" s="1"/>
  <c r="AA183" i="1"/>
  <c r="AA254" i="1" s="1"/>
  <c r="Z183" i="1"/>
  <c r="Z254" i="1" s="1"/>
  <c r="Y183" i="1"/>
  <c r="X183" i="1"/>
  <c r="W183" i="1"/>
  <c r="W254" i="1" s="1"/>
  <c r="V183" i="1"/>
  <c r="V254" i="1" s="1"/>
  <c r="U183" i="1"/>
  <c r="T183" i="1"/>
  <c r="T179" i="1" s="1"/>
  <c r="S183" i="1"/>
  <c r="S254" i="1" s="1"/>
  <c r="R183" i="1"/>
  <c r="R254" i="1" s="1"/>
  <c r="Q183" i="1"/>
  <c r="P183" i="1"/>
  <c r="O183" i="1"/>
  <c r="O254" i="1" s="1"/>
  <c r="N183" i="1"/>
  <c r="N254" i="1" s="1"/>
  <c r="M183" i="1"/>
  <c r="L183" i="1"/>
  <c r="L254" i="1" s="1"/>
  <c r="K183" i="1"/>
  <c r="K254" i="1" s="1"/>
  <c r="J183" i="1"/>
  <c r="J254" i="1" s="1"/>
  <c r="I183" i="1"/>
  <c r="H183" i="1"/>
  <c r="E183" i="1"/>
  <c r="D183" i="1"/>
  <c r="D254" i="1" s="1"/>
  <c r="AE182" i="1"/>
  <c r="AE251" i="1" s="1"/>
  <c r="AD182" i="1"/>
  <c r="AD251" i="1" s="1"/>
  <c r="AC182" i="1"/>
  <c r="AB182" i="1"/>
  <c r="AB251" i="1" s="1"/>
  <c r="AA182" i="1"/>
  <c r="AA251" i="1" s="1"/>
  <c r="Z182" i="1"/>
  <c r="Z251" i="1" s="1"/>
  <c r="Y182" i="1"/>
  <c r="X182" i="1"/>
  <c r="X251" i="1" s="1"/>
  <c r="W182" i="1"/>
  <c r="W251" i="1" s="1"/>
  <c r="V182" i="1"/>
  <c r="V251" i="1" s="1"/>
  <c r="U182" i="1"/>
  <c r="U251" i="1" s="1"/>
  <c r="T182" i="1"/>
  <c r="T251" i="1" s="1"/>
  <c r="S182" i="1"/>
  <c r="S251" i="1" s="1"/>
  <c r="R182" i="1"/>
  <c r="R251" i="1" s="1"/>
  <c r="Q182" i="1"/>
  <c r="Q251" i="1" s="1"/>
  <c r="P182" i="1"/>
  <c r="P251" i="1" s="1"/>
  <c r="O182" i="1"/>
  <c r="O251" i="1" s="1"/>
  <c r="N182" i="1"/>
  <c r="N251" i="1" s="1"/>
  <c r="M182" i="1"/>
  <c r="M251" i="1" s="1"/>
  <c r="L182" i="1"/>
  <c r="L251" i="1" s="1"/>
  <c r="K182" i="1"/>
  <c r="K251" i="1" s="1"/>
  <c r="J182" i="1"/>
  <c r="I182" i="1"/>
  <c r="I251" i="1" s="1"/>
  <c r="H182" i="1"/>
  <c r="H251" i="1" s="1"/>
  <c r="D182" i="1"/>
  <c r="D251" i="1" s="1"/>
  <c r="AE181" i="1"/>
  <c r="AE253" i="1" s="1"/>
  <c r="AD181" i="1"/>
  <c r="AD253" i="1" s="1"/>
  <c r="AC181" i="1"/>
  <c r="AB181" i="1"/>
  <c r="AB253" i="1" s="1"/>
  <c r="AA181" i="1"/>
  <c r="Z181" i="1"/>
  <c r="Y181" i="1"/>
  <c r="X181" i="1"/>
  <c r="X253" i="1" s="1"/>
  <c r="W181" i="1"/>
  <c r="W253" i="1" s="1"/>
  <c r="V181" i="1"/>
  <c r="U181" i="1"/>
  <c r="T181" i="1"/>
  <c r="T253" i="1" s="1"/>
  <c r="S181" i="1"/>
  <c r="S253" i="1" s="1"/>
  <c r="R181" i="1"/>
  <c r="R253" i="1" s="1"/>
  <c r="Q181" i="1"/>
  <c r="P181" i="1"/>
  <c r="P253" i="1" s="1"/>
  <c r="O181" i="1"/>
  <c r="O253" i="1" s="1"/>
  <c r="N181" i="1"/>
  <c r="N253" i="1" s="1"/>
  <c r="M181" i="1"/>
  <c r="L181" i="1"/>
  <c r="L253" i="1" s="1"/>
  <c r="K181" i="1"/>
  <c r="K253" i="1" s="1"/>
  <c r="J181" i="1"/>
  <c r="I181" i="1"/>
  <c r="H181" i="1"/>
  <c r="AE180" i="1"/>
  <c r="AD180" i="1"/>
  <c r="AC180" i="1"/>
  <c r="AC252" i="1" s="1"/>
  <c r="AB180" i="1"/>
  <c r="AB252" i="1" s="1"/>
  <c r="AA180" i="1"/>
  <c r="Z180" i="1"/>
  <c r="Y180" i="1"/>
  <c r="Y252" i="1" s="1"/>
  <c r="X180" i="1"/>
  <c r="W180" i="1"/>
  <c r="V180" i="1"/>
  <c r="U180" i="1"/>
  <c r="U252" i="1" s="1"/>
  <c r="T180" i="1"/>
  <c r="T252" i="1" s="1"/>
  <c r="S180" i="1"/>
  <c r="R180" i="1"/>
  <c r="Q180" i="1"/>
  <c r="Q252" i="1" s="1"/>
  <c r="P180" i="1"/>
  <c r="P252" i="1" s="1"/>
  <c r="O180" i="1"/>
  <c r="N180" i="1"/>
  <c r="M180" i="1"/>
  <c r="M252" i="1" s="1"/>
  <c r="L180" i="1"/>
  <c r="L252" i="1" s="1"/>
  <c r="K180" i="1"/>
  <c r="J180" i="1"/>
  <c r="I180" i="1"/>
  <c r="I252" i="1" s="1"/>
  <c r="H180" i="1"/>
  <c r="D180" i="1"/>
  <c r="C180" i="1"/>
  <c r="AC179" i="1"/>
  <c r="Y179" i="1"/>
  <c r="U179" i="1"/>
  <c r="Q179" i="1"/>
  <c r="M179" i="1"/>
  <c r="I179" i="1"/>
  <c r="E176" i="1"/>
  <c r="D176" i="1"/>
  <c r="C176" i="1"/>
  <c r="C175" i="1" s="1"/>
  <c r="B176" i="1"/>
  <c r="F176" i="1" s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E175" i="1"/>
  <c r="B175" i="1"/>
  <c r="AE173" i="1"/>
  <c r="AE172" i="1" s="1"/>
  <c r="AD173" i="1"/>
  <c r="AC173" i="1"/>
  <c r="AC247" i="1" s="1"/>
  <c r="AB173" i="1"/>
  <c r="AB247" i="1" s="1"/>
  <c r="AB244" i="1" s="1"/>
  <c r="AA173" i="1"/>
  <c r="Z173" i="1"/>
  <c r="Z247" i="1" s="1"/>
  <c r="Z244" i="1" s="1"/>
  <c r="Y173" i="1"/>
  <c r="Y247" i="1" s="1"/>
  <c r="Y244" i="1" s="1"/>
  <c r="X173" i="1"/>
  <c r="X247" i="1" s="1"/>
  <c r="X244" i="1" s="1"/>
  <c r="W173" i="1"/>
  <c r="W172" i="1" s="1"/>
  <c r="V173" i="1"/>
  <c r="U173" i="1"/>
  <c r="U247" i="1" s="1"/>
  <c r="T173" i="1"/>
  <c r="T247" i="1" s="1"/>
  <c r="T244" i="1" s="1"/>
  <c r="S173" i="1"/>
  <c r="R173" i="1"/>
  <c r="Q173" i="1"/>
  <c r="Q247" i="1" s="1"/>
  <c r="Q244" i="1" s="1"/>
  <c r="P173" i="1"/>
  <c r="P247" i="1" s="1"/>
  <c r="P244" i="1" s="1"/>
  <c r="O173" i="1"/>
  <c r="O172" i="1" s="1"/>
  <c r="N173" i="1"/>
  <c r="M173" i="1"/>
  <c r="M247" i="1" s="1"/>
  <c r="L173" i="1"/>
  <c r="L247" i="1" s="1"/>
  <c r="L244" i="1" s="1"/>
  <c r="K173" i="1"/>
  <c r="J173" i="1"/>
  <c r="J247" i="1" s="1"/>
  <c r="J244" i="1" s="1"/>
  <c r="I173" i="1"/>
  <c r="I247" i="1" s="1"/>
  <c r="I244" i="1" s="1"/>
  <c r="H173" i="1"/>
  <c r="H247" i="1" s="1"/>
  <c r="H244" i="1" s="1"/>
  <c r="F173" i="1"/>
  <c r="E173" i="1"/>
  <c r="E247" i="1" s="1"/>
  <c r="C173" i="1"/>
  <c r="B173" i="1"/>
  <c r="AC172" i="1"/>
  <c r="AB172" i="1"/>
  <c r="Z172" i="1"/>
  <c r="Y172" i="1"/>
  <c r="X172" i="1"/>
  <c r="U172" i="1"/>
  <c r="Q172" i="1"/>
  <c r="P172" i="1"/>
  <c r="M172" i="1"/>
  <c r="L172" i="1"/>
  <c r="J172" i="1"/>
  <c r="I172" i="1"/>
  <c r="H172" i="1"/>
  <c r="E172" i="1"/>
  <c r="AE168" i="1"/>
  <c r="AD168" i="1"/>
  <c r="AA168" i="1"/>
  <c r="Z168" i="1"/>
  <c r="W168" i="1"/>
  <c r="V168" i="1"/>
  <c r="S168" i="1"/>
  <c r="R168" i="1"/>
  <c r="O168" i="1"/>
  <c r="N168" i="1"/>
  <c r="K168" i="1"/>
  <c r="J168" i="1"/>
  <c r="AB167" i="1"/>
  <c r="X167" i="1"/>
  <c r="T167" i="1"/>
  <c r="L167" i="1"/>
  <c r="H167" i="1"/>
  <c r="D167" i="1"/>
  <c r="Z166" i="1"/>
  <c r="R166" i="1"/>
  <c r="B166" i="1"/>
  <c r="AC165" i="1"/>
  <c r="AB165" i="1"/>
  <c r="Y165" i="1"/>
  <c r="X165" i="1"/>
  <c r="X164" i="1" s="1"/>
  <c r="U165" i="1"/>
  <c r="T165" i="1"/>
  <c r="Q165" i="1"/>
  <c r="P165" i="1"/>
  <c r="M165" i="1"/>
  <c r="L165" i="1"/>
  <c r="I165" i="1"/>
  <c r="H165" i="1"/>
  <c r="D165" i="1"/>
  <c r="G161" i="1"/>
  <c r="F161" i="1"/>
  <c r="G160" i="1"/>
  <c r="F160" i="1"/>
  <c r="G159" i="1"/>
  <c r="F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D158" i="1"/>
  <c r="X157" i="1"/>
  <c r="G156" i="1"/>
  <c r="F156" i="1"/>
  <c r="E156" i="1"/>
  <c r="C156" i="1"/>
  <c r="B156" i="1"/>
  <c r="G155" i="1"/>
  <c r="E155" i="1"/>
  <c r="F155" i="1" s="1"/>
  <c r="C155" i="1"/>
  <c r="B155" i="1"/>
  <c r="E154" i="1"/>
  <c r="C154" i="1"/>
  <c r="C152" i="1" s="1"/>
  <c r="B154" i="1"/>
  <c r="E153" i="1"/>
  <c r="C153" i="1"/>
  <c r="B153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B152" i="1" s="1"/>
  <c r="I152" i="1"/>
  <c r="H152" i="1"/>
  <c r="D152" i="1"/>
  <c r="AE150" i="1"/>
  <c r="AD150" i="1"/>
  <c r="AC150" i="1"/>
  <c r="AC168" i="1" s="1"/>
  <c r="AB150" i="1"/>
  <c r="AB168" i="1" s="1"/>
  <c r="AA150" i="1"/>
  <c r="Z150" i="1"/>
  <c r="Y150" i="1"/>
  <c r="Y168" i="1" s="1"/>
  <c r="X150" i="1"/>
  <c r="X168" i="1" s="1"/>
  <c r="W150" i="1"/>
  <c r="V150" i="1"/>
  <c r="U150" i="1"/>
  <c r="U168" i="1" s="1"/>
  <c r="T150" i="1"/>
  <c r="T168" i="1" s="1"/>
  <c r="S150" i="1"/>
  <c r="R150" i="1"/>
  <c r="Q150" i="1"/>
  <c r="Q168" i="1" s="1"/>
  <c r="P150" i="1"/>
  <c r="P168" i="1" s="1"/>
  <c r="O150" i="1"/>
  <c r="N150" i="1"/>
  <c r="M150" i="1"/>
  <c r="M168" i="1" s="1"/>
  <c r="L150" i="1"/>
  <c r="L168" i="1" s="1"/>
  <c r="K150" i="1"/>
  <c r="J150" i="1"/>
  <c r="I150" i="1"/>
  <c r="I168" i="1" s="1"/>
  <c r="H150" i="1"/>
  <c r="E150" i="1"/>
  <c r="E168" i="1" s="1"/>
  <c r="D150" i="1"/>
  <c r="D168" i="1" s="1"/>
  <c r="AE149" i="1"/>
  <c r="AE165" i="1" s="1"/>
  <c r="AD149" i="1"/>
  <c r="AD165" i="1" s="1"/>
  <c r="AC149" i="1"/>
  <c r="AB149" i="1"/>
  <c r="AA149" i="1"/>
  <c r="AA165" i="1" s="1"/>
  <c r="Z149" i="1"/>
  <c r="Z165" i="1" s="1"/>
  <c r="Z164" i="1" s="1"/>
  <c r="Z157" i="1" s="1"/>
  <c r="Y149" i="1"/>
  <c r="X149" i="1"/>
  <c r="W149" i="1"/>
  <c r="W165" i="1" s="1"/>
  <c r="V149" i="1"/>
  <c r="V165" i="1" s="1"/>
  <c r="U149" i="1"/>
  <c r="T149" i="1"/>
  <c r="S149" i="1"/>
  <c r="S165" i="1" s="1"/>
  <c r="R149" i="1"/>
  <c r="R165" i="1" s="1"/>
  <c r="R164" i="1" s="1"/>
  <c r="R157" i="1" s="1"/>
  <c r="Q149" i="1"/>
  <c r="P149" i="1"/>
  <c r="O149" i="1"/>
  <c r="O165" i="1" s="1"/>
  <c r="N149" i="1"/>
  <c r="N165" i="1" s="1"/>
  <c r="M149" i="1"/>
  <c r="L149" i="1"/>
  <c r="K149" i="1"/>
  <c r="K165" i="1" s="1"/>
  <c r="J149" i="1"/>
  <c r="J165" i="1" s="1"/>
  <c r="I149" i="1"/>
  <c r="H149" i="1"/>
  <c r="D149" i="1"/>
  <c r="C149" i="1"/>
  <c r="C165" i="1" s="1"/>
  <c r="AE148" i="1"/>
  <c r="AE167" i="1" s="1"/>
  <c r="AD148" i="1"/>
  <c r="AD167" i="1" s="1"/>
  <c r="AC148" i="1"/>
  <c r="AC167" i="1" s="1"/>
  <c r="AB148" i="1"/>
  <c r="AA148" i="1"/>
  <c r="AA167" i="1" s="1"/>
  <c r="Z148" i="1"/>
  <c r="Z167" i="1" s="1"/>
  <c r="Y148" i="1"/>
  <c r="Y167" i="1" s="1"/>
  <c r="X148" i="1"/>
  <c r="W148" i="1"/>
  <c r="W167" i="1" s="1"/>
  <c r="V148" i="1"/>
  <c r="V167" i="1" s="1"/>
  <c r="U148" i="1"/>
  <c r="U167" i="1" s="1"/>
  <c r="T148" i="1"/>
  <c r="S148" i="1"/>
  <c r="S167" i="1" s="1"/>
  <c r="R148" i="1"/>
  <c r="R167" i="1" s="1"/>
  <c r="Q148" i="1"/>
  <c r="Q167" i="1" s="1"/>
  <c r="P148" i="1"/>
  <c r="P167" i="1" s="1"/>
  <c r="O148" i="1"/>
  <c r="O167" i="1" s="1"/>
  <c r="N148" i="1"/>
  <c r="N167" i="1" s="1"/>
  <c r="M148" i="1"/>
  <c r="M167" i="1" s="1"/>
  <c r="L148" i="1"/>
  <c r="K148" i="1"/>
  <c r="K167" i="1" s="1"/>
  <c r="J148" i="1"/>
  <c r="J167" i="1" s="1"/>
  <c r="I148" i="1"/>
  <c r="I167" i="1" s="1"/>
  <c r="H148" i="1"/>
  <c r="E148" i="1"/>
  <c r="D148" i="1"/>
  <c r="AE147" i="1"/>
  <c r="AE146" i="1" s="1"/>
  <c r="AD147" i="1"/>
  <c r="AC147" i="1"/>
  <c r="AC166" i="1" s="1"/>
  <c r="AB147" i="1"/>
  <c r="AB166" i="1" s="1"/>
  <c r="AA147" i="1"/>
  <c r="AA146" i="1" s="1"/>
  <c r="AA143" i="1" s="1"/>
  <c r="Z147" i="1"/>
  <c r="Y147" i="1"/>
  <c r="Y166" i="1" s="1"/>
  <c r="X147" i="1"/>
  <c r="X166" i="1" s="1"/>
  <c r="W147" i="1"/>
  <c r="W146" i="1" s="1"/>
  <c r="W143" i="1" s="1"/>
  <c r="V147" i="1"/>
  <c r="V166" i="1" s="1"/>
  <c r="V164" i="1" s="1"/>
  <c r="V157" i="1" s="1"/>
  <c r="U147" i="1"/>
  <c r="U166" i="1" s="1"/>
  <c r="T147" i="1"/>
  <c r="T166" i="1" s="1"/>
  <c r="S147" i="1"/>
  <c r="S146" i="1" s="1"/>
  <c r="S143" i="1" s="1"/>
  <c r="R147" i="1"/>
  <c r="Q147" i="1"/>
  <c r="Q166" i="1" s="1"/>
  <c r="P147" i="1"/>
  <c r="P166" i="1" s="1"/>
  <c r="O147" i="1"/>
  <c r="O146" i="1" s="1"/>
  <c r="O143" i="1" s="1"/>
  <c r="N147" i="1"/>
  <c r="M147" i="1"/>
  <c r="M166" i="1" s="1"/>
  <c r="L147" i="1"/>
  <c r="L166" i="1" s="1"/>
  <c r="K147" i="1"/>
  <c r="E147" i="1" s="1"/>
  <c r="J147" i="1"/>
  <c r="J166" i="1" s="1"/>
  <c r="I147" i="1"/>
  <c r="I166" i="1" s="1"/>
  <c r="H147" i="1"/>
  <c r="H166" i="1" s="1"/>
  <c r="F147" i="1"/>
  <c r="D147" i="1"/>
  <c r="D166" i="1" s="1"/>
  <c r="C147" i="1"/>
  <c r="B147" i="1"/>
  <c r="AC146" i="1"/>
  <c r="Y146" i="1"/>
  <c r="X146" i="1"/>
  <c r="X143" i="1" s="1"/>
  <c r="U146" i="1"/>
  <c r="Q146" i="1"/>
  <c r="P146" i="1"/>
  <c r="P143" i="1" s="1"/>
  <c r="M146" i="1"/>
  <c r="I146" i="1"/>
  <c r="H146" i="1"/>
  <c r="D146" i="1"/>
  <c r="D143" i="1" s="1"/>
  <c r="AC143" i="1"/>
  <c r="Y143" i="1"/>
  <c r="U143" i="1"/>
  <c r="Q143" i="1"/>
  <c r="M143" i="1"/>
  <c r="I143" i="1"/>
  <c r="AC142" i="1"/>
  <c r="Y142" i="1"/>
  <c r="U142" i="1"/>
  <c r="Q142" i="1"/>
  <c r="M142" i="1"/>
  <c r="I142" i="1"/>
  <c r="S141" i="1"/>
  <c r="S391" i="1" s="1"/>
  <c r="O141" i="1"/>
  <c r="O391" i="1" s="1"/>
  <c r="K141" i="1"/>
  <c r="K391" i="1" s="1"/>
  <c r="AC140" i="1"/>
  <c r="AC390" i="1" s="1"/>
  <c r="Y140" i="1"/>
  <c r="Y390" i="1" s="1"/>
  <c r="U140" i="1"/>
  <c r="Q140" i="1"/>
  <c r="Q390" i="1" s="1"/>
  <c r="M140" i="1"/>
  <c r="M390" i="1" s="1"/>
  <c r="I140" i="1"/>
  <c r="I390" i="1" s="1"/>
  <c r="AE139" i="1"/>
  <c r="AA139" i="1"/>
  <c r="W139" i="1"/>
  <c r="S139" i="1"/>
  <c r="G136" i="1"/>
  <c r="G134" i="1"/>
  <c r="F134" i="1"/>
  <c r="G133" i="1"/>
  <c r="F133" i="1"/>
  <c r="T127" i="1"/>
  <c r="E123" i="1"/>
  <c r="G123" i="1" s="1"/>
  <c r="C123" i="1"/>
  <c r="B123" i="1"/>
  <c r="E122" i="1"/>
  <c r="C122" i="1"/>
  <c r="B122" i="1"/>
  <c r="V121" i="1"/>
  <c r="V119" i="1" s="1"/>
  <c r="T121" i="1"/>
  <c r="R121" i="1"/>
  <c r="E121" i="1"/>
  <c r="G120" i="1"/>
  <c r="E120" i="1"/>
  <c r="F120" i="1" s="1"/>
  <c r="C120" i="1"/>
  <c r="B120" i="1"/>
  <c r="AE119" i="1"/>
  <c r="AD119" i="1"/>
  <c r="AC119" i="1"/>
  <c r="AB119" i="1"/>
  <c r="AA119" i="1"/>
  <c r="Z119" i="1"/>
  <c r="Y119" i="1"/>
  <c r="X119" i="1"/>
  <c r="W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B119" i="1" s="1"/>
  <c r="E117" i="1"/>
  <c r="D117" i="1"/>
  <c r="C117" i="1"/>
  <c r="C103" i="1" s="1"/>
  <c r="B117" i="1"/>
  <c r="F117" i="1" s="1"/>
  <c r="E116" i="1"/>
  <c r="C116" i="1"/>
  <c r="C102" i="1" s="1"/>
  <c r="B116" i="1"/>
  <c r="T115" i="1"/>
  <c r="E115" i="1"/>
  <c r="D115" i="1" s="1"/>
  <c r="C115" i="1"/>
  <c r="G115" i="1" s="1"/>
  <c r="B115" i="1"/>
  <c r="F115" i="1" s="1"/>
  <c r="T114" i="1"/>
  <c r="R114" i="1"/>
  <c r="E114" i="1"/>
  <c r="D114" i="1" s="1"/>
  <c r="C114" i="1"/>
  <c r="G114" i="1" s="1"/>
  <c r="B114" i="1"/>
  <c r="F114" i="1" s="1"/>
  <c r="T113" i="1"/>
  <c r="C113" i="1" s="1"/>
  <c r="E113" i="1"/>
  <c r="B113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B112" i="1" s="1"/>
  <c r="E110" i="1"/>
  <c r="C110" i="1"/>
  <c r="B110" i="1"/>
  <c r="B103" i="1" s="1"/>
  <c r="G109" i="1"/>
  <c r="E109" i="1"/>
  <c r="C109" i="1"/>
  <c r="C158" i="1" s="1"/>
  <c r="B109" i="1"/>
  <c r="B102" i="1" s="1"/>
  <c r="AD108" i="1"/>
  <c r="W108" i="1"/>
  <c r="E108" i="1"/>
  <c r="D108" i="1" s="1"/>
  <c r="D101" i="1" s="1"/>
  <c r="D127" i="1" s="1"/>
  <c r="C108" i="1"/>
  <c r="C101" i="1" s="1"/>
  <c r="C127" i="1" s="1"/>
  <c r="B108" i="1"/>
  <c r="B101" i="1" s="1"/>
  <c r="B127" i="1" s="1"/>
  <c r="AD107" i="1"/>
  <c r="Z107" i="1"/>
  <c r="T107" i="1"/>
  <c r="T105" i="1" s="1"/>
  <c r="R107" i="1"/>
  <c r="E107" i="1"/>
  <c r="D107" i="1"/>
  <c r="AD106" i="1"/>
  <c r="AD99" i="1" s="1"/>
  <c r="V106" i="1"/>
  <c r="E106" i="1"/>
  <c r="D106" i="1"/>
  <c r="AE105" i="1"/>
  <c r="AD105" i="1"/>
  <c r="AC105" i="1"/>
  <c r="AB105" i="1"/>
  <c r="AA105" i="1"/>
  <c r="Z105" i="1"/>
  <c r="Y105" i="1"/>
  <c r="X105" i="1"/>
  <c r="W105" i="1"/>
  <c r="V105" i="1"/>
  <c r="U105" i="1"/>
  <c r="S105" i="1"/>
  <c r="Q105" i="1"/>
  <c r="P105" i="1"/>
  <c r="O105" i="1"/>
  <c r="N105" i="1"/>
  <c r="M105" i="1"/>
  <c r="L105" i="1"/>
  <c r="K105" i="1"/>
  <c r="J105" i="1"/>
  <c r="I105" i="1"/>
  <c r="H105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S98" i="1" s="1"/>
  <c r="R102" i="1"/>
  <c r="Q102" i="1"/>
  <c r="P102" i="1"/>
  <c r="O102" i="1"/>
  <c r="N102" i="1"/>
  <c r="M102" i="1"/>
  <c r="L102" i="1"/>
  <c r="K102" i="1"/>
  <c r="J102" i="1"/>
  <c r="I102" i="1"/>
  <c r="H102" i="1"/>
  <c r="D102" i="1"/>
  <c r="AE101" i="1"/>
  <c r="AE127" i="1" s="1"/>
  <c r="AD101" i="1"/>
  <c r="AD127" i="1" s="1"/>
  <c r="AC101" i="1"/>
  <c r="AC127" i="1" s="1"/>
  <c r="AB101" i="1"/>
  <c r="AB127" i="1" s="1"/>
  <c r="AA101" i="1"/>
  <c r="AA127" i="1" s="1"/>
  <c r="Z101" i="1"/>
  <c r="Z127" i="1" s="1"/>
  <c r="Y101" i="1"/>
  <c r="Y127" i="1" s="1"/>
  <c r="X101" i="1"/>
  <c r="X127" i="1" s="1"/>
  <c r="W101" i="1"/>
  <c r="W127" i="1" s="1"/>
  <c r="V101" i="1"/>
  <c r="V127" i="1" s="1"/>
  <c r="U101" i="1"/>
  <c r="U127" i="1" s="1"/>
  <c r="T101" i="1"/>
  <c r="S101" i="1"/>
  <c r="S127" i="1" s="1"/>
  <c r="R101" i="1"/>
  <c r="R127" i="1" s="1"/>
  <c r="Q101" i="1"/>
  <c r="Q127" i="1" s="1"/>
  <c r="P101" i="1"/>
  <c r="P127" i="1" s="1"/>
  <c r="O101" i="1"/>
  <c r="O127" i="1" s="1"/>
  <c r="N101" i="1"/>
  <c r="N127" i="1" s="1"/>
  <c r="M101" i="1"/>
  <c r="M127" i="1" s="1"/>
  <c r="L101" i="1"/>
  <c r="L127" i="1" s="1"/>
  <c r="K101" i="1"/>
  <c r="K127" i="1" s="1"/>
  <c r="J101" i="1"/>
  <c r="J127" i="1" s="1"/>
  <c r="I101" i="1"/>
  <c r="I127" i="1" s="1"/>
  <c r="H101" i="1"/>
  <c r="H127" i="1" s="1"/>
  <c r="E101" i="1"/>
  <c r="G101" i="1" s="1"/>
  <c r="AE100" i="1"/>
  <c r="AD100" i="1"/>
  <c r="AC100" i="1"/>
  <c r="AB100" i="1"/>
  <c r="AA100" i="1"/>
  <c r="Z100" i="1"/>
  <c r="Y100" i="1"/>
  <c r="X100" i="1"/>
  <c r="W100" i="1"/>
  <c r="V100" i="1"/>
  <c r="U100" i="1"/>
  <c r="Q100" i="1"/>
  <c r="P100" i="1"/>
  <c r="O100" i="1"/>
  <c r="N100" i="1"/>
  <c r="M100" i="1"/>
  <c r="L100" i="1"/>
  <c r="K100" i="1"/>
  <c r="J100" i="1"/>
  <c r="I100" i="1"/>
  <c r="H100" i="1"/>
  <c r="E100" i="1"/>
  <c r="AE99" i="1"/>
  <c r="AC99" i="1"/>
  <c r="AB99" i="1"/>
  <c r="AA99" i="1"/>
  <c r="Z99" i="1"/>
  <c r="Y99" i="1"/>
  <c r="X99" i="1"/>
  <c r="W99" i="1"/>
  <c r="U99" i="1"/>
  <c r="T99" i="1"/>
  <c r="R99" i="1"/>
  <c r="Q99" i="1"/>
  <c r="P99" i="1"/>
  <c r="O99" i="1"/>
  <c r="N99" i="1"/>
  <c r="M99" i="1"/>
  <c r="L99" i="1"/>
  <c r="K99" i="1"/>
  <c r="J99" i="1"/>
  <c r="I99" i="1"/>
  <c r="H99" i="1"/>
  <c r="AC98" i="1"/>
  <c r="AB98" i="1"/>
  <c r="Y98" i="1"/>
  <c r="X98" i="1"/>
  <c r="U98" i="1"/>
  <c r="P98" i="1"/>
  <c r="L98" i="1"/>
  <c r="H98" i="1"/>
  <c r="G96" i="1"/>
  <c r="F96" i="1"/>
  <c r="E96" i="1"/>
  <c r="C96" i="1"/>
  <c r="B96" i="1"/>
  <c r="G95" i="1"/>
  <c r="E95" i="1"/>
  <c r="C95" i="1"/>
  <c r="B95" i="1"/>
  <c r="F95" i="1" s="1"/>
  <c r="E94" i="1"/>
  <c r="G94" i="1" s="1"/>
  <c r="C94" i="1"/>
  <c r="B94" i="1"/>
  <c r="E93" i="1"/>
  <c r="D93" i="1" s="1"/>
  <c r="C93" i="1"/>
  <c r="C92" i="1" s="1"/>
  <c r="B93" i="1"/>
  <c r="F93" i="1" s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B92" i="1" s="1"/>
  <c r="E92" i="1"/>
  <c r="G92" i="1" s="1"/>
  <c r="D92" i="1"/>
  <c r="G90" i="1"/>
  <c r="F90" i="1"/>
  <c r="E90" i="1"/>
  <c r="C90" i="1"/>
  <c r="B90" i="1"/>
  <c r="G89" i="1"/>
  <c r="E89" i="1"/>
  <c r="C89" i="1"/>
  <c r="B89" i="1"/>
  <c r="F89" i="1" s="1"/>
  <c r="E88" i="1"/>
  <c r="G88" i="1" s="1"/>
  <c r="C88" i="1"/>
  <c r="B88" i="1"/>
  <c r="AD87" i="1"/>
  <c r="AD75" i="1" s="1"/>
  <c r="AB87" i="1"/>
  <c r="AB86" i="1" s="1"/>
  <c r="Z87" i="1"/>
  <c r="T87" i="1"/>
  <c r="P87" i="1"/>
  <c r="P86" i="1" s="1"/>
  <c r="N87" i="1"/>
  <c r="E87" i="1"/>
  <c r="D87" i="1"/>
  <c r="D86" i="1" s="1"/>
  <c r="AE86" i="1"/>
  <c r="AD86" i="1"/>
  <c r="AC86" i="1"/>
  <c r="AA86" i="1"/>
  <c r="Z86" i="1"/>
  <c r="Y86" i="1"/>
  <c r="X86" i="1"/>
  <c r="W86" i="1"/>
  <c r="V86" i="1"/>
  <c r="U86" i="1"/>
  <c r="T86" i="1"/>
  <c r="S86" i="1"/>
  <c r="R86" i="1"/>
  <c r="Q86" i="1"/>
  <c r="O86" i="1"/>
  <c r="N86" i="1"/>
  <c r="M86" i="1"/>
  <c r="L86" i="1"/>
  <c r="K86" i="1"/>
  <c r="J86" i="1"/>
  <c r="I86" i="1"/>
  <c r="H86" i="1"/>
  <c r="B86" i="1"/>
  <c r="X84" i="1"/>
  <c r="C84" i="1" s="1"/>
  <c r="E84" i="1"/>
  <c r="B84" i="1"/>
  <c r="AD83" i="1"/>
  <c r="AA83" i="1"/>
  <c r="T83" i="1"/>
  <c r="E83" i="1"/>
  <c r="D83" i="1" s="1"/>
  <c r="D77" i="1" s="1"/>
  <c r="C83" i="1"/>
  <c r="G83" i="1" s="1"/>
  <c r="AD82" i="1"/>
  <c r="T82" i="1"/>
  <c r="P82" i="1"/>
  <c r="B82" i="1" s="1"/>
  <c r="F82" i="1" s="1"/>
  <c r="G82" i="1"/>
  <c r="E82" i="1"/>
  <c r="D82" i="1"/>
  <c r="D76" i="1" s="1"/>
  <c r="C82" i="1"/>
  <c r="C76" i="1" s="1"/>
  <c r="AD81" i="1"/>
  <c r="AB81" i="1"/>
  <c r="AB80" i="1" s="1"/>
  <c r="AA81" i="1"/>
  <c r="Z81" i="1"/>
  <c r="T81" i="1"/>
  <c r="P81" i="1"/>
  <c r="B81" i="1" s="1"/>
  <c r="C81" i="1"/>
  <c r="C80" i="1" s="1"/>
  <c r="AE80" i="1"/>
  <c r="AC80" i="1"/>
  <c r="Z80" i="1"/>
  <c r="Y80" i="1"/>
  <c r="X80" i="1"/>
  <c r="W80" i="1"/>
  <c r="V80" i="1"/>
  <c r="U80" i="1"/>
  <c r="T80" i="1"/>
  <c r="S80" i="1"/>
  <c r="R80" i="1"/>
  <c r="Q80" i="1"/>
  <c r="O80" i="1"/>
  <c r="N80" i="1"/>
  <c r="M80" i="1"/>
  <c r="L80" i="1"/>
  <c r="K80" i="1"/>
  <c r="J80" i="1"/>
  <c r="I80" i="1"/>
  <c r="H80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C78" i="1" s="1"/>
  <c r="H78" i="1"/>
  <c r="E78" i="1"/>
  <c r="G78" i="1" s="1"/>
  <c r="AE77" i="1"/>
  <c r="AD77" i="1"/>
  <c r="AC77" i="1"/>
  <c r="AB77" i="1"/>
  <c r="AA77" i="1"/>
  <c r="Z77" i="1"/>
  <c r="Z74" i="1" s="1"/>
  <c r="Y77" i="1"/>
  <c r="X77" i="1"/>
  <c r="W77" i="1"/>
  <c r="V77" i="1"/>
  <c r="U77" i="1"/>
  <c r="T77" i="1"/>
  <c r="R77" i="1"/>
  <c r="Q77" i="1"/>
  <c r="Q74" i="1" s="1"/>
  <c r="P77" i="1"/>
  <c r="O77" i="1"/>
  <c r="N77" i="1"/>
  <c r="M77" i="1"/>
  <c r="M74" i="1" s="1"/>
  <c r="L77" i="1"/>
  <c r="K77" i="1"/>
  <c r="J77" i="1"/>
  <c r="I77" i="1"/>
  <c r="H77" i="1"/>
  <c r="AE76" i="1"/>
  <c r="AE74" i="1" s="1"/>
  <c r="AD76" i="1"/>
  <c r="AC76" i="1"/>
  <c r="AB76" i="1"/>
  <c r="AA76" i="1"/>
  <c r="Z76" i="1"/>
  <c r="Y76" i="1"/>
  <c r="X76" i="1"/>
  <c r="W76" i="1"/>
  <c r="W74" i="1" s="1"/>
  <c r="V76" i="1"/>
  <c r="U76" i="1"/>
  <c r="T76" i="1"/>
  <c r="R76" i="1"/>
  <c r="R74" i="1" s="1"/>
  <c r="Q76" i="1"/>
  <c r="O76" i="1"/>
  <c r="N76" i="1"/>
  <c r="M76" i="1"/>
  <c r="L76" i="1"/>
  <c r="K76" i="1"/>
  <c r="J76" i="1"/>
  <c r="J74" i="1" s="1"/>
  <c r="I76" i="1"/>
  <c r="H76" i="1"/>
  <c r="B76" i="1"/>
  <c r="AE75" i="1"/>
  <c r="AC75" i="1"/>
  <c r="AB75" i="1"/>
  <c r="Z75" i="1"/>
  <c r="Y75" i="1"/>
  <c r="X75" i="1"/>
  <c r="W75" i="1"/>
  <c r="V75" i="1"/>
  <c r="U75" i="1"/>
  <c r="T75" i="1"/>
  <c r="R75" i="1"/>
  <c r="Q75" i="1"/>
  <c r="P75" i="1"/>
  <c r="O75" i="1"/>
  <c r="O74" i="1" s="1"/>
  <c r="M75" i="1"/>
  <c r="L75" i="1"/>
  <c r="K75" i="1"/>
  <c r="K74" i="1" s="1"/>
  <c r="J75" i="1"/>
  <c r="I75" i="1"/>
  <c r="H75" i="1"/>
  <c r="AC74" i="1"/>
  <c r="Y74" i="1"/>
  <c r="U74" i="1"/>
  <c r="S74" i="1"/>
  <c r="G72" i="1"/>
  <c r="E72" i="1"/>
  <c r="C72" i="1"/>
  <c r="B72" i="1"/>
  <c r="B66" i="1" s="1"/>
  <c r="E71" i="1"/>
  <c r="C71" i="1"/>
  <c r="C65" i="1" s="1"/>
  <c r="B71" i="1"/>
  <c r="AD70" i="1"/>
  <c r="AD64" i="1" s="1"/>
  <c r="Z70" i="1"/>
  <c r="X70" i="1"/>
  <c r="R70" i="1"/>
  <c r="O70" i="1"/>
  <c r="O68" i="1" s="1"/>
  <c r="N70" i="1"/>
  <c r="L70" i="1"/>
  <c r="C70" i="1" s="1"/>
  <c r="E70" i="1"/>
  <c r="G69" i="1"/>
  <c r="E69" i="1"/>
  <c r="F69" i="1" s="1"/>
  <c r="D69" i="1"/>
  <c r="C69" i="1"/>
  <c r="B69" i="1"/>
  <c r="AE68" i="1"/>
  <c r="AD68" i="1"/>
  <c r="AC68" i="1"/>
  <c r="AB68" i="1"/>
  <c r="AA68" i="1"/>
  <c r="Y68" i="1"/>
  <c r="X68" i="1"/>
  <c r="W68" i="1"/>
  <c r="V68" i="1"/>
  <c r="U68" i="1"/>
  <c r="T68" i="1"/>
  <c r="S68" i="1"/>
  <c r="R68" i="1"/>
  <c r="Q68" i="1"/>
  <c r="P68" i="1"/>
  <c r="M68" i="1"/>
  <c r="L68" i="1"/>
  <c r="K68" i="1"/>
  <c r="J68" i="1"/>
  <c r="I68" i="1"/>
  <c r="H68" i="1"/>
  <c r="E68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S62" i="1" s="1"/>
  <c r="R66" i="1"/>
  <c r="Q66" i="1"/>
  <c r="P66" i="1"/>
  <c r="O66" i="1"/>
  <c r="O62" i="1" s="1"/>
  <c r="N66" i="1"/>
  <c r="M66" i="1"/>
  <c r="L66" i="1"/>
  <c r="K66" i="1"/>
  <c r="K62" i="1" s="1"/>
  <c r="J66" i="1"/>
  <c r="I66" i="1"/>
  <c r="H66" i="1"/>
  <c r="E66" i="1"/>
  <c r="F66" i="1" s="1"/>
  <c r="D66" i="1"/>
  <c r="C66" i="1"/>
  <c r="G66" i="1" s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E65" i="1"/>
  <c r="D65" i="1"/>
  <c r="B65" i="1"/>
  <c r="AE64" i="1"/>
  <c r="AC64" i="1"/>
  <c r="AB64" i="1"/>
  <c r="AA64" i="1"/>
  <c r="AA62" i="1" s="1"/>
  <c r="Y64" i="1"/>
  <c r="X64" i="1"/>
  <c r="W64" i="1"/>
  <c r="V64" i="1"/>
  <c r="U64" i="1"/>
  <c r="T64" i="1"/>
  <c r="R64" i="1"/>
  <c r="R62" i="1" s="1"/>
  <c r="Q64" i="1"/>
  <c r="P64" i="1"/>
  <c r="O64" i="1"/>
  <c r="N64" i="1"/>
  <c r="N62" i="1" s="1"/>
  <c r="M64" i="1"/>
  <c r="L64" i="1"/>
  <c r="K64" i="1"/>
  <c r="J64" i="1"/>
  <c r="J62" i="1" s="1"/>
  <c r="I64" i="1"/>
  <c r="H64" i="1"/>
  <c r="AE63" i="1"/>
  <c r="AD63" i="1"/>
  <c r="AC63" i="1"/>
  <c r="AC62" i="1" s="1"/>
  <c r="AB63" i="1"/>
  <c r="AB62" i="1" s="1"/>
  <c r="AA63" i="1"/>
  <c r="Z63" i="1"/>
  <c r="Y63" i="1"/>
  <c r="Y62" i="1" s="1"/>
  <c r="X63" i="1"/>
  <c r="X62" i="1" s="1"/>
  <c r="W63" i="1"/>
  <c r="V63" i="1"/>
  <c r="U63" i="1"/>
  <c r="U62" i="1" s="1"/>
  <c r="T63" i="1"/>
  <c r="T62" i="1" s="1"/>
  <c r="S63" i="1"/>
  <c r="R63" i="1"/>
  <c r="Q63" i="1"/>
  <c r="Q62" i="1" s="1"/>
  <c r="P63" i="1"/>
  <c r="O63" i="1"/>
  <c r="N63" i="1"/>
  <c r="M63" i="1"/>
  <c r="M62" i="1" s="1"/>
  <c r="L63" i="1"/>
  <c r="K63" i="1"/>
  <c r="J63" i="1"/>
  <c r="I63" i="1"/>
  <c r="I62" i="1" s="1"/>
  <c r="H63" i="1"/>
  <c r="E63" i="1"/>
  <c r="D63" i="1"/>
  <c r="B63" i="1"/>
  <c r="AD62" i="1"/>
  <c r="V62" i="1"/>
  <c r="E60" i="1"/>
  <c r="G60" i="1" s="1"/>
  <c r="D60" i="1"/>
  <c r="D56" i="1" s="1"/>
  <c r="C60" i="1"/>
  <c r="B60" i="1"/>
  <c r="G59" i="1"/>
  <c r="F59" i="1"/>
  <c r="E59" i="1"/>
  <c r="C59" i="1"/>
  <c r="B59" i="1"/>
  <c r="G58" i="1"/>
  <c r="E58" i="1"/>
  <c r="C58" i="1"/>
  <c r="B58" i="1"/>
  <c r="E57" i="1"/>
  <c r="C57" i="1"/>
  <c r="C56" i="1" s="1"/>
  <c r="B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E56" i="1"/>
  <c r="B56" i="1"/>
  <c r="G54" i="1"/>
  <c r="E54" i="1"/>
  <c r="F54" i="1" s="1"/>
  <c r="C54" i="1"/>
  <c r="B54" i="1"/>
  <c r="E53" i="1"/>
  <c r="C53" i="1"/>
  <c r="B53" i="1"/>
  <c r="E52" i="1"/>
  <c r="C52" i="1"/>
  <c r="B52" i="1"/>
  <c r="G51" i="1"/>
  <c r="F51" i="1"/>
  <c r="E51" i="1"/>
  <c r="C51" i="1"/>
  <c r="B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B50" i="1" s="1"/>
  <c r="D50" i="1"/>
  <c r="C50" i="1"/>
  <c r="E48" i="1"/>
  <c r="C48" i="1"/>
  <c r="B48" i="1"/>
  <c r="G47" i="1"/>
  <c r="F47" i="1"/>
  <c r="E47" i="1"/>
  <c r="C47" i="1"/>
  <c r="B47" i="1"/>
  <c r="B35" i="1" s="1"/>
  <c r="AG46" i="1"/>
  <c r="E46" i="1"/>
  <c r="G46" i="1" s="1"/>
  <c r="D46" i="1"/>
  <c r="D44" i="1" s="1"/>
  <c r="C46" i="1"/>
  <c r="B46" i="1"/>
  <c r="G45" i="1"/>
  <c r="F45" i="1"/>
  <c r="E45" i="1"/>
  <c r="C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B44" i="1" s="1"/>
  <c r="C44" i="1"/>
  <c r="E42" i="1"/>
  <c r="C42" i="1"/>
  <c r="B42" i="1"/>
  <c r="G41" i="1"/>
  <c r="E41" i="1"/>
  <c r="F41" i="1" s="1"/>
  <c r="D41" i="1"/>
  <c r="C41" i="1"/>
  <c r="B41" i="1"/>
  <c r="AD40" i="1"/>
  <c r="AD38" i="1" s="1"/>
  <c r="Z40" i="1"/>
  <c r="P40" i="1"/>
  <c r="E40" i="1"/>
  <c r="G39" i="1"/>
  <c r="E39" i="1"/>
  <c r="C39" i="1"/>
  <c r="B39" i="1"/>
  <c r="B33" i="1" s="1"/>
  <c r="AE38" i="1"/>
  <c r="AC38" i="1"/>
  <c r="AB38" i="1"/>
  <c r="AA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AE36" i="1"/>
  <c r="AE142" i="1" s="1"/>
  <c r="AE392" i="1" s="1"/>
  <c r="AD36" i="1"/>
  <c r="AD142" i="1" s="1"/>
  <c r="AD392" i="1" s="1"/>
  <c r="AC36" i="1"/>
  <c r="AB36" i="1"/>
  <c r="AB142" i="1" s="1"/>
  <c r="AB392" i="1" s="1"/>
  <c r="AA36" i="1"/>
  <c r="AA142" i="1" s="1"/>
  <c r="AA392" i="1" s="1"/>
  <c r="Z36" i="1"/>
  <c r="Z142" i="1" s="1"/>
  <c r="Z392" i="1" s="1"/>
  <c r="Y36" i="1"/>
  <c r="X36" i="1"/>
  <c r="X142" i="1" s="1"/>
  <c r="W36" i="1"/>
  <c r="W142" i="1" s="1"/>
  <c r="W392" i="1" s="1"/>
  <c r="V36" i="1"/>
  <c r="V142" i="1" s="1"/>
  <c r="V392" i="1" s="1"/>
  <c r="U36" i="1"/>
  <c r="T36" i="1"/>
  <c r="T142" i="1" s="1"/>
  <c r="S36" i="1"/>
  <c r="S142" i="1" s="1"/>
  <c r="S392" i="1" s="1"/>
  <c r="R36" i="1"/>
  <c r="R142" i="1" s="1"/>
  <c r="R392" i="1" s="1"/>
  <c r="Q36" i="1"/>
  <c r="P36" i="1"/>
  <c r="P142" i="1" s="1"/>
  <c r="O36" i="1"/>
  <c r="O142" i="1" s="1"/>
  <c r="O392" i="1" s="1"/>
  <c r="N36" i="1"/>
  <c r="N142" i="1" s="1"/>
  <c r="N392" i="1" s="1"/>
  <c r="M36" i="1"/>
  <c r="L36" i="1"/>
  <c r="L142" i="1" s="1"/>
  <c r="L392" i="1" s="1"/>
  <c r="K36" i="1"/>
  <c r="K142" i="1" s="1"/>
  <c r="K392" i="1" s="1"/>
  <c r="J36" i="1"/>
  <c r="J142" i="1" s="1"/>
  <c r="J392" i="1" s="1"/>
  <c r="I36" i="1"/>
  <c r="H36" i="1"/>
  <c r="H142" i="1" s="1"/>
  <c r="C36" i="1"/>
  <c r="C142" i="1" s="1"/>
  <c r="B36" i="1"/>
  <c r="AE35" i="1"/>
  <c r="AD35" i="1"/>
  <c r="AD139" i="1" s="1"/>
  <c r="AC35" i="1"/>
  <c r="AC139" i="1" s="1"/>
  <c r="AB35" i="1"/>
  <c r="AB139" i="1" s="1"/>
  <c r="AA35" i="1"/>
  <c r="Z35" i="1"/>
  <c r="Z139" i="1" s="1"/>
  <c r="Y35" i="1"/>
  <c r="Y139" i="1" s="1"/>
  <c r="X35" i="1"/>
  <c r="X139" i="1" s="1"/>
  <c r="W35" i="1"/>
  <c r="V35" i="1"/>
  <c r="V139" i="1" s="1"/>
  <c r="U35" i="1"/>
  <c r="U139" i="1" s="1"/>
  <c r="T35" i="1"/>
  <c r="T139" i="1" s="1"/>
  <c r="R35" i="1"/>
  <c r="R139" i="1" s="1"/>
  <c r="Q35" i="1"/>
  <c r="Q139" i="1" s="1"/>
  <c r="P35" i="1"/>
  <c r="P139" i="1" s="1"/>
  <c r="O35" i="1"/>
  <c r="O139" i="1" s="1"/>
  <c r="N35" i="1"/>
  <c r="N139" i="1" s="1"/>
  <c r="M35" i="1"/>
  <c r="M139" i="1" s="1"/>
  <c r="L35" i="1"/>
  <c r="L139" i="1" s="1"/>
  <c r="K35" i="1"/>
  <c r="K139" i="1" s="1"/>
  <c r="J35" i="1"/>
  <c r="J139" i="1" s="1"/>
  <c r="I35" i="1"/>
  <c r="I139" i="1" s="1"/>
  <c r="H35" i="1"/>
  <c r="H139" i="1" s="1"/>
  <c r="D35" i="1"/>
  <c r="D139" i="1" s="1"/>
  <c r="C35" i="1"/>
  <c r="AE34" i="1"/>
  <c r="AD34" i="1"/>
  <c r="AD141" i="1" s="1"/>
  <c r="AC34" i="1"/>
  <c r="AC141" i="1" s="1"/>
  <c r="AB34" i="1"/>
  <c r="AB141" i="1" s="1"/>
  <c r="AA34" i="1"/>
  <c r="Z34" i="1"/>
  <c r="Y34" i="1"/>
  <c r="Y141" i="1" s="1"/>
  <c r="X34" i="1"/>
  <c r="X141" i="1" s="1"/>
  <c r="W34" i="1"/>
  <c r="V34" i="1"/>
  <c r="V141" i="1" s="1"/>
  <c r="U34" i="1"/>
  <c r="U141" i="1" s="1"/>
  <c r="T34" i="1"/>
  <c r="S34" i="1"/>
  <c r="R34" i="1"/>
  <c r="Q34" i="1"/>
  <c r="Q141" i="1" s="1"/>
  <c r="P34" i="1"/>
  <c r="O34" i="1"/>
  <c r="N34" i="1"/>
  <c r="N141" i="1" s="1"/>
  <c r="N391" i="1" s="1"/>
  <c r="M34" i="1"/>
  <c r="M141" i="1" s="1"/>
  <c r="L34" i="1"/>
  <c r="L141" i="1" s="1"/>
  <c r="K34" i="1"/>
  <c r="J34" i="1"/>
  <c r="J141" i="1" s="1"/>
  <c r="J391" i="1" s="1"/>
  <c r="I34" i="1"/>
  <c r="I141" i="1" s="1"/>
  <c r="H34" i="1"/>
  <c r="H141" i="1" s="1"/>
  <c r="E34" i="1"/>
  <c r="AE33" i="1"/>
  <c r="AD33" i="1"/>
  <c r="AD140" i="1" s="1"/>
  <c r="AC33" i="1"/>
  <c r="AB33" i="1"/>
  <c r="AA33" i="1"/>
  <c r="Z33" i="1"/>
  <c r="Z140" i="1" s="1"/>
  <c r="Y33" i="1"/>
  <c r="X33" i="1"/>
  <c r="W33" i="1"/>
  <c r="V33" i="1"/>
  <c r="U33" i="1"/>
  <c r="T33" i="1"/>
  <c r="S33" i="1"/>
  <c r="R33" i="1"/>
  <c r="R140" i="1" s="1"/>
  <c r="Q33" i="1"/>
  <c r="P33" i="1"/>
  <c r="O33" i="1"/>
  <c r="N33" i="1"/>
  <c r="M33" i="1"/>
  <c r="L33" i="1"/>
  <c r="K33" i="1"/>
  <c r="J33" i="1"/>
  <c r="J140" i="1" s="1"/>
  <c r="I33" i="1"/>
  <c r="H33" i="1"/>
  <c r="E33" i="1"/>
  <c r="F33" i="1" s="1"/>
  <c r="D33" i="1"/>
  <c r="C33" i="1"/>
  <c r="G33" i="1" s="1"/>
  <c r="AD32" i="1"/>
  <c r="Z32" i="1"/>
  <c r="Y32" i="1"/>
  <c r="V32" i="1"/>
  <c r="R32" i="1"/>
  <c r="Q32" i="1"/>
  <c r="N32" i="1"/>
  <c r="J32" i="1"/>
  <c r="I32" i="1"/>
  <c r="G29" i="1"/>
  <c r="E29" i="1"/>
  <c r="F29" i="1" s="1"/>
  <c r="C29" i="1"/>
  <c r="B29" i="1"/>
  <c r="E28" i="1"/>
  <c r="C28" i="1"/>
  <c r="B28" i="1"/>
  <c r="AD27" i="1"/>
  <c r="AB27" i="1"/>
  <c r="AB25" i="1" s="1"/>
  <c r="AA27" i="1"/>
  <c r="S27" i="1"/>
  <c r="E27" i="1"/>
  <c r="D27" i="1" s="1"/>
  <c r="D25" i="1" s="1"/>
  <c r="E26" i="1"/>
  <c r="C26" i="1"/>
  <c r="B26" i="1"/>
  <c r="AE25" i="1"/>
  <c r="AD25" i="1"/>
  <c r="AC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B25" i="1"/>
  <c r="G23" i="1"/>
  <c r="E23" i="1"/>
  <c r="C23" i="1"/>
  <c r="B23" i="1"/>
  <c r="E22" i="1"/>
  <c r="C22" i="1"/>
  <c r="B22" i="1"/>
  <c r="Z21" i="1"/>
  <c r="E21" i="1"/>
  <c r="D21" i="1" s="1"/>
  <c r="C21" i="1"/>
  <c r="G21" i="1" s="1"/>
  <c r="B21" i="1"/>
  <c r="E20" i="1"/>
  <c r="F20" i="1" s="1"/>
  <c r="C20" i="1"/>
  <c r="B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D19" i="1"/>
  <c r="C19" i="1"/>
  <c r="B19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B17" i="1" s="1"/>
  <c r="E17" i="1"/>
  <c r="F17" i="1" s="1"/>
  <c r="D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E16" i="1" s="1"/>
  <c r="J16" i="1"/>
  <c r="I16" i="1"/>
  <c r="H16" i="1"/>
  <c r="D16" i="1"/>
  <c r="C16" i="1"/>
  <c r="B16" i="1"/>
  <c r="AE15" i="1"/>
  <c r="AE135" i="1" s="1"/>
  <c r="AD15" i="1"/>
  <c r="AD135" i="1" s="1"/>
  <c r="AC15" i="1"/>
  <c r="AC135" i="1" s="1"/>
  <c r="AC373" i="1" s="1"/>
  <c r="AB15" i="1"/>
  <c r="AB135" i="1" s="1"/>
  <c r="AB373" i="1" s="1"/>
  <c r="AA15" i="1"/>
  <c r="AA135" i="1" s="1"/>
  <c r="Z15" i="1"/>
  <c r="Z135" i="1" s="1"/>
  <c r="Z373" i="1" s="1"/>
  <c r="Y15" i="1"/>
  <c r="Y135" i="1" s="1"/>
  <c r="Y373" i="1" s="1"/>
  <c r="X15" i="1"/>
  <c r="X135" i="1" s="1"/>
  <c r="X373" i="1" s="1"/>
  <c r="W15" i="1"/>
  <c r="W135" i="1" s="1"/>
  <c r="V15" i="1"/>
  <c r="V135" i="1" s="1"/>
  <c r="U15" i="1"/>
  <c r="U135" i="1" s="1"/>
  <c r="U373" i="1" s="1"/>
  <c r="T15" i="1"/>
  <c r="T135" i="1" s="1"/>
  <c r="T373" i="1" s="1"/>
  <c r="S15" i="1"/>
  <c r="S135" i="1" s="1"/>
  <c r="R15" i="1"/>
  <c r="R135" i="1" s="1"/>
  <c r="Q15" i="1"/>
  <c r="Q135" i="1" s="1"/>
  <c r="Q373" i="1" s="1"/>
  <c r="P15" i="1"/>
  <c r="P135" i="1" s="1"/>
  <c r="P373" i="1" s="1"/>
  <c r="O15" i="1"/>
  <c r="O135" i="1" s="1"/>
  <c r="N15" i="1"/>
  <c r="N135" i="1" s="1"/>
  <c r="M15" i="1"/>
  <c r="M135" i="1" s="1"/>
  <c r="M373" i="1" s="1"/>
  <c r="L15" i="1"/>
  <c r="L135" i="1" s="1"/>
  <c r="L373" i="1" s="1"/>
  <c r="K15" i="1"/>
  <c r="K135" i="1" s="1"/>
  <c r="J15" i="1"/>
  <c r="J135" i="1" s="1"/>
  <c r="J373" i="1" s="1"/>
  <c r="I15" i="1"/>
  <c r="I135" i="1" s="1"/>
  <c r="I373" i="1" s="1"/>
  <c r="H15" i="1"/>
  <c r="H135" i="1" s="1"/>
  <c r="D15" i="1"/>
  <c r="D135" i="1" s="1"/>
  <c r="AE14" i="1"/>
  <c r="AE13" i="1" s="1"/>
  <c r="AD14" i="1"/>
  <c r="AD13" i="1" s="1"/>
  <c r="AC14" i="1"/>
  <c r="AB14" i="1"/>
  <c r="AA14" i="1"/>
  <c r="AA13" i="1" s="1"/>
  <c r="Z14" i="1"/>
  <c r="Z13" i="1" s="1"/>
  <c r="Y14" i="1"/>
  <c r="X14" i="1"/>
  <c r="W14" i="1"/>
  <c r="W13" i="1" s="1"/>
  <c r="V14" i="1"/>
  <c r="V13" i="1" s="1"/>
  <c r="U14" i="1"/>
  <c r="T14" i="1"/>
  <c r="S14" i="1"/>
  <c r="S13" i="1" s="1"/>
  <c r="R14" i="1"/>
  <c r="R13" i="1" s="1"/>
  <c r="Q14" i="1"/>
  <c r="P14" i="1"/>
  <c r="O14" i="1"/>
  <c r="O13" i="1" s="1"/>
  <c r="N14" i="1"/>
  <c r="N13" i="1" s="1"/>
  <c r="M14" i="1"/>
  <c r="L14" i="1"/>
  <c r="K14" i="1"/>
  <c r="E14" i="1" s="1"/>
  <c r="J14" i="1"/>
  <c r="J13" i="1" s="1"/>
  <c r="I14" i="1"/>
  <c r="H14" i="1"/>
  <c r="D14" i="1"/>
  <c r="B14" i="1"/>
  <c r="AC13" i="1"/>
  <c r="AB13" i="1"/>
  <c r="Y13" i="1"/>
  <c r="X13" i="1"/>
  <c r="U13" i="1"/>
  <c r="T13" i="1"/>
  <c r="Q13" i="1"/>
  <c r="P13" i="1"/>
  <c r="M13" i="1"/>
  <c r="L13" i="1"/>
  <c r="I13" i="1"/>
  <c r="H13" i="1"/>
  <c r="B13" i="1" s="1"/>
  <c r="D13" i="1"/>
  <c r="F14" i="1" l="1"/>
  <c r="F16" i="1"/>
  <c r="G16" i="1"/>
  <c r="H373" i="1"/>
  <c r="B135" i="1"/>
  <c r="C14" i="1"/>
  <c r="E15" i="1"/>
  <c r="K13" i="1"/>
  <c r="C17" i="1"/>
  <c r="G17" i="1" s="1"/>
  <c r="E19" i="1"/>
  <c r="AG19" i="1" s="1"/>
  <c r="G20" i="1"/>
  <c r="F21" i="1"/>
  <c r="F23" i="1"/>
  <c r="C27" i="1"/>
  <c r="M32" i="1"/>
  <c r="U32" i="1"/>
  <c r="AC32" i="1"/>
  <c r="S126" i="1"/>
  <c r="U389" i="1"/>
  <c r="U138" i="1"/>
  <c r="Y138" i="1"/>
  <c r="AC138" i="1"/>
  <c r="F39" i="1"/>
  <c r="C40" i="1"/>
  <c r="Z38" i="1"/>
  <c r="B38" i="1" s="1"/>
  <c r="B40" i="1"/>
  <c r="B34" i="1" s="1"/>
  <c r="F34" i="1" s="1"/>
  <c r="G52" i="1"/>
  <c r="E50" i="1"/>
  <c r="F52" i="1"/>
  <c r="T74" i="1"/>
  <c r="T125" i="1"/>
  <c r="X74" i="1"/>
  <c r="X125" i="1"/>
  <c r="AC125" i="1"/>
  <c r="J128" i="1"/>
  <c r="N128" i="1"/>
  <c r="R128" i="1"/>
  <c r="V128" i="1"/>
  <c r="Z128" i="1"/>
  <c r="AD128" i="1"/>
  <c r="G22" i="1"/>
  <c r="F22" i="1"/>
  <c r="C25" i="1"/>
  <c r="K140" i="1"/>
  <c r="K32" i="1"/>
  <c r="O140" i="1"/>
  <c r="O32" i="1"/>
  <c r="S140" i="1"/>
  <c r="S32" i="1"/>
  <c r="W140" i="1"/>
  <c r="W32" i="1"/>
  <c r="AA32" i="1"/>
  <c r="AE140" i="1"/>
  <c r="AE32" i="1"/>
  <c r="I389" i="1"/>
  <c r="I138" i="1"/>
  <c r="M389" i="1"/>
  <c r="M138" i="1"/>
  <c r="Q389" i="1"/>
  <c r="Q138" i="1"/>
  <c r="V389" i="1"/>
  <c r="AD138" i="1"/>
  <c r="D42" i="1"/>
  <c r="D36" i="1" s="1"/>
  <c r="E36" i="1"/>
  <c r="G42" i="1"/>
  <c r="F42" i="1"/>
  <c r="G48" i="1"/>
  <c r="F48" i="1"/>
  <c r="G56" i="1"/>
  <c r="F56" i="1"/>
  <c r="W62" i="1"/>
  <c r="W141" i="1"/>
  <c r="W391" i="1" s="1"/>
  <c r="N126" i="1"/>
  <c r="B78" i="1"/>
  <c r="H129" i="1"/>
  <c r="X129" i="1"/>
  <c r="B83" i="1"/>
  <c r="F83" i="1" s="1"/>
  <c r="AD80" i="1"/>
  <c r="J164" i="1"/>
  <c r="J157" i="1" s="1"/>
  <c r="G26" i="1"/>
  <c r="F26" i="1"/>
  <c r="G28" i="1"/>
  <c r="F28" i="1"/>
  <c r="H140" i="1"/>
  <c r="H390" i="1" s="1"/>
  <c r="H32" i="1"/>
  <c r="L140" i="1"/>
  <c r="L390" i="1" s="1"/>
  <c r="L32" i="1"/>
  <c r="P140" i="1"/>
  <c r="P390" i="1" s="1"/>
  <c r="P32" i="1"/>
  <c r="T140" i="1"/>
  <c r="T390" i="1" s="1"/>
  <c r="T32" i="1"/>
  <c r="X140" i="1"/>
  <c r="X390" i="1" s="1"/>
  <c r="X32" i="1"/>
  <c r="AB140" i="1"/>
  <c r="AB390" i="1" s="1"/>
  <c r="AB32" i="1"/>
  <c r="J138" i="1"/>
  <c r="N389" i="1"/>
  <c r="R389" i="1"/>
  <c r="D40" i="1"/>
  <c r="G40" i="1"/>
  <c r="F40" i="1"/>
  <c r="E38" i="1"/>
  <c r="H62" i="1"/>
  <c r="H125" i="1"/>
  <c r="L62" i="1"/>
  <c r="L125" i="1"/>
  <c r="P62" i="1"/>
  <c r="P125" i="1"/>
  <c r="C77" i="1"/>
  <c r="C139" i="1" s="1"/>
  <c r="E77" i="1"/>
  <c r="I74" i="1"/>
  <c r="B77" i="1"/>
  <c r="B139" i="1" s="1"/>
  <c r="V74" i="1"/>
  <c r="V126" i="1"/>
  <c r="AD126" i="1"/>
  <c r="L129" i="1"/>
  <c r="P129" i="1"/>
  <c r="T129" i="1"/>
  <c r="AB129" i="1"/>
  <c r="D132" i="1"/>
  <c r="E25" i="1"/>
  <c r="B27" i="1"/>
  <c r="K138" i="1"/>
  <c r="O138" i="1"/>
  <c r="X138" i="1"/>
  <c r="AB138" i="1"/>
  <c r="B142" i="1"/>
  <c r="C38" i="1"/>
  <c r="G53" i="1"/>
  <c r="F58" i="1"/>
  <c r="AE62" i="1"/>
  <c r="AE141" i="1"/>
  <c r="AE391" i="1" s="1"/>
  <c r="AA75" i="1"/>
  <c r="AA74" i="1" s="1"/>
  <c r="E81" i="1"/>
  <c r="AA80" i="1"/>
  <c r="B128" i="1"/>
  <c r="G65" i="1"/>
  <c r="F65" i="1"/>
  <c r="C63" i="1"/>
  <c r="C68" i="1"/>
  <c r="G68" i="1" s="1"/>
  <c r="D70" i="1"/>
  <c r="D64" i="1" s="1"/>
  <c r="D62" i="1" s="1"/>
  <c r="E64" i="1"/>
  <c r="E141" i="1" s="1"/>
  <c r="G70" i="1"/>
  <c r="U125" i="1"/>
  <c r="Y125" i="1"/>
  <c r="K125" i="1"/>
  <c r="O125" i="1"/>
  <c r="I126" i="1"/>
  <c r="I98" i="1"/>
  <c r="M126" i="1"/>
  <c r="M98" i="1"/>
  <c r="Q126" i="1"/>
  <c r="Q98" i="1"/>
  <c r="X126" i="1"/>
  <c r="AB126" i="1"/>
  <c r="K128" i="1"/>
  <c r="O128" i="1"/>
  <c r="W128" i="1"/>
  <c r="AA128" i="1"/>
  <c r="AE128" i="1"/>
  <c r="J129" i="1"/>
  <c r="N129" i="1"/>
  <c r="R129" i="1"/>
  <c r="V129" i="1"/>
  <c r="Z129" i="1"/>
  <c r="AD129" i="1"/>
  <c r="F108" i="1"/>
  <c r="G116" i="1"/>
  <c r="C121" i="1"/>
  <c r="B121" i="1"/>
  <c r="G122" i="1"/>
  <c r="F122" i="1"/>
  <c r="H143" i="1"/>
  <c r="C150" i="1"/>
  <c r="C168" i="1" s="1"/>
  <c r="C392" i="1" s="1"/>
  <c r="H168" i="1"/>
  <c r="H392" i="1" s="1"/>
  <c r="B150" i="1"/>
  <c r="B168" i="1" s="1"/>
  <c r="G154" i="1"/>
  <c r="I164" i="1"/>
  <c r="I157" i="1" s="1"/>
  <c r="Q164" i="1"/>
  <c r="Q157" i="1" s="1"/>
  <c r="Y164" i="1"/>
  <c r="Y157" i="1" s="1"/>
  <c r="N247" i="1"/>
  <c r="N244" i="1" s="1"/>
  <c r="N172" i="1"/>
  <c r="R247" i="1"/>
  <c r="R244" i="1" s="1"/>
  <c r="R172" i="1"/>
  <c r="V247" i="1"/>
  <c r="V244" i="1" s="1"/>
  <c r="V172" i="1"/>
  <c r="AD247" i="1"/>
  <c r="AD244" i="1" s="1"/>
  <c r="AD172" i="1"/>
  <c r="AB179" i="1"/>
  <c r="L250" i="1"/>
  <c r="AB250" i="1"/>
  <c r="C241" i="1"/>
  <c r="G213" i="1"/>
  <c r="F213" i="1"/>
  <c r="K227" i="1"/>
  <c r="K239" i="1"/>
  <c r="O227" i="1"/>
  <c r="O239" i="1"/>
  <c r="W227" i="1"/>
  <c r="W239" i="1"/>
  <c r="W238" i="1" s="1"/>
  <c r="AA239" i="1"/>
  <c r="AE227" i="1"/>
  <c r="AE239" i="1"/>
  <c r="AE238" i="1" s="1"/>
  <c r="S239" i="1"/>
  <c r="P366" i="1"/>
  <c r="AG70" i="1"/>
  <c r="C64" i="1"/>
  <c r="F72" i="1"/>
  <c r="H74" i="1"/>
  <c r="L74" i="1"/>
  <c r="D84" i="1"/>
  <c r="D78" i="1" s="1"/>
  <c r="G84" i="1"/>
  <c r="F84" i="1"/>
  <c r="C87" i="1"/>
  <c r="G87" i="1" s="1"/>
  <c r="N75" i="1"/>
  <c r="N74" i="1" s="1"/>
  <c r="B87" i="1"/>
  <c r="B75" i="1" s="1"/>
  <c r="B140" i="1" s="1"/>
  <c r="Z125" i="1"/>
  <c r="AE125" i="1"/>
  <c r="AE98" i="1"/>
  <c r="U126" i="1"/>
  <c r="Y126" i="1"/>
  <c r="AC126" i="1"/>
  <c r="H128" i="1"/>
  <c r="L128" i="1"/>
  <c r="P128" i="1"/>
  <c r="T128" i="1"/>
  <c r="X128" i="1"/>
  <c r="AB128" i="1"/>
  <c r="K129" i="1"/>
  <c r="O129" i="1"/>
  <c r="S129" i="1"/>
  <c r="W129" i="1"/>
  <c r="AA129" i="1"/>
  <c r="AE129" i="1"/>
  <c r="C106" i="1"/>
  <c r="V99" i="1"/>
  <c r="V140" i="1" s="1"/>
  <c r="B106" i="1"/>
  <c r="B99" i="1" s="1"/>
  <c r="C107" i="1"/>
  <c r="C100" i="1" s="1"/>
  <c r="B107" i="1"/>
  <c r="B100" i="1" s="1"/>
  <c r="R100" i="1"/>
  <c r="R126" i="1" s="1"/>
  <c r="E158" i="1"/>
  <c r="D110" i="1"/>
  <c r="D103" i="1" s="1"/>
  <c r="D129" i="1" s="1"/>
  <c r="G110" i="1"/>
  <c r="F110" i="1"/>
  <c r="E103" i="1"/>
  <c r="D113" i="1"/>
  <c r="D112" i="1" s="1"/>
  <c r="G113" i="1"/>
  <c r="E112" i="1"/>
  <c r="F113" i="1"/>
  <c r="J126" i="1"/>
  <c r="AE138" i="1"/>
  <c r="E152" i="1"/>
  <c r="G153" i="1"/>
  <c r="F153" i="1"/>
  <c r="B158" i="1"/>
  <c r="L164" i="1"/>
  <c r="L157" i="1" s="1"/>
  <c r="T164" i="1"/>
  <c r="T157" i="1" s="1"/>
  <c r="AB164" i="1"/>
  <c r="AB157" i="1" s="1"/>
  <c r="G207" i="1"/>
  <c r="E203" i="1"/>
  <c r="E201" i="1"/>
  <c r="E242" i="1" s="1"/>
  <c r="F207" i="1"/>
  <c r="G57" i="1"/>
  <c r="G63" i="1"/>
  <c r="S125" i="1"/>
  <c r="B70" i="1"/>
  <c r="B64" i="1" s="1"/>
  <c r="N68" i="1"/>
  <c r="B68" i="1" s="1"/>
  <c r="F68" i="1" s="1"/>
  <c r="Z64" i="1"/>
  <c r="Z62" i="1" s="1"/>
  <c r="Z68" i="1"/>
  <c r="G71" i="1"/>
  <c r="AB74" i="1"/>
  <c r="K126" i="1"/>
  <c r="O126" i="1"/>
  <c r="AD74" i="1"/>
  <c r="I125" i="1"/>
  <c r="M125" i="1"/>
  <c r="Q125" i="1"/>
  <c r="W125" i="1"/>
  <c r="W98" i="1"/>
  <c r="AA125" i="1"/>
  <c r="AA98" i="1"/>
  <c r="G100" i="1"/>
  <c r="F100" i="1"/>
  <c r="Z98" i="1"/>
  <c r="I128" i="1"/>
  <c r="M128" i="1"/>
  <c r="Q128" i="1"/>
  <c r="U128" i="1"/>
  <c r="Y128" i="1"/>
  <c r="AC128" i="1"/>
  <c r="R105" i="1"/>
  <c r="B105" i="1" s="1"/>
  <c r="AD125" i="1"/>
  <c r="AD124" i="1" s="1"/>
  <c r="AD98" i="1"/>
  <c r="C112" i="1"/>
  <c r="C129" i="1"/>
  <c r="D121" i="1"/>
  <c r="D119" i="1" s="1"/>
  <c r="G121" i="1"/>
  <c r="F121" i="1"/>
  <c r="E119" i="1"/>
  <c r="AB125" i="1"/>
  <c r="AB124" i="1" s="1"/>
  <c r="S138" i="1"/>
  <c r="U390" i="1"/>
  <c r="L146" i="1"/>
  <c r="L143" i="1" s="1"/>
  <c r="T146" i="1"/>
  <c r="T143" i="1" s="1"/>
  <c r="AB146" i="1"/>
  <c r="AB143" i="1" s="1"/>
  <c r="J146" i="1"/>
  <c r="J143" i="1" s="1"/>
  <c r="N146" i="1"/>
  <c r="N143" i="1" s="1"/>
  <c r="R146" i="1"/>
  <c r="R143" i="1" s="1"/>
  <c r="V146" i="1"/>
  <c r="V143" i="1" s="1"/>
  <c r="Z146" i="1"/>
  <c r="Z143" i="1" s="1"/>
  <c r="AD146" i="1"/>
  <c r="AD143" i="1" s="1"/>
  <c r="C148" i="1"/>
  <c r="C167" i="1" s="1"/>
  <c r="B148" i="1"/>
  <c r="B167" i="1" s="1"/>
  <c r="B149" i="1"/>
  <c r="B165" i="1" s="1"/>
  <c r="B164" i="1" s="1"/>
  <c r="D164" i="1"/>
  <c r="D157" i="1" s="1"/>
  <c r="M164" i="1"/>
  <c r="M157" i="1" s="1"/>
  <c r="U164" i="1"/>
  <c r="U157" i="1" s="1"/>
  <c r="AC164" i="1"/>
  <c r="AC157" i="1" s="1"/>
  <c r="N166" i="1"/>
  <c r="N164" i="1" s="1"/>
  <c r="N157" i="1" s="1"/>
  <c r="AD166" i="1"/>
  <c r="AD164" i="1" s="1"/>
  <c r="AD157" i="1" s="1"/>
  <c r="B247" i="1"/>
  <c r="B244" i="1" s="1"/>
  <c r="F244" i="1" s="1"/>
  <c r="B172" i="1"/>
  <c r="F172" i="1" s="1"/>
  <c r="D175" i="1"/>
  <c r="D173" i="1"/>
  <c r="L179" i="1"/>
  <c r="J252" i="1"/>
  <c r="J390" i="1" s="1"/>
  <c r="J179" i="1"/>
  <c r="B180" i="1"/>
  <c r="B252" i="1" s="1"/>
  <c r="N252" i="1"/>
  <c r="N179" i="1"/>
  <c r="R252" i="1"/>
  <c r="R390" i="1" s="1"/>
  <c r="R179" i="1"/>
  <c r="V252" i="1"/>
  <c r="V250" i="1" s="1"/>
  <c r="V179" i="1"/>
  <c r="Z252" i="1"/>
  <c r="Z390" i="1" s="1"/>
  <c r="Z179" i="1"/>
  <c r="AD252" i="1"/>
  <c r="AD179" i="1"/>
  <c r="E185" i="1"/>
  <c r="E180" i="1"/>
  <c r="G186" i="1"/>
  <c r="F186" i="1"/>
  <c r="J125" i="1"/>
  <c r="J124" i="1" s="1"/>
  <c r="J98" i="1"/>
  <c r="N125" i="1"/>
  <c r="N124" i="1" s="1"/>
  <c r="N98" i="1"/>
  <c r="R125" i="1"/>
  <c r="R124" i="1" s="1"/>
  <c r="R98" i="1"/>
  <c r="H126" i="1"/>
  <c r="L126" i="1"/>
  <c r="W126" i="1"/>
  <c r="AA126" i="1"/>
  <c r="AE126" i="1"/>
  <c r="D128" i="1"/>
  <c r="I129" i="1"/>
  <c r="M129" i="1"/>
  <c r="Q129" i="1"/>
  <c r="U129" i="1"/>
  <c r="Y129" i="1"/>
  <c r="AC129" i="1"/>
  <c r="D105" i="1"/>
  <c r="D99" i="1"/>
  <c r="D100" i="1"/>
  <c r="B129" i="1"/>
  <c r="C128" i="1"/>
  <c r="C119" i="1"/>
  <c r="W138" i="1"/>
  <c r="AA141" i="1"/>
  <c r="E166" i="1"/>
  <c r="G147" i="1"/>
  <c r="G168" i="1"/>
  <c r="H164" i="1"/>
  <c r="H157" i="1" s="1"/>
  <c r="P164" i="1"/>
  <c r="P157" i="1" s="1"/>
  <c r="F168" i="1"/>
  <c r="G175" i="1"/>
  <c r="F175" i="1"/>
  <c r="J251" i="1"/>
  <c r="J250" i="1" s="1"/>
  <c r="B182" i="1"/>
  <c r="B251" i="1" s="1"/>
  <c r="N250" i="1"/>
  <c r="R250" i="1"/>
  <c r="AD250" i="1"/>
  <c r="H254" i="1"/>
  <c r="B183" i="1"/>
  <c r="H179" i="1"/>
  <c r="P254" i="1"/>
  <c r="P392" i="1" s="1"/>
  <c r="P179" i="1"/>
  <c r="T254" i="1"/>
  <c r="T250" i="1" s="1"/>
  <c r="T242" i="1"/>
  <c r="X254" i="1"/>
  <c r="X392" i="1" s="1"/>
  <c r="X179" i="1"/>
  <c r="C242" i="1"/>
  <c r="I240" i="1"/>
  <c r="I238" i="1" s="1"/>
  <c r="I227" i="1"/>
  <c r="M227" i="1"/>
  <c r="M240" i="1"/>
  <c r="M238" i="1" s="1"/>
  <c r="Q240" i="1"/>
  <c r="Q238" i="1" s="1"/>
  <c r="Q227" i="1"/>
  <c r="V240" i="1"/>
  <c r="V227" i="1"/>
  <c r="Z227" i="1"/>
  <c r="G93" i="1"/>
  <c r="G108" i="1"/>
  <c r="G117" i="1"/>
  <c r="E127" i="1"/>
  <c r="S128" i="1"/>
  <c r="C166" i="1"/>
  <c r="C164" i="1" s="1"/>
  <c r="C157" i="1" s="1"/>
  <c r="K166" i="1"/>
  <c r="K164" i="1" s="1"/>
  <c r="K157" i="1" s="1"/>
  <c r="O166" i="1"/>
  <c r="O164" i="1" s="1"/>
  <c r="O157" i="1" s="1"/>
  <c r="S166" i="1"/>
  <c r="S164" i="1" s="1"/>
  <c r="S157" i="1" s="1"/>
  <c r="W166" i="1"/>
  <c r="W164" i="1" s="1"/>
  <c r="W157" i="1" s="1"/>
  <c r="AA166" i="1"/>
  <c r="AA164" i="1" s="1"/>
  <c r="AA157" i="1" s="1"/>
  <c r="AE166" i="1"/>
  <c r="AE164" i="1" s="1"/>
  <c r="AE157" i="1" s="1"/>
  <c r="E167" i="1"/>
  <c r="C172" i="1"/>
  <c r="G172" i="1" s="1"/>
  <c r="C247" i="1"/>
  <c r="G173" i="1"/>
  <c r="K172" i="1"/>
  <c r="K247" i="1"/>
  <c r="K244" i="1" s="1"/>
  <c r="S172" i="1"/>
  <c r="S247" i="1"/>
  <c r="S244" i="1" s="1"/>
  <c r="AA172" i="1"/>
  <c r="AA247" i="1"/>
  <c r="AA244" i="1" s="1"/>
  <c r="V253" i="1"/>
  <c r="V391" i="1" s="1"/>
  <c r="C181" i="1"/>
  <c r="C185" i="1"/>
  <c r="C191" i="1"/>
  <c r="G194" i="1"/>
  <c r="S240" i="1"/>
  <c r="C205" i="1"/>
  <c r="Z203" i="1"/>
  <c r="B203" i="1" s="1"/>
  <c r="B205" i="1"/>
  <c r="Z199" i="1"/>
  <c r="D210" i="1"/>
  <c r="G210" i="1"/>
  <c r="E209" i="1"/>
  <c r="E198" i="1"/>
  <c r="F210" i="1"/>
  <c r="J240" i="1"/>
  <c r="N240" i="1"/>
  <c r="B239" i="1"/>
  <c r="B227" i="1"/>
  <c r="F234" i="1"/>
  <c r="AA233" i="1"/>
  <c r="E235" i="1"/>
  <c r="AA229" i="1"/>
  <c r="AA240" i="1" s="1"/>
  <c r="AB240" i="1"/>
  <c r="O247" i="1"/>
  <c r="O244" i="1" s="1"/>
  <c r="L371" i="1"/>
  <c r="P371" i="1"/>
  <c r="T371" i="1"/>
  <c r="AB371" i="1"/>
  <c r="T368" i="1"/>
  <c r="E35" i="1"/>
  <c r="E32" i="1" s="1"/>
  <c r="E44" i="1"/>
  <c r="F46" i="1"/>
  <c r="F53" i="1"/>
  <c r="F57" i="1"/>
  <c r="F60" i="1"/>
  <c r="F63" i="1"/>
  <c r="F71" i="1"/>
  <c r="P76" i="1"/>
  <c r="P141" i="1" s="1"/>
  <c r="P391" i="1" s="1"/>
  <c r="F78" i="1"/>
  <c r="P80" i="1"/>
  <c r="B80" i="1" s="1"/>
  <c r="F87" i="1"/>
  <c r="F88" i="1"/>
  <c r="F92" i="1"/>
  <c r="AG93" i="1"/>
  <c r="F94" i="1"/>
  <c r="T100" i="1"/>
  <c r="F101" i="1"/>
  <c r="F106" i="1"/>
  <c r="F107" i="1"/>
  <c r="F116" i="1"/>
  <c r="F123" i="1"/>
  <c r="F148" i="1"/>
  <c r="F150" i="1"/>
  <c r="F154" i="1"/>
  <c r="P250" i="1"/>
  <c r="X250" i="1"/>
  <c r="F187" i="1"/>
  <c r="F192" i="1"/>
  <c r="D193" i="1"/>
  <c r="D191" i="1" s="1"/>
  <c r="G193" i="1"/>
  <c r="F193" i="1"/>
  <c r="E181" i="1"/>
  <c r="H242" i="1"/>
  <c r="L242" i="1"/>
  <c r="P242" i="1"/>
  <c r="X242" i="1"/>
  <c r="AB242" i="1"/>
  <c r="B201" i="1"/>
  <c r="B242" i="1" s="1"/>
  <c r="F215" i="1"/>
  <c r="F218" i="1"/>
  <c r="F225" i="1"/>
  <c r="K240" i="1"/>
  <c r="O240" i="1"/>
  <c r="T240" i="1"/>
  <c r="X240" i="1"/>
  <c r="AC240" i="1"/>
  <c r="AC238" i="1" s="1"/>
  <c r="W247" i="1"/>
  <c r="W244" i="1" s="1"/>
  <c r="F262" i="1"/>
  <c r="K360" i="1"/>
  <c r="K273" i="1"/>
  <c r="K359" i="1" s="1"/>
  <c r="K358" i="1" s="1"/>
  <c r="O360" i="1"/>
  <c r="O273" i="1"/>
  <c r="O359" i="1" s="1"/>
  <c r="S360" i="1"/>
  <c r="S273" i="1"/>
  <c r="S359" i="1" s="1"/>
  <c r="S358" i="1" s="1"/>
  <c r="W360" i="1"/>
  <c r="W273" i="1"/>
  <c r="W359" i="1" s="1"/>
  <c r="AA360" i="1"/>
  <c r="AA273" i="1"/>
  <c r="AA359" i="1" s="1"/>
  <c r="AA358" i="1" s="1"/>
  <c r="AE360" i="1"/>
  <c r="AE273" i="1"/>
  <c r="AE359" i="1" s="1"/>
  <c r="H349" i="1"/>
  <c r="H367" i="1" s="1"/>
  <c r="L349" i="1"/>
  <c r="L367" i="1" s="1"/>
  <c r="P349" i="1"/>
  <c r="P367" i="1" s="1"/>
  <c r="T349" i="1"/>
  <c r="T367" i="1" s="1"/>
  <c r="X349" i="1"/>
  <c r="X367" i="1" s="1"/>
  <c r="AB349" i="1"/>
  <c r="AB367" i="1" s="1"/>
  <c r="B350" i="1"/>
  <c r="B368" i="1" s="1"/>
  <c r="E62" i="1"/>
  <c r="E76" i="1"/>
  <c r="E126" i="1" s="1"/>
  <c r="E86" i="1"/>
  <c r="K98" i="1"/>
  <c r="O98" i="1"/>
  <c r="E99" i="1"/>
  <c r="E102" i="1"/>
  <c r="E105" i="1"/>
  <c r="F109" i="1"/>
  <c r="K146" i="1"/>
  <c r="K143" i="1" s="1"/>
  <c r="E149" i="1"/>
  <c r="E146" i="1" s="1"/>
  <c r="G150" i="1"/>
  <c r="T172" i="1"/>
  <c r="H253" i="1"/>
  <c r="H391" i="1" s="1"/>
  <c r="B181" i="1"/>
  <c r="G187" i="1"/>
  <c r="D203" i="1"/>
  <c r="F222" i="1"/>
  <c r="D223" i="1"/>
  <c r="D221" i="1" s="1"/>
  <c r="G223" i="1"/>
  <c r="F223" i="1"/>
  <c r="F228" i="1"/>
  <c r="J239" i="1"/>
  <c r="N239" i="1"/>
  <c r="R239" i="1"/>
  <c r="V239" i="1"/>
  <c r="Z239" i="1"/>
  <c r="AD239" i="1"/>
  <c r="H240" i="1"/>
  <c r="L240" i="1"/>
  <c r="P240" i="1"/>
  <c r="U240" i="1"/>
  <c r="U238" i="1" s="1"/>
  <c r="AD240" i="1"/>
  <c r="AD365" i="1" s="1"/>
  <c r="AD227" i="1"/>
  <c r="AE247" i="1"/>
  <c r="AE244" i="1" s="1"/>
  <c r="C371" i="1"/>
  <c r="C352" i="1"/>
  <c r="AG291" i="1"/>
  <c r="G291" i="1"/>
  <c r="H297" i="1"/>
  <c r="P297" i="1"/>
  <c r="X297" i="1"/>
  <c r="F314" i="1"/>
  <c r="B301" i="1"/>
  <c r="F301" i="1" s="1"/>
  <c r="H371" i="1"/>
  <c r="G176" i="1"/>
  <c r="C252" i="1"/>
  <c r="K252" i="1"/>
  <c r="K250" i="1" s="1"/>
  <c r="O252" i="1"/>
  <c r="O250" i="1" s="1"/>
  <c r="S252" i="1"/>
  <c r="S250" i="1" s="1"/>
  <c r="W252" i="1"/>
  <c r="W250" i="1" s="1"/>
  <c r="AA252" i="1"/>
  <c r="AA250" i="1" s="1"/>
  <c r="AE252" i="1"/>
  <c r="AE250" i="1" s="1"/>
  <c r="I253" i="1"/>
  <c r="I391" i="1" s="1"/>
  <c r="M253" i="1"/>
  <c r="M391" i="1" s="1"/>
  <c r="Q253" i="1"/>
  <c r="Q250" i="1" s="1"/>
  <c r="U253" i="1"/>
  <c r="U391" i="1" s="1"/>
  <c r="Y253" i="1"/>
  <c r="Y391" i="1" s="1"/>
  <c r="AC253" i="1"/>
  <c r="AC391" i="1" s="1"/>
  <c r="E254" i="1"/>
  <c r="I254" i="1"/>
  <c r="I392" i="1" s="1"/>
  <c r="M254" i="1"/>
  <c r="M392" i="1" s="1"/>
  <c r="Q254" i="1"/>
  <c r="Q392" i="1" s="1"/>
  <c r="U254" i="1"/>
  <c r="U392" i="1" s="1"/>
  <c r="Y254" i="1"/>
  <c r="Y392" i="1" s="1"/>
  <c r="AC254" i="1"/>
  <c r="AC392" i="1" s="1"/>
  <c r="D187" i="1"/>
  <c r="G189" i="1"/>
  <c r="E191" i="1"/>
  <c r="D241" i="1"/>
  <c r="J241" i="1"/>
  <c r="N241" i="1"/>
  <c r="R241" i="1"/>
  <c r="V241" i="1"/>
  <c r="Z241" i="1"/>
  <c r="AD241" i="1"/>
  <c r="D242" i="1"/>
  <c r="J242" i="1"/>
  <c r="N242" i="1"/>
  <c r="R242" i="1"/>
  <c r="V242" i="1"/>
  <c r="Z242" i="1"/>
  <c r="AD242" i="1"/>
  <c r="D211" i="1"/>
  <c r="D199" i="1" s="1"/>
  <c r="E221" i="1"/>
  <c r="R240" i="1"/>
  <c r="H239" i="1"/>
  <c r="H238" i="1" s="1"/>
  <c r="L239" i="1"/>
  <c r="L238" i="1" s="1"/>
  <c r="P239" i="1"/>
  <c r="P238" i="1" s="1"/>
  <c r="T239" i="1"/>
  <c r="T238" i="1" s="1"/>
  <c r="X239" i="1"/>
  <c r="X238" i="1" s="1"/>
  <c r="AB239" i="1"/>
  <c r="AB238" i="1" s="1"/>
  <c r="J258" i="1"/>
  <c r="R258" i="1"/>
  <c r="AD258" i="1"/>
  <c r="D354" i="1"/>
  <c r="D372" i="1" s="1"/>
  <c r="D258" i="1"/>
  <c r="D371" i="1"/>
  <c r="D352" i="1"/>
  <c r="C360" i="1"/>
  <c r="E361" i="1"/>
  <c r="C281" i="1"/>
  <c r="L275" i="1"/>
  <c r="B281" i="1"/>
  <c r="F300" i="1"/>
  <c r="B304" i="1"/>
  <c r="C304" i="1"/>
  <c r="H347" i="1"/>
  <c r="H365" i="1" s="1"/>
  <c r="L347" i="1"/>
  <c r="L365" i="1" s="1"/>
  <c r="P347" i="1"/>
  <c r="T347" i="1"/>
  <c r="X347" i="1"/>
  <c r="X365" i="1" s="1"/>
  <c r="AB347" i="1"/>
  <c r="AB365" i="1" s="1"/>
  <c r="B348" i="1"/>
  <c r="B366" i="1" s="1"/>
  <c r="H366" i="1"/>
  <c r="L366" i="1"/>
  <c r="T366" i="1"/>
  <c r="X366" i="1"/>
  <c r="AB366" i="1"/>
  <c r="B321" i="1"/>
  <c r="B353" i="1" s="1"/>
  <c r="L346" i="1"/>
  <c r="X371" i="1"/>
  <c r="E239" i="1"/>
  <c r="J371" i="1"/>
  <c r="J370" i="1" s="1"/>
  <c r="J352" i="1"/>
  <c r="N371" i="1"/>
  <c r="N352" i="1"/>
  <c r="R371" i="1"/>
  <c r="R352" i="1"/>
  <c r="Z371" i="1"/>
  <c r="Z370" i="1" s="1"/>
  <c r="Z352" i="1"/>
  <c r="AD371" i="1"/>
  <c r="AD352" i="1"/>
  <c r="Z361" i="1"/>
  <c r="Z273" i="1"/>
  <c r="Z359" i="1" s="1"/>
  <c r="AD361" i="1"/>
  <c r="AD391" i="1" s="1"/>
  <c r="AD273" i="1"/>
  <c r="AD359" i="1" s="1"/>
  <c r="B274" i="1"/>
  <c r="B279" i="1"/>
  <c r="F279" i="1" s="1"/>
  <c r="F280" i="1"/>
  <c r="D289" i="1"/>
  <c r="D277" i="1" s="1"/>
  <c r="D350" i="1" s="1"/>
  <c r="D368" i="1" s="1"/>
  <c r="E277" i="1"/>
  <c r="G289" i="1"/>
  <c r="E285" i="1"/>
  <c r="F289" i="1"/>
  <c r="D311" i="1"/>
  <c r="E298" i="1"/>
  <c r="G311" i="1"/>
  <c r="E310" i="1"/>
  <c r="H317" i="1"/>
  <c r="H346" i="1"/>
  <c r="P317" i="1"/>
  <c r="P346" i="1"/>
  <c r="T317" i="1"/>
  <c r="T346" i="1"/>
  <c r="X317" i="1"/>
  <c r="X346" i="1"/>
  <c r="F319" i="1"/>
  <c r="B317" i="1"/>
  <c r="F317" i="1" s="1"/>
  <c r="J367" i="1"/>
  <c r="N367" i="1"/>
  <c r="V367" i="1"/>
  <c r="Z367" i="1"/>
  <c r="AD367" i="1"/>
  <c r="AB346" i="1"/>
  <c r="V361" i="1"/>
  <c r="Q370" i="1"/>
  <c r="F247" i="1"/>
  <c r="C179" i="1"/>
  <c r="K179" i="1"/>
  <c r="O179" i="1"/>
  <c r="S179" i="1"/>
  <c r="W179" i="1"/>
  <c r="AA179" i="1"/>
  <c r="AE179" i="1"/>
  <c r="AA253" i="1"/>
  <c r="E182" i="1"/>
  <c r="Y251" i="1"/>
  <c r="Y250" i="1" s="1"/>
  <c r="AC251" i="1"/>
  <c r="AC250" i="1" s="1"/>
  <c r="G183" i="1"/>
  <c r="N258" i="1"/>
  <c r="V258" i="1"/>
  <c r="H354" i="1"/>
  <c r="H372" i="1" s="1"/>
  <c r="H258" i="1"/>
  <c r="L354" i="1"/>
  <c r="L372" i="1" s="1"/>
  <c r="L258" i="1"/>
  <c r="P354" i="1"/>
  <c r="P372" i="1" s="1"/>
  <c r="P258" i="1"/>
  <c r="T354" i="1"/>
  <c r="T372" i="1" s="1"/>
  <c r="T258" i="1"/>
  <c r="X354" i="1"/>
  <c r="X372" i="1" s="1"/>
  <c r="X258" i="1"/>
  <c r="AB354" i="1"/>
  <c r="AB372" i="1" s="1"/>
  <c r="AB258" i="1"/>
  <c r="F260" i="1"/>
  <c r="L279" i="1"/>
  <c r="F293" i="1"/>
  <c r="J347" i="1"/>
  <c r="J365" i="1" s="1"/>
  <c r="R347" i="1"/>
  <c r="R365" i="1" s="1"/>
  <c r="V347" i="1"/>
  <c r="V365" i="1" s="1"/>
  <c r="Z347" i="1"/>
  <c r="D348" i="1"/>
  <c r="D366" i="1" s="1"/>
  <c r="H368" i="1"/>
  <c r="L368" i="1"/>
  <c r="P368" i="1"/>
  <c r="X368" i="1"/>
  <c r="AB368" i="1"/>
  <c r="B324" i="1"/>
  <c r="F324" i="1" s="1"/>
  <c r="N347" i="1"/>
  <c r="N365" i="1" s="1"/>
  <c r="R367" i="1"/>
  <c r="V352" i="1"/>
  <c r="C258" i="1"/>
  <c r="G258" i="1" s="1"/>
  <c r="K258" i="1"/>
  <c r="O258" i="1"/>
  <c r="S258" i="1"/>
  <c r="E372" i="1"/>
  <c r="G354" i="1"/>
  <c r="G260" i="1"/>
  <c r="G262" i="1"/>
  <c r="K371" i="1"/>
  <c r="K352" i="1"/>
  <c r="O371" i="1"/>
  <c r="O352" i="1"/>
  <c r="S371" i="1"/>
  <c r="S352" i="1"/>
  <c r="W371" i="1"/>
  <c r="W352" i="1"/>
  <c r="AA371" i="1"/>
  <c r="AA352" i="1"/>
  <c r="AE371" i="1"/>
  <c r="AE352" i="1"/>
  <c r="E374" i="1"/>
  <c r="G356" i="1"/>
  <c r="C265" i="1"/>
  <c r="G265" i="1" s="1"/>
  <c r="T291" i="1"/>
  <c r="D293" i="1"/>
  <c r="D291" i="1" s="1"/>
  <c r="G300" i="1"/>
  <c r="E304" i="1"/>
  <c r="R317" i="1"/>
  <c r="C346" i="1"/>
  <c r="I346" i="1"/>
  <c r="M346" i="1"/>
  <c r="Q346" i="1"/>
  <c r="U346" i="1"/>
  <c r="Y346" i="1"/>
  <c r="AC346" i="1"/>
  <c r="I347" i="1"/>
  <c r="I365" i="1" s="1"/>
  <c r="M347" i="1"/>
  <c r="M365" i="1" s="1"/>
  <c r="Q347" i="1"/>
  <c r="Q365" i="1" s="1"/>
  <c r="U347" i="1"/>
  <c r="U365" i="1" s="1"/>
  <c r="Y347" i="1"/>
  <c r="Y365" i="1" s="1"/>
  <c r="AC347" i="1"/>
  <c r="AC365" i="1" s="1"/>
  <c r="C348" i="1"/>
  <c r="C366" i="1" s="1"/>
  <c r="I348" i="1"/>
  <c r="I366" i="1" s="1"/>
  <c r="M348" i="1"/>
  <c r="M366" i="1" s="1"/>
  <c r="Q348" i="1"/>
  <c r="Q366" i="1" s="1"/>
  <c r="U348" i="1"/>
  <c r="U366" i="1" s="1"/>
  <c r="Y348" i="1"/>
  <c r="Y366" i="1" s="1"/>
  <c r="AC348" i="1"/>
  <c r="AC366" i="1" s="1"/>
  <c r="C349" i="1"/>
  <c r="C367" i="1" s="1"/>
  <c r="I349" i="1"/>
  <c r="I367" i="1" s="1"/>
  <c r="M349" i="1"/>
  <c r="M367" i="1" s="1"/>
  <c r="Q349" i="1"/>
  <c r="Q367" i="1" s="1"/>
  <c r="U349" i="1"/>
  <c r="U367" i="1" s="1"/>
  <c r="Y349" i="1"/>
  <c r="Y367" i="1" s="1"/>
  <c r="AC349" i="1"/>
  <c r="AC367" i="1" s="1"/>
  <c r="C350" i="1"/>
  <c r="C368" i="1" s="1"/>
  <c r="I350" i="1"/>
  <c r="I368" i="1" s="1"/>
  <c r="M350" i="1"/>
  <c r="M368" i="1" s="1"/>
  <c r="Q350" i="1"/>
  <c r="Q368" i="1" s="1"/>
  <c r="U350" i="1"/>
  <c r="U368" i="1" s="1"/>
  <c r="Y350" i="1"/>
  <c r="Y368" i="1" s="1"/>
  <c r="AC350" i="1"/>
  <c r="AC368" i="1" s="1"/>
  <c r="B356" i="1"/>
  <c r="B374" i="1" s="1"/>
  <c r="F259" i="1"/>
  <c r="E360" i="1"/>
  <c r="T361" i="1"/>
  <c r="X361" i="1"/>
  <c r="X391" i="1" s="1"/>
  <c r="AB361" i="1"/>
  <c r="AB391" i="1" s="1"/>
  <c r="F287" i="1"/>
  <c r="B311" i="1"/>
  <c r="P310" i="1"/>
  <c r="C312" i="1"/>
  <c r="C299" i="1" s="1"/>
  <c r="B312" i="1"/>
  <c r="B299" i="1" s="1"/>
  <c r="D317" i="1"/>
  <c r="J346" i="1"/>
  <c r="N346" i="1"/>
  <c r="R346" i="1"/>
  <c r="V346" i="1"/>
  <c r="Z346" i="1"/>
  <c r="AD346" i="1"/>
  <c r="E347" i="1"/>
  <c r="J348" i="1"/>
  <c r="J366" i="1" s="1"/>
  <c r="N348" i="1"/>
  <c r="N366" i="1" s="1"/>
  <c r="R348" i="1"/>
  <c r="R366" i="1" s="1"/>
  <c r="V348" i="1"/>
  <c r="V366" i="1" s="1"/>
  <c r="Z348" i="1"/>
  <c r="Z366" i="1" s="1"/>
  <c r="AD348" i="1"/>
  <c r="AD366" i="1" s="1"/>
  <c r="E349" i="1"/>
  <c r="J350" i="1"/>
  <c r="J368" i="1" s="1"/>
  <c r="N350" i="1"/>
  <c r="N368" i="1" s="1"/>
  <c r="R350" i="1"/>
  <c r="R368" i="1" s="1"/>
  <c r="V350" i="1"/>
  <c r="V368" i="1" s="1"/>
  <c r="Z350" i="1"/>
  <c r="Z368" i="1" s="1"/>
  <c r="AD350" i="1"/>
  <c r="AD368" i="1" s="1"/>
  <c r="D349" i="1"/>
  <c r="D367" i="1" s="1"/>
  <c r="D331" i="1"/>
  <c r="F356" i="1"/>
  <c r="G259" i="1"/>
  <c r="G355" i="1"/>
  <c r="F355" i="1"/>
  <c r="E371" i="1"/>
  <c r="G353" i="1"/>
  <c r="E352" i="1"/>
  <c r="I371" i="1"/>
  <c r="I370" i="1" s="1"/>
  <c r="I352" i="1"/>
  <c r="M371" i="1"/>
  <c r="M370" i="1" s="1"/>
  <c r="M352" i="1"/>
  <c r="Q352" i="1"/>
  <c r="U371" i="1"/>
  <c r="U370" i="1" s="1"/>
  <c r="U352" i="1"/>
  <c r="Y352" i="1"/>
  <c r="Y371" i="1"/>
  <c r="Y370" i="1" s="1"/>
  <c r="AC371" i="1"/>
  <c r="AC370" i="1" s="1"/>
  <c r="AC352" i="1"/>
  <c r="G263" i="1"/>
  <c r="H359" i="1"/>
  <c r="H389" i="1" s="1"/>
  <c r="H388" i="1" s="1"/>
  <c r="P359" i="1"/>
  <c r="T359" i="1"/>
  <c r="T358" i="1" s="1"/>
  <c r="X359" i="1"/>
  <c r="X358" i="1" s="1"/>
  <c r="AB359" i="1"/>
  <c r="AB358" i="1" s="1"/>
  <c r="F274" i="1"/>
  <c r="J360" i="1"/>
  <c r="J358" i="1" s="1"/>
  <c r="N360" i="1"/>
  <c r="N358" i="1" s="1"/>
  <c r="R360" i="1"/>
  <c r="R358" i="1" s="1"/>
  <c r="V360" i="1"/>
  <c r="V358" i="1" s="1"/>
  <c r="Z360" i="1"/>
  <c r="AD360" i="1"/>
  <c r="H361" i="1"/>
  <c r="P361" i="1"/>
  <c r="G362" i="1"/>
  <c r="F362" i="1"/>
  <c r="J317" i="1"/>
  <c r="Z317" i="1"/>
  <c r="K346" i="1"/>
  <c r="O346" i="1"/>
  <c r="S346" i="1"/>
  <c r="W346" i="1"/>
  <c r="AA346" i="1"/>
  <c r="AE346" i="1"/>
  <c r="K347" i="1"/>
  <c r="K365" i="1" s="1"/>
  <c r="O347" i="1"/>
  <c r="O365" i="1" s="1"/>
  <c r="S347" i="1"/>
  <c r="S365" i="1" s="1"/>
  <c r="W347" i="1"/>
  <c r="W365" i="1" s="1"/>
  <c r="AA347" i="1"/>
  <c r="AA365" i="1" s="1"/>
  <c r="AE347" i="1"/>
  <c r="AE365" i="1" s="1"/>
  <c r="K348" i="1"/>
  <c r="K366" i="1" s="1"/>
  <c r="O348" i="1"/>
  <c r="O366" i="1" s="1"/>
  <c r="S348" i="1"/>
  <c r="S366" i="1" s="1"/>
  <c r="W348" i="1"/>
  <c r="W366" i="1" s="1"/>
  <c r="AA348" i="1"/>
  <c r="AA366" i="1" s="1"/>
  <c r="AE348" i="1"/>
  <c r="AE366" i="1" s="1"/>
  <c r="K349" i="1"/>
  <c r="K367" i="1" s="1"/>
  <c r="O349" i="1"/>
  <c r="O367" i="1" s="1"/>
  <c r="S349" i="1"/>
  <c r="S367" i="1" s="1"/>
  <c r="W349" i="1"/>
  <c r="W367" i="1" s="1"/>
  <c r="AA349" i="1"/>
  <c r="AA367" i="1" s="1"/>
  <c r="AE349" i="1"/>
  <c r="AE367" i="1" s="1"/>
  <c r="K350" i="1"/>
  <c r="K368" i="1" s="1"/>
  <c r="O350" i="1"/>
  <c r="O368" i="1" s="1"/>
  <c r="S350" i="1"/>
  <c r="S368" i="1" s="1"/>
  <c r="W350" i="1"/>
  <c r="W368" i="1" s="1"/>
  <c r="AA350" i="1"/>
  <c r="AA368" i="1" s="1"/>
  <c r="AE350" i="1"/>
  <c r="AE368" i="1" s="1"/>
  <c r="D338" i="1"/>
  <c r="F354" i="1"/>
  <c r="G313" i="1"/>
  <c r="G314" i="1"/>
  <c r="G319" i="1"/>
  <c r="G321" i="1"/>
  <c r="G326" i="1"/>
  <c r="G328" i="1"/>
  <c r="G333" i="1"/>
  <c r="G340" i="1"/>
  <c r="E346" i="1"/>
  <c r="E348" i="1"/>
  <c r="E350" i="1"/>
  <c r="G376" i="1"/>
  <c r="F376" i="1"/>
  <c r="F312" i="1"/>
  <c r="F318" i="1"/>
  <c r="F320" i="1"/>
  <c r="F322" i="1"/>
  <c r="F325" i="1"/>
  <c r="F327" i="1"/>
  <c r="F329" i="1"/>
  <c r="F332" i="1"/>
  <c r="F334" i="1"/>
  <c r="F336" i="1"/>
  <c r="F339" i="1"/>
  <c r="F341" i="1"/>
  <c r="F343" i="1"/>
  <c r="D13" i="2"/>
  <c r="D21" i="2" s="1"/>
  <c r="H21" i="2"/>
  <c r="H20" i="2"/>
  <c r="H19" i="2"/>
  <c r="F21" i="2"/>
  <c r="E21" i="2"/>
  <c r="F20" i="2"/>
  <c r="E20" i="2"/>
  <c r="F19" i="2"/>
  <c r="E19" i="2"/>
  <c r="D20" i="2"/>
  <c r="D19" i="2"/>
  <c r="F299" i="1" l="1"/>
  <c r="B371" i="1"/>
  <c r="B352" i="1"/>
  <c r="F353" i="1"/>
  <c r="V390" i="1"/>
  <c r="V138" i="1"/>
  <c r="G299" i="1"/>
  <c r="C297" i="1"/>
  <c r="E143" i="1"/>
  <c r="G348" i="1"/>
  <c r="F348" i="1"/>
  <c r="E366" i="1"/>
  <c r="AE364" i="1"/>
  <c r="AE363" i="1" s="1"/>
  <c r="AE345" i="1"/>
  <c r="O364" i="1"/>
  <c r="O363" i="1" s="1"/>
  <c r="O345" i="1"/>
  <c r="V345" i="1"/>
  <c r="B310" i="1"/>
  <c r="B298" i="1"/>
  <c r="AC345" i="1"/>
  <c r="AC364" i="1"/>
  <c r="AC363" i="1" s="1"/>
  <c r="M345" i="1"/>
  <c r="M364" i="1"/>
  <c r="M363" i="1" s="1"/>
  <c r="G312" i="1"/>
  <c r="T364" i="1"/>
  <c r="T345" i="1"/>
  <c r="H364" i="1"/>
  <c r="H363" i="1" s="1"/>
  <c r="H345" i="1"/>
  <c r="X352" i="1"/>
  <c r="C310" i="1"/>
  <c r="L361" i="1"/>
  <c r="L391" i="1" s="1"/>
  <c r="L273" i="1"/>
  <c r="D185" i="1"/>
  <c r="D181" i="1"/>
  <c r="V238" i="1"/>
  <c r="M250" i="1"/>
  <c r="AE358" i="1"/>
  <c r="W358" i="1"/>
  <c r="O358" i="1"/>
  <c r="T352" i="1"/>
  <c r="L352" i="1"/>
  <c r="C244" i="1"/>
  <c r="G244" i="1" s="1"/>
  <c r="G247" i="1"/>
  <c r="B254" i="1"/>
  <c r="F183" i="1"/>
  <c r="D98" i="1"/>
  <c r="P126" i="1"/>
  <c r="E252" i="1"/>
  <c r="G180" i="1"/>
  <c r="E179" i="1"/>
  <c r="F180" i="1"/>
  <c r="D247" i="1"/>
  <c r="D172" i="1"/>
  <c r="G119" i="1"/>
  <c r="F119" i="1"/>
  <c r="AA124" i="1"/>
  <c r="M124" i="1"/>
  <c r="S124" i="1"/>
  <c r="G148" i="1"/>
  <c r="AE389" i="1"/>
  <c r="C105" i="1"/>
  <c r="C99" i="1"/>
  <c r="K238" i="1"/>
  <c r="P74" i="1"/>
  <c r="AB389" i="1"/>
  <c r="AB388" i="1" s="1"/>
  <c r="T389" i="1"/>
  <c r="K389" i="1"/>
  <c r="R141" i="1"/>
  <c r="V373" i="1"/>
  <c r="V370" i="1" s="1"/>
  <c r="G77" i="1"/>
  <c r="F77" i="1"/>
  <c r="G38" i="1"/>
  <c r="F38" i="1"/>
  <c r="Q391" i="1"/>
  <c r="AE390" i="1"/>
  <c r="W390" i="1"/>
  <c r="O390" i="1"/>
  <c r="AC124" i="1"/>
  <c r="AC389" i="1"/>
  <c r="AC388" i="1" s="1"/>
  <c r="U388" i="1"/>
  <c r="AD390" i="1"/>
  <c r="N140" i="1"/>
  <c r="S373" i="1"/>
  <c r="AA364" i="1"/>
  <c r="AA363" i="1" s="1"/>
  <c r="AA345" i="1"/>
  <c r="K364" i="1"/>
  <c r="K363" i="1" s="1"/>
  <c r="K345" i="1"/>
  <c r="G352" i="1"/>
  <c r="F352" i="1"/>
  <c r="R364" i="1"/>
  <c r="R363" i="1" s="1"/>
  <c r="R345" i="1"/>
  <c r="G360" i="1"/>
  <c r="Y364" i="1"/>
  <c r="Y363" i="1" s="1"/>
  <c r="Y345" i="1"/>
  <c r="I364" i="1"/>
  <c r="I363" i="1" s="1"/>
  <c r="I345" i="1"/>
  <c r="G304" i="1"/>
  <c r="F304" i="1"/>
  <c r="E251" i="1"/>
  <c r="G182" i="1"/>
  <c r="F182" i="1"/>
  <c r="AB364" i="1"/>
  <c r="AB363" i="1" s="1"/>
  <c r="AB345" i="1"/>
  <c r="G298" i="1"/>
  <c r="E297" i="1"/>
  <c r="F298" i="1"/>
  <c r="F285" i="1"/>
  <c r="G285" i="1"/>
  <c r="AD358" i="1"/>
  <c r="X370" i="1"/>
  <c r="P365" i="1"/>
  <c r="C279" i="1"/>
  <c r="G279" i="1" s="1"/>
  <c r="C275" i="1"/>
  <c r="R238" i="1"/>
  <c r="I250" i="1"/>
  <c r="G105" i="1"/>
  <c r="F105" i="1"/>
  <c r="T370" i="1"/>
  <c r="L370" i="1"/>
  <c r="G235" i="1"/>
  <c r="AG235" i="1"/>
  <c r="F235" i="1"/>
  <c r="E233" i="1"/>
  <c r="E229" i="1"/>
  <c r="D235" i="1"/>
  <c r="D209" i="1"/>
  <c r="D198" i="1"/>
  <c r="C199" i="1"/>
  <c r="C203" i="1"/>
  <c r="C253" i="1"/>
  <c r="C250" i="1" s="1"/>
  <c r="B157" i="1"/>
  <c r="AA391" i="1"/>
  <c r="G281" i="1"/>
  <c r="G185" i="1"/>
  <c r="F185" i="1"/>
  <c r="I124" i="1"/>
  <c r="G205" i="1"/>
  <c r="G152" i="1"/>
  <c r="F152" i="1"/>
  <c r="C146" i="1"/>
  <c r="C143" i="1" s="1"/>
  <c r="AE124" i="1"/>
  <c r="AG87" i="1"/>
  <c r="C86" i="1"/>
  <c r="C75" i="1"/>
  <c r="C74" i="1" s="1"/>
  <c r="G107" i="1"/>
  <c r="F70" i="1"/>
  <c r="F27" i="1"/>
  <c r="B15" i="1"/>
  <c r="B126" i="1" s="1"/>
  <c r="F126" i="1" s="1"/>
  <c r="R373" i="1"/>
  <c r="R370" i="1" s="1"/>
  <c r="P124" i="1"/>
  <c r="H124" i="1"/>
  <c r="B32" i="1"/>
  <c r="F32" i="1" s="1"/>
  <c r="AD389" i="1"/>
  <c r="AD388" i="1" s="1"/>
  <c r="V388" i="1"/>
  <c r="M388" i="1"/>
  <c r="X124" i="1"/>
  <c r="B141" i="1"/>
  <c r="B138" i="1" s="1"/>
  <c r="P138" i="1"/>
  <c r="H138" i="1"/>
  <c r="AE373" i="1"/>
  <c r="AE370" i="1" s="1"/>
  <c r="O373" i="1"/>
  <c r="O370" i="1" s="1"/>
  <c r="E135" i="1"/>
  <c r="F15" i="1"/>
  <c r="W364" i="1"/>
  <c r="W363" i="1" s="1"/>
  <c r="W345" i="1"/>
  <c r="P358" i="1"/>
  <c r="G349" i="1"/>
  <c r="AD364" i="1"/>
  <c r="AD363" i="1" s="1"/>
  <c r="AD345" i="1"/>
  <c r="N364" i="1"/>
  <c r="N363" i="1" s="1"/>
  <c r="N345" i="1"/>
  <c r="U345" i="1"/>
  <c r="U364" i="1"/>
  <c r="U363" i="1" s="1"/>
  <c r="B258" i="1"/>
  <c r="F258" i="1" s="1"/>
  <c r="X364" i="1"/>
  <c r="X363" i="1" s="1"/>
  <c r="X345" i="1"/>
  <c r="P364" i="1"/>
  <c r="P363" i="1" s="1"/>
  <c r="P345" i="1"/>
  <c r="D298" i="1"/>
  <c r="D310" i="1"/>
  <c r="L364" i="1"/>
  <c r="L363" i="1" s="1"/>
  <c r="L345" i="1"/>
  <c r="D285" i="1"/>
  <c r="G221" i="1"/>
  <c r="F221" i="1"/>
  <c r="G191" i="1"/>
  <c r="F191" i="1"/>
  <c r="H352" i="1"/>
  <c r="AD238" i="1"/>
  <c r="N238" i="1"/>
  <c r="U250" i="1"/>
  <c r="E165" i="1"/>
  <c r="G149" i="1"/>
  <c r="F149" i="1"/>
  <c r="E128" i="1"/>
  <c r="G102" i="1"/>
  <c r="F102" i="1"/>
  <c r="G86" i="1"/>
  <c r="F86" i="1"/>
  <c r="E253" i="1"/>
  <c r="G181" i="1"/>
  <c r="F181" i="1"/>
  <c r="H250" i="1"/>
  <c r="F44" i="1"/>
  <c r="G44" i="1"/>
  <c r="AB352" i="1"/>
  <c r="P352" i="1"/>
  <c r="F198" i="1"/>
  <c r="E197" i="1"/>
  <c r="G198" i="1"/>
  <c r="Z197" i="1"/>
  <c r="B197" i="1" s="1"/>
  <c r="Z253" i="1"/>
  <c r="Z250" i="1" s="1"/>
  <c r="G167" i="1"/>
  <c r="F167" i="1"/>
  <c r="Z240" i="1"/>
  <c r="Z365" i="1" s="1"/>
  <c r="G166" i="1"/>
  <c r="F166" i="1"/>
  <c r="S389" i="1"/>
  <c r="W124" i="1"/>
  <c r="G103" i="1"/>
  <c r="F103" i="1"/>
  <c r="E129" i="1"/>
  <c r="G158" i="1"/>
  <c r="F158" i="1"/>
  <c r="B125" i="1"/>
  <c r="B98" i="1"/>
  <c r="B74" i="1"/>
  <c r="AA238" i="1"/>
  <c r="O238" i="1"/>
  <c r="B146" i="1"/>
  <c r="F146" i="1" s="1"/>
  <c r="AA389" i="1"/>
  <c r="G106" i="1"/>
  <c r="O124" i="1"/>
  <c r="Y124" i="1"/>
  <c r="C62" i="1"/>
  <c r="G62" i="1" s="1"/>
  <c r="B392" i="1"/>
  <c r="X389" i="1"/>
  <c r="X388" i="1" s="1"/>
  <c r="O389" i="1"/>
  <c r="O388" i="1" s="1"/>
  <c r="Z141" i="1"/>
  <c r="G25" i="1"/>
  <c r="F25" i="1"/>
  <c r="N373" i="1"/>
  <c r="D68" i="1"/>
  <c r="B62" i="1"/>
  <c r="F62" i="1" s="1"/>
  <c r="J389" i="1"/>
  <c r="J388" i="1" s="1"/>
  <c r="E142" i="1"/>
  <c r="G36" i="1"/>
  <c r="F36" i="1"/>
  <c r="AA140" i="1"/>
  <c r="S390" i="1"/>
  <c r="K390" i="1"/>
  <c r="Y389" i="1"/>
  <c r="Y388" i="1" s="1"/>
  <c r="P389" i="1"/>
  <c r="P388" i="1" s="1"/>
  <c r="AG27" i="1"/>
  <c r="G27" i="1"/>
  <c r="G19" i="1"/>
  <c r="F19" i="1"/>
  <c r="AA373" i="1"/>
  <c r="AA370" i="1" s="1"/>
  <c r="K373" i="1"/>
  <c r="E13" i="1"/>
  <c r="G346" i="1"/>
  <c r="E345" i="1"/>
  <c r="E368" i="1"/>
  <c r="G350" i="1"/>
  <c r="F350" i="1"/>
  <c r="S364" i="1"/>
  <c r="S363" i="1" s="1"/>
  <c r="S345" i="1"/>
  <c r="H358" i="1"/>
  <c r="G371" i="1"/>
  <c r="F371" i="1"/>
  <c r="Z364" i="1"/>
  <c r="Z345" i="1"/>
  <c r="J364" i="1"/>
  <c r="J363" i="1" s="1"/>
  <c r="J345" i="1"/>
  <c r="Q345" i="1"/>
  <c r="Q364" i="1"/>
  <c r="Q363" i="1" s="1"/>
  <c r="F374" i="1"/>
  <c r="G374" i="1"/>
  <c r="S370" i="1"/>
  <c r="K370" i="1"/>
  <c r="G372" i="1"/>
  <c r="F372" i="1"/>
  <c r="D275" i="1"/>
  <c r="G310" i="1"/>
  <c r="F310" i="1"/>
  <c r="F311" i="1"/>
  <c r="G277" i="1"/>
  <c r="E273" i="1"/>
  <c r="F277" i="1"/>
  <c r="B360" i="1"/>
  <c r="F360" i="1" s="1"/>
  <c r="Z358" i="1"/>
  <c r="N370" i="1"/>
  <c r="F239" i="1"/>
  <c r="G239" i="1"/>
  <c r="F321" i="1"/>
  <c r="B349" i="1"/>
  <c r="F281" i="1"/>
  <c r="B275" i="1"/>
  <c r="G254" i="1"/>
  <c r="F254" i="1"/>
  <c r="H370" i="1"/>
  <c r="Z238" i="1"/>
  <c r="J238" i="1"/>
  <c r="B238" i="1" s="1"/>
  <c r="E241" i="1"/>
  <c r="E367" i="1" s="1"/>
  <c r="G99" i="1"/>
  <c r="E98" i="1"/>
  <c r="F99" i="1"/>
  <c r="G76" i="1"/>
  <c r="F76" i="1"/>
  <c r="T126" i="1"/>
  <c r="T365" i="1" s="1"/>
  <c r="T98" i="1"/>
  <c r="F35" i="1"/>
  <c r="E139" i="1"/>
  <c r="G35" i="1"/>
  <c r="AB370" i="1"/>
  <c r="P370" i="1"/>
  <c r="F209" i="1"/>
  <c r="G209" i="1"/>
  <c r="F205" i="1"/>
  <c r="B199" i="1"/>
  <c r="B253" i="1" s="1"/>
  <c r="B250" i="1" s="1"/>
  <c r="G127" i="1"/>
  <c r="F127" i="1"/>
  <c r="B241" i="1"/>
  <c r="B179" i="1"/>
  <c r="W389" i="1"/>
  <c r="W388" i="1" s="1"/>
  <c r="Q124" i="1"/>
  <c r="F203" i="1"/>
  <c r="G203" i="1"/>
  <c r="F112" i="1"/>
  <c r="G112" i="1"/>
  <c r="V125" i="1"/>
  <c r="V124" i="1" s="1"/>
  <c r="V98" i="1"/>
  <c r="S238" i="1"/>
  <c r="AA227" i="1"/>
  <c r="B143" i="1"/>
  <c r="K124" i="1"/>
  <c r="U124" i="1"/>
  <c r="G64" i="1"/>
  <c r="F64" i="1"/>
  <c r="F81" i="1"/>
  <c r="E80" i="1"/>
  <c r="E75" i="1"/>
  <c r="D81" i="1"/>
  <c r="G81" i="1"/>
  <c r="T392" i="1"/>
  <c r="AD373" i="1"/>
  <c r="AD370" i="1" s="1"/>
  <c r="Z126" i="1"/>
  <c r="Z124" i="1" s="1"/>
  <c r="L124" i="1"/>
  <c r="D34" i="1"/>
  <c r="D38" i="1"/>
  <c r="D142" i="1"/>
  <c r="D392" i="1" s="1"/>
  <c r="Z389" i="1"/>
  <c r="Q388" i="1"/>
  <c r="I388" i="1"/>
  <c r="T141" i="1"/>
  <c r="T124" i="1"/>
  <c r="F50" i="1"/>
  <c r="G50" i="1"/>
  <c r="AG40" i="1"/>
  <c r="C34" i="1"/>
  <c r="C126" i="1" s="1"/>
  <c r="G126" i="1" s="1"/>
  <c r="L138" i="1"/>
  <c r="W373" i="1"/>
  <c r="W370" i="1" s="1"/>
  <c r="C15" i="1"/>
  <c r="C135" i="1" s="1"/>
  <c r="B373" i="1"/>
  <c r="B132" i="1"/>
  <c r="G14" i="1"/>
  <c r="J4" i="2"/>
  <c r="G367" i="1" l="1"/>
  <c r="F75" i="1"/>
  <c r="E140" i="1"/>
  <c r="G75" i="1"/>
  <c r="E74" i="1"/>
  <c r="B367" i="1"/>
  <c r="F367" i="1" s="1"/>
  <c r="G368" i="1"/>
  <c r="F368" i="1"/>
  <c r="E392" i="1"/>
  <c r="G142" i="1"/>
  <c r="F142" i="1"/>
  <c r="Z391" i="1"/>
  <c r="Z138" i="1"/>
  <c r="F197" i="1"/>
  <c r="D229" i="1"/>
  <c r="D233" i="1"/>
  <c r="G251" i="1"/>
  <c r="E250" i="1"/>
  <c r="F251" i="1"/>
  <c r="N390" i="1"/>
  <c r="N388" i="1" s="1"/>
  <c r="N138" i="1"/>
  <c r="K388" i="1"/>
  <c r="AE388" i="1"/>
  <c r="D244" i="1"/>
  <c r="D373" i="1"/>
  <c r="D370" i="1" s="1"/>
  <c r="G252" i="1"/>
  <c r="F252" i="1"/>
  <c r="T363" i="1"/>
  <c r="B390" i="1"/>
  <c r="D141" i="1"/>
  <c r="D32" i="1"/>
  <c r="G80" i="1"/>
  <c r="F80" i="1"/>
  <c r="AG80" i="1"/>
  <c r="D126" i="1"/>
  <c r="F98" i="1"/>
  <c r="E359" i="1"/>
  <c r="F13" i="1"/>
  <c r="AA390" i="1"/>
  <c r="AA388" i="1" s="1"/>
  <c r="AA138" i="1"/>
  <c r="G253" i="1"/>
  <c r="F253" i="1"/>
  <c r="G165" i="1"/>
  <c r="E164" i="1"/>
  <c r="F165" i="1"/>
  <c r="G15" i="1"/>
  <c r="B124" i="1"/>
  <c r="G199" i="1"/>
  <c r="C240" i="1"/>
  <c r="C238" i="1" s="1"/>
  <c r="C197" i="1"/>
  <c r="G197" i="1" s="1"/>
  <c r="G229" i="1"/>
  <c r="F229" i="1"/>
  <c r="E227" i="1"/>
  <c r="E240" i="1"/>
  <c r="C361" i="1"/>
  <c r="G361" i="1" s="1"/>
  <c r="G275" i="1"/>
  <c r="C273" i="1"/>
  <c r="C359" i="1" s="1"/>
  <c r="C125" i="1"/>
  <c r="C98" i="1"/>
  <c r="G98" i="1" s="1"/>
  <c r="V364" i="1"/>
  <c r="V363" i="1" s="1"/>
  <c r="G146" i="1"/>
  <c r="B370" i="1"/>
  <c r="C141" i="1"/>
  <c r="C32" i="1"/>
  <c r="G32" i="1" s="1"/>
  <c r="G34" i="1"/>
  <c r="Z388" i="1"/>
  <c r="E389" i="1"/>
  <c r="F139" i="1"/>
  <c r="G139" i="1"/>
  <c r="E138" i="1"/>
  <c r="B361" i="1"/>
  <c r="F361" i="1" s="1"/>
  <c r="F275" i="1"/>
  <c r="D361" i="1"/>
  <c r="D273" i="1"/>
  <c r="D347" i="1"/>
  <c r="C13" i="1"/>
  <c r="G13" i="1" s="1"/>
  <c r="G129" i="1"/>
  <c r="F129" i="1"/>
  <c r="S388" i="1"/>
  <c r="G128" i="1"/>
  <c r="F128" i="1"/>
  <c r="F349" i="1"/>
  <c r="E373" i="1"/>
  <c r="G135" i="1"/>
  <c r="E132" i="1"/>
  <c r="F135" i="1"/>
  <c r="D197" i="1"/>
  <c r="D239" i="1"/>
  <c r="D252" i="1"/>
  <c r="G233" i="1"/>
  <c r="F233" i="1"/>
  <c r="G297" i="1"/>
  <c r="G179" i="1"/>
  <c r="F179" i="1"/>
  <c r="D253" i="1"/>
  <c r="D179" i="1"/>
  <c r="B297" i="1"/>
  <c r="F297" i="1" s="1"/>
  <c r="B346" i="1"/>
  <c r="G366" i="1"/>
  <c r="F366" i="1"/>
  <c r="F141" i="1"/>
  <c r="C140" i="1"/>
  <c r="B347" i="1"/>
  <c r="C373" i="1"/>
  <c r="C370" i="1" s="1"/>
  <c r="C132" i="1"/>
  <c r="T391" i="1"/>
  <c r="T388" i="1" s="1"/>
  <c r="T138" i="1"/>
  <c r="D80" i="1"/>
  <c r="D75" i="1"/>
  <c r="F199" i="1"/>
  <c r="B240" i="1"/>
  <c r="E125" i="1"/>
  <c r="Z363" i="1"/>
  <c r="D360" i="1"/>
  <c r="D297" i="1"/>
  <c r="D346" i="1"/>
  <c r="B391" i="1"/>
  <c r="R391" i="1"/>
  <c r="R388" i="1" s="1"/>
  <c r="R138" i="1"/>
  <c r="L359" i="1"/>
  <c r="B273" i="1"/>
  <c r="B359" i="1" s="1"/>
  <c r="E391" i="1"/>
  <c r="C347" i="1"/>
  <c r="H18" i="2"/>
  <c r="F18" i="2"/>
  <c r="E18" i="2"/>
  <c r="D18" i="2"/>
  <c r="G18" i="2" s="1"/>
  <c r="J17" i="2"/>
  <c r="I17" i="2"/>
  <c r="G17" i="2"/>
  <c r="J16" i="2"/>
  <c r="I16" i="2"/>
  <c r="G16" i="2"/>
  <c r="J15" i="2"/>
  <c r="G15" i="2"/>
  <c r="I13" i="2"/>
  <c r="B358" i="1" l="1"/>
  <c r="B389" i="1"/>
  <c r="B388" i="1" s="1"/>
  <c r="B365" i="1"/>
  <c r="F347" i="1"/>
  <c r="C358" i="1"/>
  <c r="C389" i="1"/>
  <c r="G227" i="1"/>
  <c r="F227" i="1"/>
  <c r="E390" i="1"/>
  <c r="G140" i="1"/>
  <c r="F140" i="1"/>
  <c r="C390" i="1"/>
  <c r="C138" i="1"/>
  <c r="B364" i="1"/>
  <c r="B363" i="1" s="1"/>
  <c r="B345" i="1"/>
  <c r="F345" i="1" s="1"/>
  <c r="F346" i="1"/>
  <c r="G373" i="1"/>
  <c r="F373" i="1"/>
  <c r="E370" i="1"/>
  <c r="F389" i="1"/>
  <c r="G389" i="1"/>
  <c r="E388" i="1"/>
  <c r="C391" i="1"/>
  <c r="G141" i="1"/>
  <c r="G164" i="1"/>
  <c r="E157" i="1"/>
  <c r="F164" i="1"/>
  <c r="F273" i="1"/>
  <c r="L358" i="1"/>
  <c r="L389" i="1"/>
  <c r="L388" i="1" s="1"/>
  <c r="C365" i="1"/>
  <c r="G347" i="1"/>
  <c r="C345" i="1"/>
  <c r="G345" i="1" s="1"/>
  <c r="D74" i="1"/>
  <c r="D140" i="1"/>
  <c r="D125" i="1"/>
  <c r="D124" i="1" s="1"/>
  <c r="D359" i="1"/>
  <c r="G138" i="1"/>
  <c r="F138" i="1"/>
  <c r="C124" i="1"/>
  <c r="C364" i="1"/>
  <c r="C363" i="1" s="1"/>
  <c r="G273" i="1"/>
  <c r="D240" i="1"/>
  <c r="D238" i="1" s="1"/>
  <c r="D227" i="1"/>
  <c r="G392" i="1"/>
  <c r="F392" i="1"/>
  <c r="G74" i="1"/>
  <c r="F74" i="1"/>
  <c r="D364" i="1"/>
  <c r="D345" i="1"/>
  <c r="G391" i="1"/>
  <c r="F391" i="1"/>
  <c r="G125" i="1"/>
  <c r="E124" i="1"/>
  <c r="F125" i="1"/>
  <c r="E364" i="1"/>
  <c r="D250" i="1"/>
  <c r="G132" i="1"/>
  <c r="F132" i="1"/>
  <c r="G240" i="1"/>
  <c r="F240" i="1"/>
  <c r="E238" i="1"/>
  <c r="E365" i="1"/>
  <c r="G359" i="1"/>
  <c r="E358" i="1"/>
  <c r="F359" i="1"/>
  <c r="D391" i="1"/>
  <c r="F250" i="1"/>
  <c r="G250" i="1"/>
  <c r="I19" i="2"/>
  <c r="I21" i="2"/>
  <c r="I20" i="2"/>
  <c r="J18" i="2"/>
  <c r="I18" i="2"/>
  <c r="G20" i="2"/>
  <c r="J19" i="2"/>
  <c r="H14" i="2"/>
  <c r="F14" i="2"/>
  <c r="E14" i="2"/>
  <c r="D14" i="2"/>
  <c r="J13" i="2"/>
  <c r="G13" i="2"/>
  <c r="J12" i="2"/>
  <c r="I12" i="2"/>
  <c r="G12" i="2"/>
  <c r="J11" i="2"/>
  <c r="H10" i="2"/>
  <c r="F10" i="2"/>
  <c r="E10" i="2"/>
  <c r="D10" i="2"/>
  <c r="J9" i="2"/>
  <c r="J8" i="2"/>
  <c r="I8" i="2"/>
  <c r="G8" i="2"/>
  <c r="J7" i="2"/>
  <c r="I4" i="2"/>
  <c r="H6" i="2"/>
  <c r="F6" i="2"/>
  <c r="E6" i="2"/>
  <c r="D6" i="2"/>
  <c r="J5" i="2"/>
  <c r="G4" i="2"/>
  <c r="J3" i="2"/>
  <c r="G358" i="1" l="1"/>
  <c r="F358" i="1"/>
  <c r="G238" i="1"/>
  <c r="F238" i="1"/>
  <c r="G124" i="1"/>
  <c r="F124" i="1"/>
  <c r="G157" i="1"/>
  <c r="F157" i="1"/>
  <c r="F388" i="1"/>
  <c r="F370" i="1"/>
  <c r="G370" i="1"/>
  <c r="D358" i="1"/>
  <c r="D389" i="1"/>
  <c r="C388" i="1"/>
  <c r="G388" i="1" s="1"/>
  <c r="G364" i="1"/>
  <c r="E363" i="1"/>
  <c r="F364" i="1"/>
  <c r="G390" i="1"/>
  <c r="F390" i="1"/>
  <c r="F365" i="1"/>
  <c r="G365" i="1"/>
  <c r="D390" i="1"/>
  <c r="D138" i="1"/>
  <c r="D365" i="1"/>
  <c r="D363" i="1" s="1"/>
  <c r="G21" i="2"/>
  <c r="G14" i="2"/>
  <c r="F22" i="2"/>
  <c r="J20" i="2"/>
  <c r="E22" i="2"/>
  <c r="J21" i="2"/>
  <c r="D22" i="2"/>
  <c r="H22" i="2"/>
  <c r="G19" i="2"/>
  <c r="J14" i="2"/>
  <c r="I14" i="2"/>
  <c r="G10" i="2"/>
  <c r="J10" i="2"/>
  <c r="I10" i="2"/>
  <c r="G6" i="2"/>
  <c r="J6" i="2"/>
  <c r="I6" i="2"/>
  <c r="D388" i="1" l="1"/>
  <c r="F363" i="1"/>
  <c r="G363" i="1"/>
  <c r="J22" i="2"/>
  <c r="G22" i="2"/>
  <c r="I22" i="2"/>
</calcChain>
</file>

<file path=xl/comments1.xml><?xml version="1.0" encoding="utf-8"?>
<comments xmlns="http://schemas.openxmlformats.org/spreadsheetml/2006/main">
  <authors>
    <author>Автор</author>
  </authors>
  <commentList>
    <comment ref="Z187" authorId="0" shapeId="0">
      <text>
        <r>
          <rPr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+680 УО кадетский класс
</t>
        </r>
      </text>
    </comment>
  </commentList>
</comments>
</file>

<file path=xl/sharedStrings.xml><?xml version="1.0" encoding="utf-8"?>
<sst xmlns="http://schemas.openxmlformats.org/spreadsheetml/2006/main" count="500" uniqueCount="152">
  <si>
    <t>Отчет о ходе реализации муниципальной программы (сетевой график)</t>
  </si>
  <si>
    <t>"Развитие образования в городе Когалыме" (постановление Администрации города Когалыма от 11.10.2013 №2899)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</si>
  <si>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</si>
  <si>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</si>
  <si>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</si>
  <si>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</si>
  <si>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</si>
  <si>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</si>
  <si>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</si>
  <si>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</si>
  <si>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</si>
  <si>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</si>
  <si>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</si>
  <si>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</si>
  <si>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</si>
  <si>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</si>
  <si>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</si>
  <si>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</si>
  <si>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</si>
  <si>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</si>
  <si>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</si>
  <si>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</si>
  <si>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</si>
  <si>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</si>
  <si>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"Общее образование. Дополнительное образование детей."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</si>
  <si>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</si>
  <si>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</si>
  <si>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</si>
  <si>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</si>
  <si>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</si>
  <si>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бюджет города Когалыма - 104 направление</t>
  </si>
  <si>
    <t>ИТОГО по подпрограмме 1. "Общее образование. Дополнительное образование детей."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</si>
  <si>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</si>
  <si>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2.1.1.Организация и проведение государственной итоговой аттестации</t>
  </si>
  <si>
    <t>Подпрограмма 3.  "Молодёжь города Когалыма."</t>
  </si>
  <si>
    <t>Освоение средств по итогам проведения конкурса "На лучшую подготовку граждан РФ к военной службе"</t>
  </si>
  <si>
    <t>ИТОГО по подпрограмме 3.  Молодёжь города Когалыма.</t>
  </si>
  <si>
    <t>Подпрограмма 4.   "Ресурсное обеспечение системы образования"</t>
  </si>
  <si>
    <t xml:space="preserve"> </t>
  </si>
  <si>
    <t>Экономия плановых ассигнований - Аппарат управления  согласно  фактически начисленной заработной платы.</t>
  </si>
  <si>
    <t xml:space="preserve">бюджет города Когалыма </t>
  </si>
  <si>
    <t>ИТОГО по подпрограмме 4. "Ресурсное обеспечение системы образования"</t>
  </si>
  <si>
    <t>Итого по программе, в том числе</t>
  </si>
  <si>
    <t>Ответственный за составление Малофеева О.А. №телефона 9-36-48</t>
  </si>
  <si>
    <t xml:space="preserve">Проведение ремонтных работ в убразовательных учреждениях. Оплата согласно актов выполненных работ. </t>
  </si>
  <si>
    <t>бюджеты муниципальных образований</t>
  </si>
  <si>
    <t>всего:</t>
  </si>
  <si>
    <t>№</t>
  </si>
  <si>
    <t>Государственные программы:</t>
  </si>
  <si>
    <t>Источники финансирования</t>
  </si>
  <si>
    <t>Результаты реализации, проблемные вопросы</t>
  </si>
  <si>
    <t>профинансировано</t>
  </si>
  <si>
    <t>% финансирования к годовому плану</t>
  </si>
  <si>
    <t>% исполнения к финансированию</t>
  </si>
  <si>
    <t>Свод</t>
  </si>
  <si>
    <t>2022 год</t>
  </si>
  <si>
    <t xml:space="preserve">1.1. Портфель проектов "Образование", региональный проект "Успех каждого ребенка" </t>
  </si>
  <si>
    <t xml:space="preserve">п.п.1.1.1.Развитие системы выявления, поддержки, сопровождения и стимулирования одаренных детей в различных сферах деятельности </t>
  </si>
  <si>
    <t>1.1.2.Персонифицированное финансирование дополнительного образования детей</t>
  </si>
  <si>
    <t xml:space="preserve">1.3. Основное мероприятие "Развитие системы дошкольного и общего образования" </t>
  </si>
  <si>
    <t>1.3.1. Развитие системы выявления, поддержки, сопровождения и стимулирования одаренных детей в различных сферах деятельности</t>
  </si>
  <si>
    <t>1.3.2.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</si>
  <si>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1.3.3. Создание условий для распространения лучших практик и деятельности немуниципальных (коммерческих, некоммерческих) организаций по предоставлению услуг в сфере образования</t>
  </si>
  <si>
    <t>1.3.4. Финансирование МАОУ "СОШ №8" в рамках проекта "Формула успеха"</t>
  </si>
  <si>
    <t>1.4.1.Развитие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</si>
  <si>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 xml:space="preserve">1.4 Основное мероприятие "Развитие системы дополнительного образования детей." </t>
  </si>
  <si>
    <t xml:space="preserve">1.5 Основное мероприятие "Обеспечение реализации общеобразовательных программ в образовательных организациях, расположенных на территории города Когалыма" </t>
  </si>
  <si>
    <t>1.5.1.Обеспечение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</si>
  <si>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>1.5.2.Субсидии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</si>
  <si>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1.5.3.Предоставление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</t>
  </si>
  <si>
    <t xml:space="preserve">1.6  Основное мероприятие "Организация отдыха и оздоровления детей" </t>
  </si>
  <si>
    <r>
      <t xml:space="preserve">1.6.1.Организация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УО</t>
    </r>
  </si>
  <si>
    <r>
      <t xml:space="preserve">1.6.1.Организация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"Дворец спорта", "Феникс"</t>
    </r>
  </si>
  <si>
    <t>1.6.2.Организации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</si>
  <si>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 xml:space="preserve"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</t>
  </si>
  <si>
    <t xml:space="preserve">3.1. Портфель проектов "Образование", региональный проект "Социальная активность" </t>
  </si>
  <si>
    <t>3.1.1. Организация мероприятий в рамках реализации регионального проекта "Социальная активность"</t>
  </si>
  <si>
    <t>3.2.2.Организация и проведение городского конкурса среди общеобразовательных организаций на лучшую подготовку граждан РФ к военной службе</t>
  </si>
  <si>
    <t xml:space="preserve">3.3  Основное мероприятие "Создание условий для разностороннего развития, самореализации и роста созидательной активности молодёжи" </t>
  </si>
  <si>
    <t xml:space="preserve">3.2 Основное мероприятие "Создание условий для развития духовно-нравственных и гражданско,- военно -патриотических качеств детей и молодежи" </t>
  </si>
  <si>
    <t>3.2.1.Организация мероприятий по духовно-нравственному развитию и  формированию гражданско-патриотических качеств детей и молодёжи</t>
  </si>
  <si>
    <t>3.3.1.Организация мероприятий, проектов по повышению уровня потенциала и вовлечению молодежи в творческую деятельность</t>
  </si>
  <si>
    <t xml:space="preserve">3.3.2. Организация мероприятий, проектов по вовлечению молодежи в добровольческую деятельность </t>
  </si>
  <si>
    <t>3.3.3. Поддержка студентов педагогических вузов</t>
  </si>
  <si>
    <t>3.3.4.Субсидии некоммерческим организациям, не являющимся государственными (муниципальными), на выполнение функций ресурсного центра поддержки и развития добровольчества в городе Когалыме"</t>
  </si>
  <si>
    <t xml:space="preserve">3.4 Основное мероприятие "Обеспечение  деятельности учреждения сферы работы с молодёжью и развитие его материально-технической базы" </t>
  </si>
  <si>
    <t>3.4.1.Финансовое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</si>
  <si>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4.1  Портфель проектов «Образование», региональный проект «Современная школа»</t>
  </si>
  <si>
    <t xml:space="preserve">4.1.1.Средняя общеобразовательная школа в г. Когалыме (Общеобразовательная организация с универсальной безбарьерной средой)» </t>
  </si>
  <si>
    <t xml:space="preserve">4.3  Основное мероприятие "Финансовое обеспечение полномочий управления образования и ресурсного центра" </t>
  </si>
  <si>
    <t>4.3.1.Финансовое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</si>
  <si>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4.3.2.Проведение мероприятий аппаратом управления</t>
  </si>
  <si>
    <t>4.3.3.Финансовое и организационно-методическое сопровождение по исполнению  МАУ "Информационно-ресурсный центр 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</si>
  <si>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4.4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21, 22, 25 )</t>
  </si>
  <si>
    <t>4.4.1.Обеспечение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</si>
  <si>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4.4.2 Создание системных механизмов сохранения и укрепления здоровья детей в образовательных организациях</t>
  </si>
  <si>
    <t xml:space="preserve"> МАУ "ДДТ", МАУ "ДШИ" - организация мероприятий, выезд обучающихся на мероприятия. </t>
  </si>
  <si>
    <t xml:space="preserve">Перечисление МАУ "ИРЦ 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</t>
  </si>
  <si>
    <t>В рамках данного мероприятия предусмотрена компенсация затрат, связанных с выплатой заработной платы, налогов и приобретение оборудования для реализации образовательных программ Частный ДС "Академия детства". Согласно фактически предоставленных документов.</t>
  </si>
  <si>
    <t xml:space="preserve">Проведение мероприятий МАУ ДО "ДДТ" в рамкках   реализации регионального проекта  "Социальная активность". </t>
  </si>
  <si>
    <t xml:space="preserve">Финансирование МАУ "ИРЦ г. Когалыма" </t>
  </si>
  <si>
    <t>на 1 февраля 2022 года</t>
  </si>
  <si>
    <t>план на 2022 год</t>
  </si>
  <si>
    <t>план на 01.02.2022</t>
  </si>
  <si>
    <t>исполнение на 01.02.2022</t>
  </si>
  <si>
    <t>% исполнения к плану на 01.02.2022</t>
  </si>
  <si>
    <r>
      <t xml:space="preserve">1.5.2.Субсидии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образования.
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
</t>
    </r>
  </si>
  <si>
    <t xml:space="preserve">1.5.3.Предоставление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
</t>
  </si>
  <si>
    <r>
      <rPr>
        <b/>
        <sz val="10"/>
        <rFont val="Times New Roman"/>
        <family val="1"/>
        <charset val="204"/>
      </rPr>
      <t xml:space="preserve">1.6.1. Организация отдыха и оздоровления детей. </t>
    </r>
    <r>
      <rPr>
        <sz val="10"/>
        <rFont val="Times New Roman"/>
        <family val="1"/>
        <charset val="204"/>
      </rPr>
      <t xml:space="preserve">
Организация отдыха и оздоровления детей.  ОБ - 22809,2 тыс. рублей в т.ч. : ОБ оплата питания в пришкольных лагерях - 9668,5 тыс. рублей; ОБ приобретение путевок - 13140,7 тыс. руб.;  МБ - 3222,8 тыс. руб. - софинансирование питание. 
</t>
    </r>
    <r>
      <rPr>
        <sz val="10"/>
        <color indexed="1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</si>
  <si>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1.6. Организация отдыха и оздоровления детей. 
</t>
  </si>
  <si>
    <t xml:space="preserve">4.1.1.Средняя общеобразовательная школа в г. Когалыме (Общеобразовательная организация с универсальной безбарьерной средой)» 
</t>
  </si>
  <si>
    <r>
      <rPr>
        <b/>
        <sz val="10"/>
        <rFont val="Times New Roman"/>
        <family val="1"/>
        <charset val="204"/>
      </rPr>
      <t xml:space="preserve">п.п.4.1.1.Средняя общеобразовательная школа в г. Когалыме (Общеобразовательная организация с универсальной безбарьерной средой)» </t>
    </r>
    <r>
      <rPr>
        <sz val="10"/>
        <color indexed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</si>
  <si>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Times New Roman"/>
        <family val="1"/>
        <charset val="204"/>
      </rPr>
      <t>В 2022 году предусмотрена реализация следующих мероприятий:</t>
    </r>
    <r>
      <rPr>
        <sz val="10"/>
        <color indexed="10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1.5.2.Субсидии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образования.</t>
    </r>
    <r>
      <rPr>
        <sz val="10"/>
        <rFont val="Times New Roman"/>
        <family val="1"/>
        <charset val="204"/>
      </rPr>
      <t xml:space="preserve"> Денежные средства предусмотрены на компенсацию родительской платы, путем предоставления сертификата дошкольника Частный ДС "Академия детства". Оплата производится согласно фактически предоставленных документов. Освоение 360,0 т.р..
</t>
    </r>
    <r>
      <rPr>
        <sz val="10"/>
        <color indexed="1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</si>
  <si>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Times New Roman"/>
        <family val="1"/>
        <charset val="204"/>
      </rPr>
      <t>1.5.3.Предоставление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ОБ).</t>
    </r>
    <r>
      <rPr>
        <sz val="10"/>
        <rFont val="Times New Roman"/>
        <family val="1"/>
        <charset val="204"/>
      </rPr>
      <t xml:space="preserve"> В рамках данного мероприятия предусмотрена компенсация затрат, связанных с выплатой заработной платы, налогов и приобретение оборудования для реализации образовательных программ Частный ДС "Академия детства". Оплата производится согласно фактически предоставленных документов. освоение 1500,0 т.р..</t>
    </r>
    <r>
      <rPr>
        <sz val="10"/>
        <color indexed="1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</si>
  <si>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Проведение мероприятий</t>
  </si>
  <si>
    <t>Проектная часть</t>
  </si>
  <si>
    <t>Процессная часть</t>
  </si>
  <si>
    <t>В том чсиле:</t>
  </si>
  <si>
    <t>Проектная часть подпрограммы 1</t>
  </si>
  <si>
    <t>ВСЕГО</t>
  </si>
  <si>
    <t>иные источники финансирования</t>
  </si>
  <si>
    <t>Процессная часть подпрограммы 1</t>
  </si>
  <si>
    <t xml:space="preserve">Процессная часть </t>
  </si>
  <si>
    <t>ИТОГО по подпрограмме 2. " Система оценки качества образования и информационная прозрачность системы образования города Когалыма"</t>
  </si>
  <si>
    <t>В том числе:</t>
  </si>
  <si>
    <t>Процессная часть подпрограммы 2</t>
  </si>
  <si>
    <t>Проектная часть подпрограммы 3</t>
  </si>
  <si>
    <t>Процессная часть подпрограммы 3</t>
  </si>
  <si>
    <t>Проектная часть подпрограммы 4</t>
  </si>
  <si>
    <t>Процессная часть подпрограммы 4</t>
  </si>
  <si>
    <t>ПРОЕКТНАЯ ЧАСТЬ В ЦЕЛОМ ПО МУНИЦИПАЛЬНОЙ ПРОГРАММЕ:</t>
  </si>
  <si>
    <t>Портфель проектов "Демография"</t>
  </si>
  <si>
    <t>Портфель проектов "Образование"</t>
  </si>
  <si>
    <t>ПРОЦЕССНАЯ ЧАСТЬ В ЦЕЛОМ ПО МУНИЦИПАЛЬНОЙ ПРОГРАММЕ:</t>
  </si>
  <si>
    <t>ПАО "ЛУКОЙЛ"  Реализация мероприятий в рамках проекта "Формула успеха"</t>
  </si>
  <si>
    <t xml:space="preserve">Ежемесячное содержание МАУ "Школа искусств", МАУ "ДДТ". </t>
  </si>
  <si>
    <t>П.4.  Проекты города Когалыма</t>
  </si>
  <si>
    <t>п.п. П.4.1. Проект города Когалыма "Создание детских технопарков "Кванториум"</t>
  </si>
  <si>
    <t xml:space="preserve"> Проект города Когалыма "Создание детских технопарков "Кванториум" на базе МАОУ "Средняя школа № 5" оплата ремонтных работ в кабинетах  </t>
  </si>
  <si>
    <t>п.п. П.4.2. Инициативный проект "Первые шаги в робототехнике"</t>
  </si>
  <si>
    <t>Реализация нициативного проекта "Первые шаги в робототехнике" на базе МАДОУ "Березка"</t>
  </si>
  <si>
    <t>п.п. П.4.3. Инициативный проект "Детский технопарк "РобоМИР"</t>
  </si>
  <si>
    <t>Реализация нициативного проекта "Детский технопарк "РобоМИР" на базе МАДОУ "Буратино"</t>
  </si>
  <si>
    <t>Начальник Управления образования  ___________________________       А.Н. Лаврентьева</t>
  </si>
  <si>
    <t xml:space="preserve">Организация отдыха и оздоровления детей.  ОБ - 21571,7 тыс. рублей в т.ч. : ОБ оплата питания в пришкольных лагерях - 8431,0 тыс. рублей; ОБ приобретение путевок - 13140,7 тыс. руб.;  МБ - 2810,3 тыс. руб. - софинансирование питание. </t>
  </si>
  <si>
    <t xml:space="preserve">Экономия плановых ассигнований 5,2 тыс. рублей </t>
  </si>
  <si>
    <t>Постановление Администрации города Когалыма от 01.03.2022 № 507 "Об утверждении списка победителей и призеров муниципального профессионального конкурса "Учитель года" в 2022 году" ; Выплата грантов победителям конкурсного отборав сфере образования в 2022г "Лучш.педагог дошк.образ.орган." Пост.1386 от 23.06.2022 . "Педагог-наставник" Постановление 2691 от 18.11.2022</t>
  </si>
  <si>
    <t xml:space="preserve">Финансирование ШКОЛЫ + д.САДЫ.    Экономия плановых ассигнований 48 529,3 тыс. рублей согласно перечисления средств по заключенным соглашениям и фактической потребности учреждений. </t>
  </si>
  <si>
    <t>Денежные средства предусмотрены на уменьшение родительской платы, путем предоставления сертификата дошкольника Частный ДС "Академия детства". Согласно фактически предоставленных документов. Январь 110 чел х 4000  Февраль 94 чел х 4000    Март 97 чел х 4000   Апрель 99 чел х 4000  Май 90 чел х 4000    Июнь 116 чел х 4000  Июль 106 х 4000 Август 98чел  х 4000 Сентябрь 106 х 4000 Октябрь 103 х 4000</t>
  </si>
  <si>
    <t>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учреждения. 199,1 т.руб. -  экономия планов согласно фактической оплаты расходов непостоянного характера согласно фактически предоставленных счетов.</t>
  </si>
  <si>
    <t>1. Муниципальный контракт №0187200001721001483 от 14.10.2021 на выполнение проектно-изыскательских и строительно-монтажных работ. 
- стоимость работ по контракту 1 499 566,43 тыс. руб., из них стоимость проектно-изыскательских работ 15 615,05 тыс. руб.(заключено дополнительное соглашение №2 от 25.07.2022 увеличивающее стоимость проектно-изыскательских работ за счет уменьшения стоимости строительно-монтажных работ);
- срок окончания выполнения работ по 15.12.2024, из них срок окончания выполнения проектно-изыскательских работ по 14.09.2022;
- степень готовности объекта 0,00%, ведется выполнение проектно-изыскательских работ;
На основании заключения Службы государственной охраны объектов культурного наследия ХМАО-Югры №21-6241 от 29.11.2021 подрядчиком ООО «СВС» выполнена историко-культурная экспертиза земельного участка путем археологической разведки, Акт экспертизы прошел общественные обсуждения 25.08.2022.
Получено уведомление Службы государственной охраны объектов культурного наследия ХМАО-Югры №86-2022 от 15.08.2022 о выявленном объекте археологического наследия на земельном участке школы.
Разработан и прошел 09.09.2022 историко-культурную экспертизу с общественными обсуждениями раздел мероприятий по сохранению объекта культурного наследия, который является частью проектной документации объекта.
Подрядчиком ООО «СВС» заключен договор №27-08-22 от 17.08.2022 на проведение государственной экспертизы результатов инженерных изысканий и проектной документации.
Сроки выполнения проектно-изыскательских работ нарушены, в связи с увеличением объема проектных работ, образовавшегося по результатам замечаний эксперного органа к применяемой типовой проектной документации, предусматривающих необходимость дополнительного выполнения работ по корректировке экономически эфективной проектной документации повторного применения.
В связи с вышеизложенными возникшими обстоятельствами, на основании обращения подрядной организации, заказчиком в адрес соответствущей комиссии направлен пакет документов об изменении следующих существенных условий контракта:
- увеличение стоимости выполнения проектно-изыскательских работ по 1 этапу контракта до 25 170,15 тыс. руб.,
- продление сроков выполнения проектно-изыскательских работ по 1 этапу контракта до 30.12.2022,
- установление сроков выполнения строительно-монтажных работ по 2 этапу: с момента выполнения первого этапа по 13 февраля 2025 года, в том числе строительно-монтажные, пусконаладочные работы и поставка оборудования по 20 декабря 2024 года». 
Освоение плановых ассигнований выделенных на 2022 год планируется после 16 декабря 2022 года, путем изменения существенных условий контракта в соответствии с пунктом 65.1 статьи 112 Федерального закона от 05.04.2013 №44-ФЗ, предусматривающих уплату аванса, при условии предоставления подрядчиком положительное заключения государственной экспертизы проектной документации, результатов инженерных изысканий и обеспечения исполнения контракта в размере не менее размера аванса.
2. Муниципальный контракт №Кг-38.22 от 12.04.2022 на технологическое присоединение к электрическим сетям на сумму 8,13 тыс. руб, срок оказания услуг 1 год.</t>
  </si>
  <si>
    <t>На 30.11.2022  План ОБ - 127389,5 тыс. руб. факт ОБ - 115116,1 тыс. руб.;       план ФБ - 20775,0 тыс. руб. факт - 17361,6 тыс. руб.;   план МБ - 1108,7 тыс. руб.   факт - 926,5 тыс. руб.  Исполнение 87,4%. в связи с переводом обучающихся на дистанционное обучение в январе месяце.  Оплата согласно предоставленных счетов по фактическим детодням питания.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</si>
</sst>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_(* #,##0.0_);_(* \(#,##0.0\);_(* &quot;-&quot;??_);_(@_)"/>
    <numFmt numFmtId="170" formatCode="0.0"/>
    <numFmt numFmtId="171" formatCode="_-* #,##0.0_р_._-;\-* #,##0.0_р_._-;_-* &quot;-&quot;?_р_._-;_-@_-"/>
    <numFmt numFmtId="172" formatCode="#,##0.0_ ;\-#,##0.0\ "/>
    <numFmt numFmtId="173" formatCode="_-* #,##0.0\ _₽_-;\-* #,##0.0\ _₽_-;_-* &quot;-&quot;?\ _₽_-;_-@_-"/>
    <numFmt numFmtId="174" formatCode="#,##0.00_р_.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1" applyFont="1" applyFill="1" applyAlignment="1" applyProtection="1">
      <alignment horizontal="justify" vertical="center" wrapText="1"/>
    </xf>
    <xf numFmtId="0" fontId="2" fillId="0" borderId="0" xfId="1" applyFont="1" applyFill="1" applyAlignment="1" applyProtection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 applyProtection="1">
      <alignment vertical="center" wrapText="1"/>
    </xf>
    <xf numFmtId="164" fontId="4" fillId="0" borderId="0" xfId="1" applyNumberFormat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Fill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justify" wrapText="1"/>
    </xf>
    <xf numFmtId="167" fontId="6" fillId="0" borderId="1" xfId="2" applyNumberFormat="1" applyFont="1" applyFill="1" applyBorder="1" applyAlignment="1" applyProtection="1">
      <alignment vertical="center" wrapText="1"/>
    </xf>
    <xf numFmtId="168" fontId="6" fillId="0" borderId="1" xfId="2" applyNumberFormat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justify" wrapText="1"/>
    </xf>
    <xf numFmtId="164" fontId="8" fillId="0" borderId="1" xfId="1" applyNumberFormat="1" applyFont="1" applyFill="1" applyBorder="1" applyAlignment="1" applyProtection="1">
      <alignment vertical="center" wrapText="1"/>
    </xf>
    <xf numFmtId="168" fontId="8" fillId="0" borderId="1" xfId="2" applyNumberFormat="1" applyFont="1" applyFill="1" applyBorder="1" applyAlignment="1" applyProtection="1">
      <alignment vertical="center" wrapText="1"/>
    </xf>
    <xf numFmtId="168" fontId="8" fillId="0" borderId="1" xfId="2" applyNumberFormat="1" applyFont="1" applyFill="1" applyBorder="1" applyAlignment="1" applyProtection="1">
      <alignment horizontal="center" vertical="center" wrapText="1"/>
    </xf>
    <xf numFmtId="168" fontId="6" fillId="0" borderId="1" xfId="2" applyNumberFormat="1" applyFont="1" applyFill="1" applyBorder="1" applyAlignment="1" applyProtection="1">
      <alignment horizontal="center" vertical="center" wrapText="1"/>
    </xf>
    <xf numFmtId="167" fontId="6" fillId="0" borderId="1" xfId="1" applyNumberFormat="1" applyFont="1" applyFill="1" applyBorder="1" applyAlignment="1" applyProtection="1">
      <alignment vertical="center" wrapText="1"/>
    </xf>
    <xf numFmtId="167" fontId="8" fillId="0" borderId="1" xfId="2" applyNumberFormat="1" applyFont="1" applyFill="1" applyBorder="1" applyAlignment="1" applyProtection="1">
      <alignment vertical="center" wrapText="1"/>
    </xf>
    <xf numFmtId="167" fontId="8" fillId="0" borderId="1" xfId="1" applyNumberFormat="1" applyFont="1" applyFill="1" applyBorder="1" applyAlignment="1" applyProtection="1">
      <alignment vertical="center" wrapText="1"/>
    </xf>
    <xf numFmtId="169" fontId="8" fillId="0" borderId="1" xfId="2" applyNumberFormat="1" applyFont="1" applyFill="1" applyBorder="1" applyAlignment="1" applyProtection="1">
      <alignment vertical="center" wrapText="1"/>
    </xf>
    <xf numFmtId="167" fontId="8" fillId="0" borderId="1" xfId="2" applyNumberFormat="1" applyFont="1" applyFill="1" applyBorder="1" applyAlignment="1" applyProtection="1">
      <alignment horizontal="right" vertical="center" wrapText="1"/>
    </xf>
    <xf numFmtId="164" fontId="7" fillId="0" borderId="1" xfId="1" applyNumberFormat="1" applyFont="1" applyFill="1" applyBorder="1" applyAlignment="1" applyProtection="1">
      <alignment vertical="top" wrapText="1"/>
    </xf>
    <xf numFmtId="164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3" fontId="6" fillId="0" borderId="1" xfId="2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left" vertical="top" wrapText="1"/>
    </xf>
    <xf numFmtId="3" fontId="8" fillId="0" borderId="1" xfId="2" applyNumberFormat="1" applyFont="1" applyFill="1" applyBorder="1" applyAlignment="1" applyProtection="1">
      <alignment vertical="center" wrapText="1"/>
    </xf>
    <xf numFmtId="3" fontId="8" fillId="0" borderId="1" xfId="1" applyNumberFormat="1" applyFont="1" applyFill="1" applyBorder="1" applyAlignment="1" applyProtection="1">
      <alignment vertical="center" wrapText="1"/>
    </xf>
    <xf numFmtId="167" fontId="6" fillId="0" borderId="1" xfId="2" applyNumberFormat="1" applyFont="1" applyFill="1" applyBorder="1" applyAlignment="1" applyProtection="1">
      <alignment horizontal="right" vertical="center" wrapText="1"/>
    </xf>
    <xf numFmtId="167" fontId="6" fillId="0" borderId="1" xfId="1" applyNumberFormat="1" applyFont="1" applyFill="1" applyBorder="1" applyAlignment="1" applyProtection="1">
      <alignment horizontal="right"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164" fontId="10" fillId="0" borderId="5" xfId="1" applyNumberFormat="1" applyFont="1" applyFill="1" applyBorder="1" applyAlignment="1" applyProtection="1">
      <alignment horizontal="left" vertical="top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169" fontId="8" fillId="0" borderId="1" xfId="2" applyNumberFormat="1" applyFont="1" applyFill="1" applyBorder="1" applyAlignment="1" applyProtection="1">
      <alignment horizontal="justify" wrapText="1"/>
    </xf>
    <xf numFmtId="169" fontId="9" fillId="0" borderId="0" xfId="2" applyNumberFormat="1" applyFont="1" applyFill="1" applyBorder="1" applyAlignment="1" applyProtection="1">
      <alignment vertical="center" wrapText="1"/>
    </xf>
    <xf numFmtId="170" fontId="6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164" fontId="10" fillId="0" borderId="1" xfId="1" applyNumberFormat="1" applyFont="1" applyFill="1" applyBorder="1" applyAlignment="1" applyProtection="1">
      <alignment horizontal="left" vertical="top" wrapText="1"/>
    </xf>
    <xf numFmtId="169" fontId="6" fillId="0" borderId="1" xfId="2" applyNumberFormat="1" applyFont="1" applyFill="1" applyBorder="1" applyAlignment="1" applyProtection="1">
      <alignment vertical="center" wrapText="1"/>
    </xf>
    <xf numFmtId="169" fontId="8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vertical="top" wrapText="1"/>
    </xf>
    <xf numFmtId="164" fontId="7" fillId="0" borderId="5" xfId="1" applyNumberFormat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171" fontId="6" fillId="0" borderId="1" xfId="1" applyNumberFormat="1" applyFont="1" applyFill="1" applyBorder="1" applyAlignment="1" applyProtection="1">
      <alignment vertical="center" wrapText="1"/>
    </xf>
    <xf numFmtId="164" fontId="4" fillId="0" borderId="0" xfId="1" applyNumberFormat="1" applyFont="1" applyFill="1" applyAlignment="1">
      <alignment horizontal="left" vertical="top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justify" vertical="center" wrapText="1"/>
    </xf>
    <xf numFmtId="0" fontId="4" fillId="0" borderId="0" xfId="1" applyFont="1" applyFill="1" applyAlignment="1">
      <alignment horizontal="left" vertical="top" wrapText="1"/>
    </xf>
    <xf numFmtId="164" fontId="4" fillId="0" borderId="0" xfId="1" applyNumberFormat="1" applyFont="1" applyFill="1" applyAlignment="1">
      <alignment vertical="center" wrapText="1"/>
    </xf>
    <xf numFmtId="0" fontId="11" fillId="0" borderId="0" xfId="0" applyFont="1" applyBorder="1"/>
    <xf numFmtId="0" fontId="11" fillId="0" borderId="0" xfId="0" applyFont="1"/>
    <xf numFmtId="16" fontId="13" fillId="2" borderId="8" xfId="0" applyNumberFormat="1" applyFont="1" applyFill="1" applyBorder="1" applyAlignment="1">
      <alignment horizontal="left" vertical="center" wrapText="1"/>
    </xf>
    <xf numFmtId="172" fontId="13" fillId="0" borderId="8" xfId="2" applyNumberFormat="1" applyFont="1" applyFill="1" applyBorder="1" applyAlignment="1">
      <alignment horizontal="right" vertical="center"/>
    </xf>
    <xf numFmtId="170" fontId="13" fillId="0" borderId="8" xfId="2" applyNumberFormat="1" applyFont="1" applyFill="1" applyBorder="1" applyAlignment="1">
      <alignment horizontal="right" vertical="center"/>
    </xf>
    <xf numFmtId="16" fontId="13" fillId="2" borderId="1" xfId="0" applyNumberFormat="1" applyFont="1" applyFill="1" applyBorder="1" applyAlignment="1">
      <alignment horizontal="left" vertical="center" wrapText="1"/>
    </xf>
    <xf numFmtId="172" fontId="13" fillId="0" borderId="1" xfId="2" applyNumberFormat="1" applyFont="1" applyFill="1" applyBorder="1" applyAlignment="1">
      <alignment horizontal="right" vertical="center"/>
    </xf>
    <xf numFmtId="170" fontId="13" fillId="0" borderId="1" xfId="2" applyNumberFormat="1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left" vertical="center" wrapText="1"/>
    </xf>
    <xf numFmtId="172" fontId="14" fillId="3" borderId="17" xfId="2" applyNumberFormat="1" applyFont="1" applyFill="1" applyBorder="1" applyAlignment="1">
      <alignment horizontal="right" vertical="center"/>
    </xf>
    <xf numFmtId="170" fontId="14" fillId="2" borderId="17" xfId="2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/>
    <xf numFmtId="170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1" xfId="2" applyNumberFormat="1" applyFont="1" applyFill="1" applyBorder="1" applyAlignment="1" applyProtection="1">
      <alignment vertical="center" wrapText="1"/>
    </xf>
    <xf numFmtId="0" fontId="0" fillId="0" borderId="0" xfId="0" applyFill="1"/>
    <xf numFmtId="172" fontId="11" fillId="0" borderId="0" xfId="0" applyNumberFormat="1" applyFont="1" applyBorder="1"/>
    <xf numFmtId="0" fontId="6" fillId="0" borderId="9" xfId="1" applyFont="1" applyFill="1" applyBorder="1" applyAlignment="1" applyProtection="1">
      <alignment horizontal="left" vertical="center" wrapText="1"/>
    </xf>
    <xf numFmtId="173" fontId="6" fillId="0" borderId="1" xfId="1" applyNumberFormat="1" applyFont="1" applyFill="1" applyBorder="1" applyAlignment="1" applyProtection="1">
      <alignment vertical="center" wrapText="1"/>
    </xf>
    <xf numFmtId="0" fontId="21" fillId="0" borderId="1" xfId="1" applyFont="1" applyFill="1" applyBorder="1" applyAlignment="1" applyProtection="1">
      <alignment horizontal="justify" vertical="center" wrapText="1"/>
    </xf>
    <xf numFmtId="1" fontId="6" fillId="0" borderId="8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>
      <alignment vertical="center" wrapText="1"/>
    </xf>
    <xf numFmtId="0" fontId="5" fillId="5" borderId="9" xfId="1" applyFont="1" applyFill="1" applyBorder="1" applyAlignment="1" applyProtection="1">
      <alignment horizontal="left" vertical="center" wrapText="1"/>
    </xf>
    <xf numFmtId="0" fontId="5" fillId="5" borderId="10" xfId="1" applyFont="1" applyFill="1" applyBorder="1" applyAlignment="1" applyProtection="1">
      <alignment horizontal="left" vertical="center" wrapText="1"/>
    </xf>
    <xf numFmtId="164" fontId="6" fillId="5" borderId="11" xfId="1" applyNumberFormat="1" applyFont="1" applyFill="1" applyBorder="1" applyAlignment="1" applyProtection="1">
      <alignment vertical="center" wrapText="1"/>
    </xf>
    <xf numFmtId="0" fontId="5" fillId="6" borderId="9" xfId="1" applyFont="1" applyFill="1" applyBorder="1" applyAlignment="1" applyProtection="1">
      <alignment horizontal="left" vertical="center" wrapText="1"/>
    </xf>
    <xf numFmtId="167" fontId="8" fillId="6" borderId="10" xfId="2" applyNumberFormat="1" applyFont="1" applyFill="1" applyBorder="1" applyAlignment="1" applyProtection="1">
      <alignment vertical="center" wrapText="1"/>
    </xf>
    <xf numFmtId="167" fontId="8" fillId="6" borderId="10" xfId="1" applyNumberFormat="1" applyFont="1" applyFill="1" applyBorder="1" applyAlignment="1" applyProtection="1">
      <alignment vertical="center" wrapText="1"/>
    </xf>
    <xf numFmtId="168" fontId="8" fillId="6" borderId="10" xfId="2" applyNumberFormat="1" applyFont="1" applyFill="1" applyBorder="1" applyAlignment="1" applyProtection="1">
      <alignment vertical="center" wrapText="1"/>
    </xf>
    <xf numFmtId="164" fontId="6" fillId="6" borderId="10" xfId="1" applyNumberFormat="1" applyFont="1" applyFill="1" applyBorder="1" applyAlignment="1" applyProtection="1">
      <alignment vertical="center" wrapText="1"/>
    </xf>
    <xf numFmtId="164" fontId="6" fillId="6" borderId="1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center" wrapText="1"/>
    </xf>
    <xf numFmtId="167" fontId="6" fillId="0" borderId="1" xfId="2" applyNumberFormat="1" applyFont="1" applyFill="1" applyBorder="1" applyAlignment="1" applyProtection="1">
      <alignment horizontal="center" vertical="center" wrapText="1"/>
    </xf>
    <xf numFmtId="167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wrapText="1"/>
    </xf>
    <xf numFmtId="167" fontId="6" fillId="0" borderId="10" xfId="1" applyNumberFormat="1" applyFont="1" applyFill="1" applyBorder="1" applyAlignment="1" applyProtection="1">
      <alignment horizontal="center" vertical="center" wrapText="1"/>
    </xf>
    <xf numFmtId="168" fontId="6" fillId="0" borderId="10" xfId="2" applyNumberFormat="1" applyFont="1" applyFill="1" applyBorder="1" applyAlignment="1" applyProtection="1">
      <alignment horizontal="center" vertical="center" wrapText="1"/>
    </xf>
    <xf numFmtId="167" fontId="6" fillId="0" borderId="11" xfId="1" applyNumberFormat="1" applyFont="1" applyFill="1" applyBorder="1" applyAlignment="1" applyProtection="1">
      <alignment horizontal="center" vertical="center" wrapText="1"/>
    </xf>
    <xf numFmtId="0" fontId="6" fillId="5" borderId="1" xfId="1" applyFont="1" applyFill="1" applyBorder="1" applyAlignment="1" applyProtection="1">
      <alignment horizontal="left" wrapText="1"/>
    </xf>
    <xf numFmtId="167" fontId="6" fillId="5" borderId="1" xfId="1" applyNumberFormat="1" applyFont="1" applyFill="1" applyBorder="1" applyAlignment="1" applyProtection="1">
      <alignment horizontal="center" vertical="center" wrapText="1"/>
    </xf>
    <xf numFmtId="168" fontId="6" fillId="5" borderId="1" xfId="2" applyNumberFormat="1" applyFont="1" applyFill="1" applyBorder="1" applyAlignment="1" applyProtection="1">
      <alignment horizontal="center" vertical="center" wrapText="1"/>
    </xf>
    <xf numFmtId="0" fontId="6" fillId="5" borderId="9" xfId="1" applyFont="1" applyFill="1" applyBorder="1" applyAlignment="1" applyProtection="1">
      <alignment horizontal="left" wrapText="1"/>
    </xf>
    <xf numFmtId="0" fontId="6" fillId="6" borderId="9" xfId="1" applyFont="1" applyFill="1" applyBorder="1" applyAlignment="1" applyProtection="1">
      <alignment horizontal="left" wrapText="1"/>
    </xf>
    <xf numFmtId="167" fontId="6" fillId="6" borderId="10" xfId="1" applyNumberFormat="1" applyFont="1" applyFill="1" applyBorder="1" applyAlignment="1" applyProtection="1">
      <alignment horizontal="center" vertical="center" wrapText="1"/>
    </xf>
    <xf numFmtId="168" fontId="6" fillId="6" borderId="10" xfId="2" applyNumberFormat="1" applyFont="1" applyFill="1" applyBorder="1" applyAlignment="1" applyProtection="1">
      <alignment horizontal="center" vertical="center" wrapText="1"/>
    </xf>
    <xf numFmtId="167" fontId="6" fillId="6" borderId="11" xfId="1" applyNumberFormat="1" applyFont="1" applyFill="1" applyBorder="1" applyAlignment="1" applyProtection="1">
      <alignment horizontal="center" vertical="center" wrapText="1"/>
    </xf>
    <xf numFmtId="167" fontId="6" fillId="6" borderId="1" xfId="1" applyNumberFormat="1" applyFont="1" applyFill="1" applyBorder="1" applyAlignment="1" applyProtection="1">
      <alignment horizontal="center" vertical="center" wrapText="1"/>
    </xf>
    <xf numFmtId="168" fontId="6" fillId="6" borderId="1" xfId="2" applyNumberFormat="1" applyFont="1" applyFill="1" applyBorder="1" applyAlignment="1" applyProtection="1">
      <alignment horizontal="center" vertical="center" wrapText="1"/>
    </xf>
    <xf numFmtId="0" fontId="5" fillId="6" borderId="10" xfId="1" applyFont="1" applyFill="1" applyBorder="1" applyAlignment="1" applyProtection="1">
      <alignment horizontal="left" vertical="center" wrapText="1"/>
    </xf>
    <xf numFmtId="168" fontId="8" fillId="5" borderId="1" xfId="2" applyNumberFormat="1" applyFont="1" applyFill="1" applyBorder="1" applyAlignment="1" applyProtection="1">
      <alignment horizontal="center" vertical="center" wrapText="1"/>
    </xf>
    <xf numFmtId="0" fontId="22" fillId="5" borderId="9" xfId="1" applyFont="1" applyFill="1" applyBorder="1" applyAlignment="1" applyProtection="1">
      <alignment horizontal="left" wrapText="1"/>
    </xf>
    <xf numFmtId="168" fontId="8" fillId="6" borderId="1" xfId="2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174" fontId="25" fillId="0" borderId="1" xfId="0" applyNumberFormat="1" applyFont="1" applyFill="1" applyBorder="1" applyAlignment="1">
      <alignment horizontal="center" wrapText="1"/>
    </xf>
    <xf numFmtId="174" fontId="25" fillId="0" borderId="1" xfId="0" applyNumberFormat="1" applyFont="1" applyFill="1" applyBorder="1" applyAlignment="1">
      <alignment horizontal="center" vertical="center" wrapText="1"/>
    </xf>
    <xf numFmtId="174" fontId="26" fillId="0" borderId="1" xfId="0" applyNumberFormat="1" applyFont="1" applyFill="1" applyBorder="1" applyAlignment="1">
      <alignment horizontal="center" vertical="center" wrapText="1"/>
    </xf>
    <xf numFmtId="164" fontId="6" fillId="7" borderId="1" xfId="1" applyNumberFormat="1" applyFont="1" applyFill="1" applyBorder="1" applyAlignment="1" applyProtection="1">
      <alignment vertical="center" wrapText="1"/>
    </xf>
    <xf numFmtId="2" fontId="8" fillId="0" borderId="1" xfId="1" applyNumberFormat="1" applyFont="1" applyFill="1" applyBorder="1" applyAlignment="1" applyProtection="1">
      <alignment horizontal="center" vertical="center" wrapText="1"/>
    </xf>
    <xf numFmtId="170" fontId="6" fillId="0" borderId="1" xfId="1" applyNumberFormat="1" applyFont="1" applyFill="1" applyBorder="1" applyAlignment="1" applyProtection="1">
      <alignment horizontal="center" vertical="center" wrapText="1"/>
    </xf>
    <xf numFmtId="17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168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2" applyNumberFormat="1" applyFont="1" applyFill="1" applyBorder="1" applyAlignment="1" applyProtection="1">
      <alignment vertical="center" wrapText="1"/>
    </xf>
    <xf numFmtId="0" fontId="7" fillId="0" borderId="9" xfId="1" applyNumberFormat="1" applyFont="1" applyFill="1" applyBorder="1" applyAlignment="1" applyProtection="1">
      <alignment horizontal="left"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left" vertical="top" wrapText="1"/>
    </xf>
    <xf numFmtId="164" fontId="7" fillId="0" borderId="5" xfId="1" applyNumberFormat="1" applyFont="1" applyFill="1" applyBorder="1" applyAlignment="1" applyProtection="1">
      <alignment horizontal="left" vertical="top" wrapText="1"/>
    </xf>
    <xf numFmtId="164" fontId="7" fillId="0" borderId="8" xfId="1" applyNumberFormat="1" applyFont="1" applyFill="1" applyBorder="1" applyAlignment="1" applyProtection="1">
      <alignment horizontal="left" vertical="top" wrapText="1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center" vertical="center" wrapText="1"/>
    </xf>
    <xf numFmtId="164" fontId="6" fillId="0" borderId="6" xfId="1" applyNumberFormat="1" applyFont="1" applyFill="1" applyBorder="1" applyAlignment="1" applyProtection="1">
      <alignment horizontal="center" vertical="center" wrapText="1"/>
    </xf>
    <xf numFmtId="164" fontId="6" fillId="0" borderId="7" xfId="1" applyNumberFormat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 wrapText="1"/>
    </xf>
    <xf numFmtId="164" fontId="6" fillId="0" borderId="5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5" fillId="7" borderId="9" xfId="1" applyFont="1" applyFill="1" applyBorder="1" applyAlignment="1" applyProtection="1">
      <alignment horizontal="left" vertical="center" wrapText="1"/>
    </xf>
    <xf numFmtId="0" fontId="5" fillId="7" borderId="10" xfId="1" applyFont="1" applyFill="1" applyBorder="1" applyAlignment="1" applyProtection="1">
      <alignment horizontal="left" vertical="center" wrapText="1"/>
    </xf>
    <xf numFmtId="0" fontId="5" fillId="7" borderId="11" xfId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left" vertical="top" wrapText="1"/>
    </xf>
    <xf numFmtId="164" fontId="7" fillId="0" borderId="5" xfId="1" applyNumberFormat="1" applyFont="1" applyFill="1" applyBorder="1" applyAlignment="1" applyProtection="1">
      <alignment horizontal="left" vertical="top" wrapText="1"/>
    </xf>
    <xf numFmtId="164" fontId="7" fillId="0" borderId="8" xfId="1" applyNumberFormat="1" applyFont="1" applyFill="1" applyBorder="1" applyAlignment="1" applyProtection="1">
      <alignment horizontal="left" vertical="top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>
      <alignment horizontal="left" vertical="center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4" fontId="8" fillId="0" borderId="5" xfId="1" applyNumberFormat="1" applyFont="1" applyFill="1" applyBorder="1" applyAlignment="1" applyProtection="1">
      <alignment horizontal="left" vertical="top" wrapText="1"/>
    </xf>
    <xf numFmtId="164" fontId="8" fillId="0" borderId="8" xfId="1" applyNumberFormat="1" applyFont="1" applyFill="1" applyBorder="1" applyAlignment="1" applyProtection="1">
      <alignment horizontal="left" vertical="top" wrapText="1"/>
    </xf>
    <xf numFmtId="164" fontId="7" fillId="0" borderId="2" xfId="1" applyNumberFormat="1" applyFont="1" applyFill="1" applyBorder="1" applyAlignment="1" applyProtection="1">
      <alignment horizontal="center" vertical="top" wrapText="1"/>
    </xf>
    <xf numFmtId="164" fontId="7" fillId="0" borderId="5" xfId="1" applyNumberFormat="1" applyFont="1" applyFill="1" applyBorder="1" applyAlignment="1" applyProtection="1">
      <alignment horizontal="center" vertical="top" wrapText="1"/>
    </xf>
    <xf numFmtId="164" fontId="7" fillId="0" borderId="8" xfId="1" applyNumberFormat="1" applyFont="1" applyFill="1" applyBorder="1" applyAlignment="1" applyProtection="1">
      <alignment horizontal="center" vertical="top" wrapText="1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>
      <alignment horizontal="left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72" fontId="15" fillId="0" borderId="13" xfId="2" applyNumberFormat="1" applyFont="1" applyFill="1" applyBorder="1" applyAlignment="1">
      <alignment horizontal="left" vertical="center" wrapText="1"/>
    </xf>
    <xf numFmtId="172" fontId="15" fillId="0" borderId="14" xfId="2" applyNumberFormat="1" applyFont="1" applyFill="1" applyBorder="1" applyAlignment="1">
      <alignment horizontal="left" vertical="center" wrapText="1"/>
    </xf>
    <xf numFmtId="172" fontId="15" fillId="0" borderId="15" xfId="2" applyNumberFormat="1" applyFont="1" applyFill="1" applyBorder="1" applyAlignment="1">
      <alignment horizontal="left" vertical="center" wrapText="1"/>
    </xf>
    <xf numFmtId="172" fontId="15" fillId="0" borderId="12" xfId="2" applyNumberFormat="1" applyFont="1" applyFill="1" applyBorder="1" applyAlignment="1">
      <alignment horizontal="left" vertical="center" wrapText="1"/>
    </xf>
    <xf numFmtId="172" fontId="15" fillId="0" borderId="0" xfId="2" applyNumberFormat="1" applyFont="1" applyFill="1" applyBorder="1" applyAlignment="1">
      <alignment horizontal="left" vertical="center" wrapText="1"/>
    </xf>
    <xf numFmtId="172" fontId="15" fillId="0" borderId="16" xfId="2" applyNumberFormat="1" applyFont="1" applyFill="1" applyBorder="1" applyAlignment="1">
      <alignment horizontal="left" vertical="center" wrapText="1"/>
    </xf>
    <xf numFmtId="172" fontId="15" fillId="0" borderId="18" xfId="2" applyNumberFormat="1" applyFont="1" applyFill="1" applyBorder="1" applyAlignment="1">
      <alignment horizontal="left" vertical="center" wrapText="1"/>
    </xf>
    <xf numFmtId="172" fontId="15" fillId="0" borderId="19" xfId="2" applyNumberFormat="1" applyFont="1" applyFill="1" applyBorder="1" applyAlignment="1">
      <alignment horizontal="left" vertical="center" wrapText="1"/>
    </xf>
    <xf numFmtId="172" fontId="15" fillId="0" borderId="20" xfId="2" applyNumberFormat="1" applyFont="1" applyFill="1" applyBorder="1" applyAlignment="1">
      <alignment horizontal="left" vertical="center" wrapText="1"/>
    </xf>
    <xf numFmtId="172" fontId="15" fillId="4" borderId="13" xfId="2" applyNumberFormat="1" applyFont="1" applyFill="1" applyBorder="1" applyAlignment="1">
      <alignment horizontal="left" vertical="center" wrapText="1"/>
    </xf>
    <xf numFmtId="172" fontId="15" fillId="4" borderId="14" xfId="2" applyNumberFormat="1" applyFont="1" applyFill="1" applyBorder="1" applyAlignment="1">
      <alignment horizontal="left" vertical="center" wrapText="1"/>
    </xf>
    <xf numFmtId="172" fontId="15" fillId="4" borderId="15" xfId="2" applyNumberFormat="1" applyFont="1" applyFill="1" applyBorder="1" applyAlignment="1">
      <alignment horizontal="left" vertical="center" wrapText="1"/>
    </xf>
    <xf numFmtId="172" fontId="15" fillId="4" borderId="12" xfId="2" applyNumberFormat="1" applyFont="1" applyFill="1" applyBorder="1" applyAlignment="1">
      <alignment horizontal="left" vertical="center" wrapText="1"/>
    </xf>
    <xf numFmtId="172" fontId="15" fillId="4" borderId="0" xfId="2" applyNumberFormat="1" applyFont="1" applyFill="1" applyBorder="1" applyAlignment="1">
      <alignment horizontal="left" vertical="center" wrapText="1"/>
    </xf>
    <xf numFmtId="172" fontId="15" fillId="4" borderId="16" xfId="2" applyNumberFormat="1" applyFont="1" applyFill="1" applyBorder="1" applyAlignment="1">
      <alignment horizontal="left" vertical="center" wrapText="1"/>
    </xf>
    <xf numFmtId="172" fontId="15" fillId="4" borderId="18" xfId="2" applyNumberFormat="1" applyFont="1" applyFill="1" applyBorder="1" applyAlignment="1">
      <alignment horizontal="left" vertical="center" wrapText="1"/>
    </xf>
    <xf numFmtId="172" fontId="15" fillId="4" borderId="19" xfId="2" applyNumberFormat="1" applyFont="1" applyFill="1" applyBorder="1" applyAlignment="1">
      <alignment horizontal="left" vertical="center" wrapText="1"/>
    </xf>
    <xf numFmtId="172" fontId="15" fillId="4" borderId="20" xfId="2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6" fontId="17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70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70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8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colors>
    <mruColors>
      <color rgb="FF00FF99"/>
      <color rgb="FFFFCC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399"/>
  <sheetViews>
    <sheetView tabSelected="1" view="pageBreakPreview" zoomScale="60" zoomScaleNormal="50" workbookViewId="0">
      <pane ySplit="8" topLeftCell="A72" activePane="bottomLeft" state="frozen"/>
      <selection pane="bottomLeft" sqref="A1:XFD1048576"/>
    </sheetView>
  </sheetViews>
  <sheetFormatPr defaultColWidth="9.140625" defaultRowHeight="15" x14ac:dyDescent="0.25"/>
  <cols>
    <col min="1" max="1" width="48.85546875" style="80" customWidth="1"/>
    <col min="2" max="3" width="15.85546875" style="80" bestFit="1" customWidth="1"/>
    <col min="4" max="4" width="20.140625" style="80" customWidth="1"/>
    <col min="5" max="5" width="18.5703125" style="80" customWidth="1"/>
    <col min="6" max="6" width="21.85546875" style="80" bestFit="1" customWidth="1"/>
    <col min="7" max="7" width="23.28515625" style="80" bestFit="1" customWidth="1"/>
    <col min="8" max="8" width="16.7109375" style="80" customWidth="1"/>
    <col min="9" max="9" width="18.7109375" style="80" customWidth="1"/>
    <col min="10" max="10" width="16.5703125" style="80" customWidth="1"/>
    <col min="11" max="11" width="19" style="80" customWidth="1"/>
    <col min="12" max="12" width="18.42578125" style="80" customWidth="1"/>
    <col min="13" max="13" width="15.85546875" style="80" customWidth="1"/>
    <col min="14" max="14" width="16.42578125" style="80" customWidth="1"/>
    <col min="15" max="15" width="17" style="80" customWidth="1"/>
    <col min="16" max="16" width="15.5703125" style="80" customWidth="1"/>
    <col min="17" max="17" width="16.42578125" style="80" customWidth="1"/>
    <col min="18" max="18" width="16.7109375" style="80" customWidth="1"/>
    <col min="19" max="19" width="17.85546875" style="80" customWidth="1"/>
    <col min="20" max="20" width="13.5703125" style="80" bestFit="1" customWidth="1"/>
    <col min="21" max="21" width="16.42578125" style="80" customWidth="1"/>
    <col min="22" max="22" width="15.28515625" style="80" customWidth="1"/>
    <col min="23" max="23" width="17" style="80" customWidth="1"/>
    <col min="24" max="24" width="16" style="80" customWidth="1"/>
    <col min="25" max="25" width="18.140625" style="80" customWidth="1"/>
    <col min="26" max="26" width="16.5703125" style="80" customWidth="1"/>
    <col min="27" max="27" width="18.42578125" style="80" customWidth="1"/>
    <col min="28" max="28" width="16" style="80" customWidth="1"/>
    <col min="29" max="29" width="18.140625" style="80" customWidth="1"/>
    <col min="30" max="30" width="17" style="80" customWidth="1"/>
    <col min="31" max="31" width="18.42578125" style="80" customWidth="1"/>
    <col min="32" max="32" width="99.140625" style="80" customWidth="1"/>
    <col min="33" max="33" width="19.5703125" style="80" customWidth="1"/>
    <col min="34" max="34" width="13.5703125" style="80" bestFit="1" customWidth="1"/>
    <col min="35" max="35" width="12.42578125" style="80" bestFit="1" customWidth="1"/>
    <col min="36" max="16384" width="9.140625" style="80"/>
  </cols>
  <sheetData>
    <row r="1" spans="1:62" ht="20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47"/>
      <c r="U1" s="147"/>
      <c r="V1" s="147"/>
      <c r="W1" s="147"/>
      <c r="X1" s="147"/>
      <c r="Y1" s="147"/>
      <c r="Z1" s="3"/>
      <c r="AA1" s="3"/>
      <c r="AB1" s="3"/>
      <c r="AC1" s="4"/>
      <c r="AD1" s="4"/>
      <c r="AE1" s="4"/>
      <c r="AF1" s="5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20.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4"/>
      <c r="AF2" s="5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20.25" x14ac:dyDescent="0.25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2"/>
      <c r="Q3" s="2"/>
      <c r="R3" s="2"/>
      <c r="S3" s="2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4"/>
      <c r="AF3" s="5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20.25" x14ac:dyDescent="0.25">
      <c r="A4" s="148" t="s">
        <v>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2"/>
      <c r="Q4" s="2"/>
      <c r="R4" s="2"/>
      <c r="S4" s="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20.25" x14ac:dyDescent="0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2"/>
      <c r="Q5" s="2"/>
      <c r="R5" s="2"/>
      <c r="S5" s="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18.75" x14ac:dyDescent="0.25">
      <c r="A6" s="144" t="s">
        <v>2</v>
      </c>
      <c r="B6" s="145" t="s">
        <v>3</v>
      </c>
      <c r="C6" s="145" t="s">
        <v>3</v>
      </c>
      <c r="D6" s="145" t="s">
        <v>4</v>
      </c>
      <c r="E6" s="145" t="s">
        <v>5</v>
      </c>
      <c r="F6" s="137" t="s">
        <v>6</v>
      </c>
      <c r="G6" s="138"/>
      <c r="H6" s="137" t="s">
        <v>7</v>
      </c>
      <c r="I6" s="138"/>
      <c r="J6" s="137" t="s">
        <v>8</v>
      </c>
      <c r="K6" s="138"/>
      <c r="L6" s="137" t="s">
        <v>9</v>
      </c>
      <c r="M6" s="138"/>
      <c r="N6" s="137" t="s">
        <v>10</v>
      </c>
      <c r="O6" s="138"/>
      <c r="P6" s="137" t="s">
        <v>11</v>
      </c>
      <c r="Q6" s="138"/>
      <c r="R6" s="137" t="s">
        <v>12</v>
      </c>
      <c r="S6" s="138"/>
      <c r="T6" s="137" t="s">
        <v>13</v>
      </c>
      <c r="U6" s="138"/>
      <c r="V6" s="137" t="s">
        <v>14</v>
      </c>
      <c r="W6" s="138"/>
      <c r="X6" s="137" t="s">
        <v>15</v>
      </c>
      <c r="Y6" s="138"/>
      <c r="Z6" s="137" t="s">
        <v>16</v>
      </c>
      <c r="AA6" s="138"/>
      <c r="AB6" s="137" t="s">
        <v>17</v>
      </c>
      <c r="AC6" s="138"/>
      <c r="AD6" s="137" t="s">
        <v>18</v>
      </c>
      <c r="AE6" s="138"/>
      <c r="AF6" s="149" t="s">
        <v>19</v>
      </c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ht="18.75" x14ac:dyDescent="0.25">
      <c r="A7" s="144"/>
      <c r="B7" s="146"/>
      <c r="C7" s="146"/>
      <c r="D7" s="146"/>
      <c r="E7" s="146"/>
      <c r="F7" s="139"/>
      <c r="G7" s="140"/>
      <c r="H7" s="139"/>
      <c r="I7" s="140"/>
      <c r="J7" s="139"/>
      <c r="K7" s="140"/>
      <c r="L7" s="139"/>
      <c r="M7" s="140"/>
      <c r="N7" s="139"/>
      <c r="O7" s="140"/>
      <c r="P7" s="139"/>
      <c r="Q7" s="140"/>
      <c r="R7" s="139"/>
      <c r="S7" s="140"/>
      <c r="T7" s="139"/>
      <c r="U7" s="140"/>
      <c r="V7" s="139"/>
      <c r="W7" s="140"/>
      <c r="X7" s="139"/>
      <c r="Y7" s="140"/>
      <c r="Z7" s="139"/>
      <c r="AA7" s="140"/>
      <c r="AB7" s="139"/>
      <c r="AC7" s="140"/>
      <c r="AD7" s="139"/>
      <c r="AE7" s="140"/>
      <c r="AF7" s="149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ht="37.5" x14ac:dyDescent="0.25">
      <c r="A8" s="144"/>
      <c r="B8" s="85" t="s">
        <v>55</v>
      </c>
      <c r="C8" s="197">
        <v>44895</v>
      </c>
      <c r="D8" s="197">
        <v>44895</v>
      </c>
      <c r="E8" s="197">
        <v>44895</v>
      </c>
      <c r="F8" s="7" t="s">
        <v>20</v>
      </c>
      <c r="G8" s="7" t="s">
        <v>21</v>
      </c>
      <c r="H8" s="8" t="s">
        <v>22</v>
      </c>
      <c r="I8" s="8" t="s">
        <v>23</v>
      </c>
      <c r="J8" s="8" t="s">
        <v>22</v>
      </c>
      <c r="K8" s="8" t="s">
        <v>23</v>
      </c>
      <c r="L8" s="8" t="s">
        <v>22</v>
      </c>
      <c r="M8" s="8" t="s">
        <v>23</v>
      </c>
      <c r="N8" s="8" t="s">
        <v>22</v>
      </c>
      <c r="O8" s="8" t="s">
        <v>23</v>
      </c>
      <c r="P8" s="8" t="s">
        <v>22</v>
      </c>
      <c r="Q8" s="8" t="s">
        <v>23</v>
      </c>
      <c r="R8" s="8" t="s">
        <v>22</v>
      </c>
      <c r="S8" s="8" t="s">
        <v>23</v>
      </c>
      <c r="T8" s="8" t="s">
        <v>22</v>
      </c>
      <c r="U8" s="8" t="s">
        <v>23</v>
      </c>
      <c r="V8" s="8" t="s">
        <v>22</v>
      </c>
      <c r="W8" s="8" t="s">
        <v>23</v>
      </c>
      <c r="X8" s="8" t="s">
        <v>22</v>
      </c>
      <c r="Y8" s="8" t="s">
        <v>23</v>
      </c>
      <c r="Z8" s="8" t="s">
        <v>22</v>
      </c>
      <c r="AA8" s="8" t="s">
        <v>23</v>
      </c>
      <c r="AB8" s="8" t="s">
        <v>22</v>
      </c>
      <c r="AC8" s="8" t="s">
        <v>23</v>
      </c>
      <c r="AD8" s="8" t="s">
        <v>22</v>
      </c>
      <c r="AE8" s="8" t="s">
        <v>23</v>
      </c>
      <c r="AF8" s="14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62" ht="18.75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1">
        <v>32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62" ht="20.25" x14ac:dyDescent="0.25">
      <c r="A10" s="150" t="s">
        <v>24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2"/>
      <c r="AE10" s="13"/>
      <c r="AF10" s="14"/>
      <c r="AG10" s="15"/>
      <c r="AH10" s="15"/>
      <c r="AI10" s="15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</row>
    <row r="11" spans="1:62" ht="20.25" x14ac:dyDescent="0.25">
      <c r="A11" s="87" t="s">
        <v>115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9"/>
      <c r="AF11" s="117"/>
      <c r="AG11" s="15"/>
      <c r="AH11" s="15"/>
      <c r="AI11" s="15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</row>
    <row r="12" spans="1:62" ht="20.25" x14ac:dyDescent="0.25">
      <c r="A12" s="141" t="s">
        <v>56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3"/>
      <c r="AF12" s="132"/>
      <c r="AG12" s="15"/>
      <c r="AH12" s="15"/>
      <c r="AI12" s="15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</row>
    <row r="13" spans="1:62" ht="18.75" x14ac:dyDescent="0.25">
      <c r="A13" s="82" t="s">
        <v>25</v>
      </c>
      <c r="B13" s="39">
        <f>H13+J13+L13+N13+P13+R13+T13+V13+X13+Z13+AB13+AD13</f>
        <v>58917.3</v>
      </c>
      <c r="C13" s="40">
        <f>SUM(C14:C17)</f>
        <v>53985.4</v>
      </c>
      <c r="D13" s="40">
        <f>SUM(D14:D17)</f>
        <v>49175.74</v>
      </c>
      <c r="E13" s="40">
        <f>SUM(E14:E17)</f>
        <v>49175.739999999991</v>
      </c>
      <c r="F13" s="118">
        <f>E13/B13*100</f>
        <v>83.465705319150715</v>
      </c>
      <c r="G13" s="118">
        <f>E13/C13*100</f>
        <v>91.090813442152864</v>
      </c>
      <c r="H13" s="41">
        <f t="shared" ref="H13:AE13" si="0">SUM(H14:H17)</f>
        <v>6231.9</v>
      </c>
      <c r="I13" s="41">
        <f t="shared" si="0"/>
        <v>6231.9</v>
      </c>
      <c r="J13" s="41">
        <f t="shared" si="0"/>
        <v>6326.9</v>
      </c>
      <c r="K13" s="41">
        <f t="shared" si="0"/>
        <v>5325.3</v>
      </c>
      <c r="L13" s="41">
        <f t="shared" si="0"/>
        <v>6340.5999999999995</v>
      </c>
      <c r="M13" s="41">
        <f t="shared" si="0"/>
        <v>6651.3</v>
      </c>
      <c r="N13" s="41">
        <f t="shared" si="0"/>
        <v>6231.9</v>
      </c>
      <c r="O13" s="41">
        <f t="shared" si="0"/>
        <v>6231.9</v>
      </c>
      <c r="P13" s="41">
        <f t="shared" si="0"/>
        <v>6262.9</v>
      </c>
      <c r="Q13" s="41">
        <f t="shared" si="0"/>
        <v>6727</v>
      </c>
      <c r="R13" s="41">
        <f t="shared" si="0"/>
        <v>1300</v>
      </c>
      <c r="S13" s="41">
        <f t="shared" si="0"/>
        <v>1526.8</v>
      </c>
      <c r="T13" s="41">
        <f t="shared" si="0"/>
        <v>0</v>
      </c>
      <c r="U13" s="41">
        <f t="shared" si="0"/>
        <v>0</v>
      </c>
      <c r="V13" s="41">
        <f t="shared" si="0"/>
        <v>100</v>
      </c>
      <c r="W13" s="41">
        <f t="shared" si="0"/>
        <v>0</v>
      </c>
      <c r="X13" s="41">
        <f t="shared" si="0"/>
        <v>6232</v>
      </c>
      <c r="Y13" s="41">
        <f t="shared" si="0"/>
        <v>6332</v>
      </c>
      <c r="Z13" s="41">
        <f t="shared" si="0"/>
        <v>6237.2999999999993</v>
      </c>
      <c r="AA13" s="41">
        <f t="shared" si="0"/>
        <v>6231.84</v>
      </c>
      <c r="AB13" s="41">
        <f t="shared" si="0"/>
        <v>8721.9</v>
      </c>
      <c r="AC13" s="41">
        <f t="shared" si="0"/>
        <v>3917.7</v>
      </c>
      <c r="AD13" s="41">
        <f t="shared" si="0"/>
        <v>4931.8999999999996</v>
      </c>
      <c r="AE13" s="41">
        <f t="shared" si="0"/>
        <v>0</v>
      </c>
      <c r="AF13" s="42"/>
      <c r="AG13" s="15"/>
      <c r="AH13" s="15"/>
      <c r="AI13" s="15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</row>
    <row r="14" spans="1:62" ht="18.75" x14ac:dyDescent="0.3">
      <c r="A14" s="22" t="s">
        <v>26</v>
      </c>
      <c r="B14" s="28">
        <f>H14+J14+L14+N14+P14+R14+T14+V14+X14+Z14+AB14+AD14</f>
        <v>0</v>
      </c>
      <c r="C14" s="28">
        <f>H14+J14+L14+N14+P14+R14+T14+V14+X14+Z14+AB14+AD14</f>
        <v>0</v>
      </c>
      <c r="D14" s="29">
        <f>D20+D26</f>
        <v>0</v>
      </c>
      <c r="E14" s="28">
        <f>I14+K14+M14+O14+Q14+S14+U14+W14+Y14+AA14+AC14+AE14</f>
        <v>0</v>
      </c>
      <c r="F14" s="119">
        <f>IFERROR(E14/B14*100,0)</f>
        <v>0</v>
      </c>
      <c r="G14" s="119">
        <f>IFERROR(E14/C14*100,0)</f>
        <v>0</v>
      </c>
      <c r="H14" s="23">
        <f t="shared" ref="H14:AE17" si="1">H20+H26</f>
        <v>0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3">
        <f t="shared" si="1"/>
        <v>0</v>
      </c>
      <c r="M14" s="23">
        <f t="shared" si="1"/>
        <v>0</v>
      </c>
      <c r="N14" s="23">
        <f t="shared" si="1"/>
        <v>0</v>
      </c>
      <c r="O14" s="23">
        <f t="shared" si="1"/>
        <v>0</v>
      </c>
      <c r="P14" s="23">
        <f t="shared" si="1"/>
        <v>0</v>
      </c>
      <c r="Q14" s="23">
        <f t="shared" si="1"/>
        <v>0</v>
      </c>
      <c r="R14" s="23">
        <f t="shared" si="1"/>
        <v>0</v>
      </c>
      <c r="S14" s="23">
        <f t="shared" si="1"/>
        <v>0</v>
      </c>
      <c r="T14" s="23">
        <f t="shared" si="1"/>
        <v>0</v>
      </c>
      <c r="U14" s="23">
        <f t="shared" si="1"/>
        <v>0</v>
      </c>
      <c r="V14" s="23">
        <f t="shared" si="1"/>
        <v>0</v>
      </c>
      <c r="W14" s="23">
        <f t="shared" si="1"/>
        <v>0</v>
      </c>
      <c r="X14" s="23">
        <f t="shared" si="1"/>
        <v>0</v>
      </c>
      <c r="Y14" s="23">
        <f t="shared" si="1"/>
        <v>0</v>
      </c>
      <c r="Z14" s="23">
        <f t="shared" si="1"/>
        <v>0</v>
      </c>
      <c r="AA14" s="23">
        <f t="shared" si="1"/>
        <v>0</v>
      </c>
      <c r="AB14" s="23">
        <f t="shared" si="1"/>
        <v>0</v>
      </c>
      <c r="AC14" s="23">
        <f t="shared" si="1"/>
        <v>0</v>
      </c>
      <c r="AD14" s="23">
        <f t="shared" si="1"/>
        <v>0</v>
      </c>
      <c r="AE14" s="23">
        <f t="shared" si="1"/>
        <v>0</v>
      </c>
      <c r="AF14" s="42"/>
      <c r="AG14" s="15"/>
      <c r="AH14" s="15"/>
      <c r="AI14" s="15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</row>
    <row r="15" spans="1:62" ht="18.75" x14ac:dyDescent="0.3">
      <c r="A15" s="22" t="s">
        <v>27</v>
      </c>
      <c r="B15" s="28">
        <f>B21+B27</f>
        <v>58917.3</v>
      </c>
      <c r="C15" s="29">
        <f>C21+C27</f>
        <v>53985.4</v>
      </c>
      <c r="D15" s="29">
        <f>D21+D27</f>
        <v>49175.74</v>
      </c>
      <c r="E15" s="28">
        <f>I15+K15+M15+O15+Q15+S15+U15+W15+Y15+AA15+AC15+AE15</f>
        <v>49175.739999999991</v>
      </c>
      <c r="F15" s="25">
        <f>E15/B15*100</f>
        <v>83.465705319150715</v>
      </c>
      <c r="G15" s="25">
        <f>E15/C15*100</f>
        <v>91.090813442152864</v>
      </c>
      <c r="H15" s="23">
        <f t="shared" si="1"/>
        <v>6231.9</v>
      </c>
      <c r="I15" s="23">
        <f t="shared" si="1"/>
        <v>6231.9</v>
      </c>
      <c r="J15" s="23">
        <f t="shared" si="1"/>
        <v>6326.9</v>
      </c>
      <c r="K15" s="23">
        <f t="shared" si="1"/>
        <v>5325.3</v>
      </c>
      <c r="L15" s="23">
        <f t="shared" si="1"/>
        <v>6340.5999999999995</v>
      </c>
      <c r="M15" s="23">
        <f t="shared" si="1"/>
        <v>6651.3</v>
      </c>
      <c r="N15" s="23">
        <f t="shared" si="1"/>
        <v>6231.9</v>
      </c>
      <c r="O15" s="23">
        <f t="shared" si="1"/>
        <v>6231.9</v>
      </c>
      <c r="P15" s="23">
        <f t="shared" si="1"/>
        <v>6262.9</v>
      </c>
      <c r="Q15" s="23">
        <f t="shared" si="1"/>
        <v>6727</v>
      </c>
      <c r="R15" s="23">
        <f t="shared" si="1"/>
        <v>1300</v>
      </c>
      <c r="S15" s="23">
        <f t="shared" si="1"/>
        <v>1526.8</v>
      </c>
      <c r="T15" s="23">
        <f t="shared" si="1"/>
        <v>0</v>
      </c>
      <c r="U15" s="23">
        <f t="shared" si="1"/>
        <v>0</v>
      </c>
      <c r="V15" s="23">
        <f t="shared" si="1"/>
        <v>100</v>
      </c>
      <c r="W15" s="23">
        <f t="shared" si="1"/>
        <v>0</v>
      </c>
      <c r="X15" s="23">
        <f t="shared" si="1"/>
        <v>6232</v>
      </c>
      <c r="Y15" s="23">
        <f t="shared" si="1"/>
        <v>6332</v>
      </c>
      <c r="Z15" s="23">
        <f t="shared" si="1"/>
        <v>6237.2999999999993</v>
      </c>
      <c r="AA15" s="23">
        <f t="shared" si="1"/>
        <v>6231.84</v>
      </c>
      <c r="AB15" s="23">
        <f t="shared" si="1"/>
        <v>8721.9</v>
      </c>
      <c r="AC15" s="23">
        <f t="shared" si="1"/>
        <v>3917.7</v>
      </c>
      <c r="AD15" s="23">
        <f t="shared" si="1"/>
        <v>4931.8999999999996</v>
      </c>
      <c r="AE15" s="23">
        <f t="shared" si="1"/>
        <v>0</v>
      </c>
      <c r="AF15" s="42"/>
      <c r="AG15" s="15"/>
      <c r="AH15" s="15"/>
      <c r="AI15" s="15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</row>
    <row r="16" spans="1:62" ht="18.75" x14ac:dyDescent="0.3">
      <c r="A16" s="22" t="s">
        <v>28</v>
      </c>
      <c r="B16" s="28">
        <f>H16+J16+L16+N16+P16+R16+T16+V16+X16+Z16+AB16+AD16</f>
        <v>0</v>
      </c>
      <c r="C16" s="28">
        <f>H16+J16+L16+N16+P16+R16+T16+V16+X16+Z16+AB16+AD16</f>
        <v>0</v>
      </c>
      <c r="D16" s="29">
        <f>D22+D28</f>
        <v>0</v>
      </c>
      <c r="E16" s="28">
        <f>I16+K16+M16+O16+Q16+S16+U16+W16+Y16+AA16+AC16+AE16</f>
        <v>0</v>
      </c>
      <c r="F16" s="119">
        <f>IFERROR(E16/B16*100,0)</f>
        <v>0</v>
      </c>
      <c r="G16" s="119">
        <f>IFERROR(E16/C16*100,0)</f>
        <v>0</v>
      </c>
      <c r="H16" s="23">
        <f t="shared" si="1"/>
        <v>0</v>
      </c>
      <c r="I16" s="23">
        <f t="shared" si="1"/>
        <v>0</v>
      </c>
      <c r="J16" s="23">
        <f t="shared" si="1"/>
        <v>0</v>
      </c>
      <c r="K16" s="23">
        <f t="shared" si="1"/>
        <v>0</v>
      </c>
      <c r="L16" s="23">
        <f t="shared" si="1"/>
        <v>0</v>
      </c>
      <c r="M16" s="23">
        <f t="shared" si="1"/>
        <v>0</v>
      </c>
      <c r="N16" s="23">
        <f t="shared" si="1"/>
        <v>0</v>
      </c>
      <c r="O16" s="23">
        <f t="shared" si="1"/>
        <v>0</v>
      </c>
      <c r="P16" s="23">
        <f t="shared" si="1"/>
        <v>0</v>
      </c>
      <c r="Q16" s="23">
        <f t="shared" si="1"/>
        <v>0</v>
      </c>
      <c r="R16" s="23">
        <f t="shared" si="1"/>
        <v>0</v>
      </c>
      <c r="S16" s="23">
        <f t="shared" si="1"/>
        <v>0</v>
      </c>
      <c r="T16" s="23">
        <f t="shared" si="1"/>
        <v>0</v>
      </c>
      <c r="U16" s="23">
        <f t="shared" si="1"/>
        <v>0</v>
      </c>
      <c r="V16" s="23">
        <f t="shared" si="1"/>
        <v>0</v>
      </c>
      <c r="W16" s="23">
        <f t="shared" si="1"/>
        <v>0</v>
      </c>
      <c r="X16" s="23">
        <f t="shared" si="1"/>
        <v>0</v>
      </c>
      <c r="Y16" s="23">
        <f t="shared" si="1"/>
        <v>0</v>
      </c>
      <c r="Z16" s="23">
        <f t="shared" si="1"/>
        <v>0</v>
      </c>
      <c r="AA16" s="23">
        <f t="shared" si="1"/>
        <v>0</v>
      </c>
      <c r="AB16" s="23">
        <f t="shared" si="1"/>
        <v>0</v>
      </c>
      <c r="AC16" s="23">
        <f t="shared" si="1"/>
        <v>0</v>
      </c>
      <c r="AD16" s="23">
        <f t="shared" si="1"/>
        <v>0</v>
      </c>
      <c r="AE16" s="23">
        <f t="shared" si="1"/>
        <v>0</v>
      </c>
      <c r="AF16" s="42"/>
      <c r="AG16" s="15"/>
      <c r="AH16" s="15"/>
      <c r="AI16" s="15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</row>
    <row r="17" spans="1:62" ht="18.75" x14ac:dyDescent="0.3">
      <c r="A17" s="22" t="s">
        <v>29</v>
      </c>
      <c r="B17" s="28">
        <f>H17+J17+L17+N17+P17+R17+T17+V17+X17+Z17+AB17+AD17</f>
        <v>0</v>
      </c>
      <c r="C17" s="28">
        <f>H17+J17+L17+N17+P17+R17+T17+V17+X17+Z17+AB17+AD17</f>
        <v>0</v>
      </c>
      <c r="D17" s="29">
        <f>D23+D29</f>
        <v>0</v>
      </c>
      <c r="E17" s="28">
        <f>I17+K17+M17+O17+Q17+S17+U17+W17+Y17+AA17+AC17+AE17</f>
        <v>0</v>
      </c>
      <c r="F17" s="119">
        <f>IFERROR(E17/B17*100,0)</f>
        <v>0</v>
      </c>
      <c r="G17" s="119">
        <f>IFERROR(E17/C17*100,0)</f>
        <v>0</v>
      </c>
      <c r="H17" s="23">
        <f t="shared" si="1"/>
        <v>0</v>
      </c>
      <c r="I17" s="23">
        <f t="shared" si="1"/>
        <v>0</v>
      </c>
      <c r="J17" s="23">
        <f t="shared" si="1"/>
        <v>0</v>
      </c>
      <c r="K17" s="23">
        <f t="shared" si="1"/>
        <v>0</v>
      </c>
      <c r="L17" s="23">
        <f t="shared" si="1"/>
        <v>0</v>
      </c>
      <c r="M17" s="23">
        <f t="shared" si="1"/>
        <v>0</v>
      </c>
      <c r="N17" s="23">
        <f t="shared" si="1"/>
        <v>0</v>
      </c>
      <c r="O17" s="23">
        <f t="shared" si="1"/>
        <v>0</v>
      </c>
      <c r="P17" s="23">
        <f t="shared" si="1"/>
        <v>0</v>
      </c>
      <c r="Q17" s="23">
        <f t="shared" si="1"/>
        <v>0</v>
      </c>
      <c r="R17" s="23">
        <f t="shared" si="1"/>
        <v>0</v>
      </c>
      <c r="S17" s="23">
        <f t="shared" si="1"/>
        <v>0</v>
      </c>
      <c r="T17" s="23">
        <f t="shared" si="1"/>
        <v>0</v>
      </c>
      <c r="U17" s="23">
        <f t="shared" si="1"/>
        <v>0</v>
      </c>
      <c r="V17" s="23">
        <f t="shared" si="1"/>
        <v>0</v>
      </c>
      <c r="W17" s="23">
        <f t="shared" si="1"/>
        <v>0</v>
      </c>
      <c r="X17" s="23">
        <f t="shared" si="1"/>
        <v>0</v>
      </c>
      <c r="Y17" s="23">
        <f t="shared" si="1"/>
        <v>0</v>
      </c>
      <c r="Z17" s="23">
        <f t="shared" si="1"/>
        <v>0</v>
      </c>
      <c r="AA17" s="23">
        <f t="shared" si="1"/>
        <v>0</v>
      </c>
      <c r="AB17" s="23">
        <f t="shared" si="1"/>
        <v>0</v>
      </c>
      <c r="AC17" s="23">
        <f t="shared" si="1"/>
        <v>0</v>
      </c>
      <c r="AD17" s="23">
        <f t="shared" si="1"/>
        <v>0</v>
      </c>
      <c r="AE17" s="23">
        <f t="shared" si="1"/>
        <v>0</v>
      </c>
      <c r="AF17" s="42"/>
      <c r="AG17" s="15"/>
      <c r="AH17" s="15"/>
      <c r="AI17" s="15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</row>
    <row r="18" spans="1:62" ht="18.75" x14ac:dyDescent="0.25">
      <c r="A18" s="156" t="s">
        <v>57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8"/>
      <c r="AF18" s="153" t="s">
        <v>96</v>
      </c>
      <c r="AG18" s="15"/>
      <c r="AH18" s="15"/>
      <c r="AI18" s="15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</row>
    <row r="19" spans="1:62" ht="18.75" x14ac:dyDescent="0.3">
      <c r="A19" s="19" t="s">
        <v>25</v>
      </c>
      <c r="B19" s="27">
        <f>H19+J19+L19+N19+P19+R19+T19+V19+X19+Z19+AB19+AD19</f>
        <v>340</v>
      </c>
      <c r="C19" s="20">
        <f>C20+C21+C22+C23</f>
        <v>340</v>
      </c>
      <c r="D19" s="20">
        <f>D20+D21+D22+D23</f>
        <v>339.1</v>
      </c>
      <c r="E19" s="20">
        <f>E20+E21+E22+E23</f>
        <v>339.1</v>
      </c>
      <c r="F19" s="26">
        <f>E19/B19*100</f>
        <v>99.735294117647072</v>
      </c>
      <c r="G19" s="26">
        <f>E19/C19*100</f>
        <v>99.735294117647072</v>
      </c>
      <c r="H19" s="13">
        <f>SUM(H20:H23)</f>
        <v>0</v>
      </c>
      <c r="I19" s="13">
        <f t="shared" ref="I19:AE19" si="2">SUM(I20:I23)</f>
        <v>0</v>
      </c>
      <c r="J19" s="13">
        <f t="shared" si="2"/>
        <v>95</v>
      </c>
      <c r="K19" s="13">
        <f t="shared" si="2"/>
        <v>90.5</v>
      </c>
      <c r="L19" s="13">
        <f t="shared" si="2"/>
        <v>108.7</v>
      </c>
      <c r="M19" s="13">
        <f t="shared" si="2"/>
        <v>113.2</v>
      </c>
      <c r="N19" s="13">
        <f t="shared" si="2"/>
        <v>0</v>
      </c>
      <c r="O19" s="13">
        <f t="shared" si="2"/>
        <v>0</v>
      </c>
      <c r="P19" s="13">
        <f t="shared" si="2"/>
        <v>30.9</v>
      </c>
      <c r="Q19" s="13">
        <f t="shared" si="2"/>
        <v>30.9</v>
      </c>
      <c r="R19" s="13">
        <f t="shared" si="2"/>
        <v>0</v>
      </c>
      <c r="S19" s="13">
        <f t="shared" si="2"/>
        <v>0</v>
      </c>
      <c r="T19" s="13">
        <f t="shared" si="2"/>
        <v>0</v>
      </c>
      <c r="U19" s="13">
        <f t="shared" si="2"/>
        <v>0</v>
      </c>
      <c r="V19" s="13">
        <f t="shared" si="2"/>
        <v>100</v>
      </c>
      <c r="W19" s="13">
        <f t="shared" si="2"/>
        <v>0</v>
      </c>
      <c r="X19" s="13">
        <f t="shared" si="2"/>
        <v>0</v>
      </c>
      <c r="Y19" s="13">
        <f t="shared" si="2"/>
        <v>100</v>
      </c>
      <c r="Z19" s="13">
        <f t="shared" si="2"/>
        <v>5.3999999999999986</v>
      </c>
      <c r="AA19" s="13">
        <f t="shared" si="2"/>
        <v>0</v>
      </c>
      <c r="AB19" s="13">
        <f t="shared" si="2"/>
        <v>0</v>
      </c>
      <c r="AC19" s="13">
        <f t="shared" si="2"/>
        <v>4.5</v>
      </c>
      <c r="AD19" s="13">
        <f t="shared" si="2"/>
        <v>0</v>
      </c>
      <c r="AE19" s="13">
        <f t="shared" si="2"/>
        <v>0</v>
      </c>
      <c r="AF19" s="154"/>
      <c r="AG19" s="15">
        <f>C19-E19</f>
        <v>0.89999999999997726</v>
      </c>
      <c r="AH19" s="15"/>
      <c r="AI19" s="15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</row>
    <row r="20" spans="1:62" ht="18.75" x14ac:dyDescent="0.3">
      <c r="A20" s="22" t="s">
        <v>26</v>
      </c>
      <c r="B20" s="28">
        <f>H20+J20+L20+N20+P20+R20+T20+V20+X20+Z20+AB20+AD20</f>
        <v>0</v>
      </c>
      <c r="C20" s="29">
        <f>H20</f>
        <v>0</v>
      </c>
      <c r="D20" s="29"/>
      <c r="E20" s="28">
        <f>I20+K20+M20+O20+Q20+S20+U20+W20+Y20+AA20+AC20+AE20</f>
        <v>0</v>
      </c>
      <c r="F20" s="119">
        <f>IFERROR(E20/B20*100,0)</f>
        <v>0</v>
      </c>
      <c r="G20" s="119">
        <f>IFERROR(E20/C20*100,0)</f>
        <v>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54"/>
      <c r="AG20" s="15"/>
      <c r="AH20" s="15"/>
      <c r="AI20" s="15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</row>
    <row r="21" spans="1:62" ht="18.75" x14ac:dyDescent="0.3">
      <c r="A21" s="22" t="s">
        <v>27</v>
      </c>
      <c r="B21" s="28">
        <f>H21+J21+L21+N21+P21+R21+T21+V21+X21+Z21+AB21+AD21</f>
        <v>340</v>
      </c>
      <c r="C21" s="29">
        <f>H21+J21+L21+N21+P21+R21+T21+V21+X21+Z21</f>
        <v>340</v>
      </c>
      <c r="D21" s="29">
        <f>E21</f>
        <v>339.1</v>
      </c>
      <c r="E21" s="28">
        <f>I21+K21+M21+O21+Q21+S21+U21+W21+Y21+AA21+AC21+AE21</f>
        <v>339.1</v>
      </c>
      <c r="F21" s="25">
        <f>E21/B21*100</f>
        <v>99.735294117647072</v>
      </c>
      <c r="G21" s="25">
        <f>E21/C21*100</f>
        <v>99.735294117647072</v>
      </c>
      <c r="H21" s="23"/>
      <c r="I21" s="23"/>
      <c r="J21" s="23">
        <v>95</v>
      </c>
      <c r="K21" s="23">
        <v>90.5</v>
      </c>
      <c r="L21" s="23">
        <v>108.7</v>
      </c>
      <c r="M21" s="23">
        <v>113.2</v>
      </c>
      <c r="N21" s="23"/>
      <c r="O21" s="23"/>
      <c r="P21" s="23">
        <v>30.9</v>
      </c>
      <c r="Q21" s="23">
        <v>30.9</v>
      </c>
      <c r="R21" s="23"/>
      <c r="S21" s="23"/>
      <c r="T21" s="23"/>
      <c r="U21" s="23"/>
      <c r="V21" s="23">
        <v>100</v>
      </c>
      <c r="W21" s="23"/>
      <c r="X21" s="23"/>
      <c r="Y21" s="23">
        <v>100</v>
      </c>
      <c r="Z21" s="23">
        <f>36.3-30.9</f>
        <v>5.3999999999999986</v>
      </c>
      <c r="AA21" s="23"/>
      <c r="AB21" s="23"/>
      <c r="AC21" s="23">
        <v>4.5</v>
      </c>
      <c r="AD21" s="23"/>
      <c r="AE21" s="23"/>
      <c r="AF21" s="154"/>
      <c r="AG21" s="15"/>
      <c r="AH21" s="15"/>
      <c r="AI21" s="15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</row>
    <row r="22" spans="1:62" ht="18.75" x14ac:dyDescent="0.3">
      <c r="A22" s="22" t="s">
        <v>28</v>
      </c>
      <c r="B22" s="28">
        <f>H22+J22+L22+N22+P22+R22+T22+V22+X22+Z22+AB22+AD22</f>
        <v>0</v>
      </c>
      <c r="C22" s="29">
        <f>H22</f>
        <v>0</v>
      </c>
      <c r="D22" s="29"/>
      <c r="E22" s="28">
        <f>I22+K22+M22+O22+Q22+S22+U22+W22+Y22+AA22+AC22+AE22</f>
        <v>0</v>
      </c>
      <c r="F22" s="119">
        <f>IFERROR(E22/B22*100,0)</f>
        <v>0</v>
      </c>
      <c r="G22" s="119">
        <f>IFERROR(E22/C22*100,0)</f>
        <v>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54"/>
      <c r="AG22" s="15"/>
      <c r="AH22" s="15"/>
      <c r="AI22" s="15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</row>
    <row r="23" spans="1:62" ht="18.75" x14ac:dyDescent="0.3">
      <c r="A23" s="22" t="s">
        <v>29</v>
      </c>
      <c r="B23" s="28">
        <f>H23+J23+L23+N23+P23+R23+T23+V23+X23+Z23+AB23+AD23</f>
        <v>0</v>
      </c>
      <c r="C23" s="29">
        <f>H23</f>
        <v>0</v>
      </c>
      <c r="D23" s="29"/>
      <c r="E23" s="28">
        <f>I23+K23+M23+O23+Q23+S23+U23+W23+Y23+AA23+AC23+AE23</f>
        <v>0</v>
      </c>
      <c r="F23" s="119">
        <f>IFERROR(E23/B23*100,0)</f>
        <v>0</v>
      </c>
      <c r="G23" s="119">
        <f>IFERROR(E23/C23*100,0)</f>
        <v>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55"/>
      <c r="AG23" s="15"/>
      <c r="AH23" s="15"/>
      <c r="AI23" s="15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</row>
    <row r="24" spans="1:62" ht="18.75" x14ac:dyDescent="0.25">
      <c r="A24" s="156" t="s">
        <v>58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8"/>
      <c r="AF24" s="153" t="s">
        <v>97</v>
      </c>
      <c r="AG24" s="15"/>
      <c r="AH24" s="15"/>
      <c r="AI24" s="15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</row>
    <row r="25" spans="1:62" ht="18.75" x14ac:dyDescent="0.3">
      <c r="A25" s="19" t="s">
        <v>25</v>
      </c>
      <c r="B25" s="27">
        <f>H25+J25+L25+N25+P25+R25+T25+V25+X25+Z25+AB25+AD25</f>
        <v>58577.3</v>
      </c>
      <c r="C25" s="20">
        <f>C26+C27+C28+C29</f>
        <v>53645.4</v>
      </c>
      <c r="D25" s="20">
        <f>D26+D27+D28+D29</f>
        <v>48836.639999999999</v>
      </c>
      <c r="E25" s="20">
        <f>E26+E27+E28+E29</f>
        <v>48836.639999999999</v>
      </c>
      <c r="F25" s="26">
        <f>E25/B25*100</f>
        <v>83.371271806655471</v>
      </c>
      <c r="G25" s="26">
        <f>E25/C25*100</f>
        <v>91.036025456050282</v>
      </c>
      <c r="H25" s="13">
        <f>SUM(H26:H29)</f>
        <v>6231.9</v>
      </c>
      <c r="I25" s="13">
        <f t="shared" ref="I25:AE25" si="3">SUM(I26:I29)</f>
        <v>6231.9</v>
      </c>
      <c r="J25" s="13">
        <f t="shared" si="3"/>
        <v>6231.9</v>
      </c>
      <c r="K25" s="13">
        <f t="shared" si="3"/>
        <v>5234.8</v>
      </c>
      <c r="L25" s="13">
        <f t="shared" si="3"/>
        <v>6231.9</v>
      </c>
      <c r="M25" s="13">
        <f t="shared" si="3"/>
        <v>6538.1</v>
      </c>
      <c r="N25" s="13">
        <f t="shared" si="3"/>
        <v>6231.9</v>
      </c>
      <c r="O25" s="13">
        <f t="shared" si="3"/>
        <v>6231.9</v>
      </c>
      <c r="P25" s="13">
        <f t="shared" si="3"/>
        <v>6232</v>
      </c>
      <c r="Q25" s="13">
        <f t="shared" si="3"/>
        <v>6696.1</v>
      </c>
      <c r="R25" s="13">
        <f t="shared" si="3"/>
        <v>1300</v>
      </c>
      <c r="S25" s="13">
        <f t="shared" si="3"/>
        <v>1526.8</v>
      </c>
      <c r="T25" s="13">
        <f t="shared" si="3"/>
        <v>0</v>
      </c>
      <c r="U25" s="13">
        <f t="shared" si="3"/>
        <v>0</v>
      </c>
      <c r="V25" s="13">
        <f t="shared" si="3"/>
        <v>0</v>
      </c>
      <c r="W25" s="13">
        <f t="shared" si="3"/>
        <v>0</v>
      </c>
      <c r="X25" s="13">
        <f t="shared" si="3"/>
        <v>6232</v>
      </c>
      <c r="Y25" s="13">
        <f t="shared" si="3"/>
        <v>6232</v>
      </c>
      <c r="Z25" s="13">
        <f t="shared" si="3"/>
        <v>6231.9</v>
      </c>
      <c r="AA25" s="13">
        <f t="shared" si="3"/>
        <v>6231.84</v>
      </c>
      <c r="AB25" s="13">
        <f t="shared" si="3"/>
        <v>8721.9</v>
      </c>
      <c r="AC25" s="13">
        <f t="shared" si="3"/>
        <v>3913.2</v>
      </c>
      <c r="AD25" s="13">
        <f t="shared" si="3"/>
        <v>4931.8999999999996</v>
      </c>
      <c r="AE25" s="13">
        <f t="shared" si="3"/>
        <v>0</v>
      </c>
      <c r="AF25" s="154"/>
      <c r="AG25" s="15"/>
      <c r="AH25" s="15"/>
      <c r="AI25" s="15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</row>
    <row r="26" spans="1:62" ht="18.75" x14ac:dyDescent="0.3">
      <c r="A26" s="22" t="s">
        <v>26</v>
      </c>
      <c r="B26" s="28">
        <f>H26+J26+L26+N26+P26+R26+T26+V26+X26+Z26+AB26+AD26</f>
        <v>0</v>
      </c>
      <c r="C26" s="29">
        <f>H26</f>
        <v>0</v>
      </c>
      <c r="D26" s="29"/>
      <c r="E26" s="28">
        <f>I26+K26+M26+O26+Q26+S26+U26+W26+Y26+AA26+AC26+AE26</f>
        <v>0</v>
      </c>
      <c r="F26" s="119">
        <f>IFERROR(E26/B26*100,0)</f>
        <v>0</v>
      </c>
      <c r="G26" s="119">
        <f>IFERROR(E26/C26*100,0)</f>
        <v>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54"/>
      <c r="AG26" s="15"/>
      <c r="AH26" s="15"/>
      <c r="AI26" s="15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</row>
    <row r="27" spans="1:62" ht="18.75" x14ac:dyDescent="0.3">
      <c r="A27" s="22" t="s">
        <v>27</v>
      </c>
      <c r="B27" s="28">
        <f>H27+J27+L27+N27+P27+R27+T27+V27+X27+Z27+AB27+AD27</f>
        <v>58577.3</v>
      </c>
      <c r="C27" s="29">
        <f>H27+J27+L27+N27+P27+R27+T27+V27+X27+Z27+AB27</f>
        <v>53645.4</v>
      </c>
      <c r="D27" s="29">
        <f>E27</f>
        <v>48836.639999999999</v>
      </c>
      <c r="E27" s="28">
        <f>I27+K27+M27+O27+Q27+S27+U27+W27+Y27+AA27+AC27+AE27</f>
        <v>48836.639999999999</v>
      </c>
      <c r="F27" s="25">
        <f>E27/B27*100</f>
        <v>83.371271806655471</v>
      </c>
      <c r="G27" s="25">
        <f>E27/C27*100</f>
        <v>91.036025456050282</v>
      </c>
      <c r="H27" s="13">
        <v>6231.9</v>
      </c>
      <c r="I27" s="13">
        <v>6231.9</v>
      </c>
      <c r="J27" s="13">
        <v>6231.9</v>
      </c>
      <c r="K27" s="13">
        <v>5234.8</v>
      </c>
      <c r="L27" s="13">
        <v>6231.9</v>
      </c>
      <c r="M27" s="13">
        <v>6538.1</v>
      </c>
      <c r="N27" s="13">
        <v>6231.9</v>
      </c>
      <c r="O27" s="13">
        <v>6231.9</v>
      </c>
      <c r="P27" s="13">
        <v>6232</v>
      </c>
      <c r="Q27" s="13">
        <v>6696.1</v>
      </c>
      <c r="R27" s="13">
        <v>1300</v>
      </c>
      <c r="S27" s="13">
        <f>1300+226.8</f>
        <v>1526.8</v>
      </c>
      <c r="T27" s="13"/>
      <c r="U27" s="13"/>
      <c r="V27" s="13"/>
      <c r="W27" s="13"/>
      <c r="X27" s="13">
        <v>6232</v>
      </c>
      <c r="Y27" s="13">
        <v>6232</v>
      </c>
      <c r="Z27" s="13">
        <v>6231.9</v>
      </c>
      <c r="AA27" s="13">
        <f>6231+0.84</f>
        <v>6231.84</v>
      </c>
      <c r="AB27" s="13">
        <f>6231.9+2490</f>
        <v>8721.9</v>
      </c>
      <c r="AC27" s="13">
        <v>3913.2</v>
      </c>
      <c r="AD27" s="13">
        <f>6231.9-1300</f>
        <v>4931.8999999999996</v>
      </c>
      <c r="AE27" s="13"/>
      <c r="AF27" s="154"/>
      <c r="AG27" s="15">
        <f>C27-E27</f>
        <v>4808.760000000002</v>
      </c>
      <c r="AH27" s="15"/>
      <c r="AI27" s="15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1:62" ht="18.75" x14ac:dyDescent="0.3">
      <c r="A28" s="22" t="s">
        <v>28</v>
      </c>
      <c r="B28" s="28">
        <f>H28+J28+L28+N28+P28+R28+T28+V28+X28+Z28+AB28+AD28</f>
        <v>0</v>
      </c>
      <c r="C28" s="29">
        <f>H28</f>
        <v>0</v>
      </c>
      <c r="D28" s="29"/>
      <c r="E28" s="28">
        <f>I28+K28+M28+O28+Q28+S28+U28+W28+Y28+AA28+AC28+AE28</f>
        <v>0</v>
      </c>
      <c r="F28" s="119">
        <f>IFERROR(E28/B28*100,0)</f>
        <v>0</v>
      </c>
      <c r="G28" s="119">
        <f>IFERROR(E28/C28*100,0)</f>
        <v>0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54"/>
      <c r="AG28" s="15"/>
      <c r="AH28" s="15"/>
      <c r="AI28" s="15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</row>
    <row r="29" spans="1:62" ht="18.75" x14ac:dyDescent="0.3">
      <c r="A29" s="22" t="s">
        <v>29</v>
      </c>
      <c r="B29" s="28">
        <f>H29+J29+L29+N29+P29+R29+T29+V29+X29+Z29+AB29+AD29</f>
        <v>0</v>
      </c>
      <c r="C29" s="29">
        <f>H29</f>
        <v>0</v>
      </c>
      <c r="D29" s="29"/>
      <c r="E29" s="28">
        <f>I29+K29+M29+O29+Q29+S29+U29+W29+Y29+AA29+AC29+AE29</f>
        <v>0</v>
      </c>
      <c r="F29" s="119">
        <f>IFERROR(E29/B29*100,0)</f>
        <v>0</v>
      </c>
      <c r="G29" s="119">
        <f>IFERROR(E29/C29*100,0)</f>
        <v>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55"/>
      <c r="AG29" s="15"/>
      <c r="AH29" s="15"/>
      <c r="AI29" s="15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</row>
    <row r="30" spans="1:62" ht="20.25" x14ac:dyDescent="0.25">
      <c r="A30" s="90" t="s">
        <v>116</v>
      </c>
      <c r="B30" s="91"/>
      <c r="C30" s="92"/>
      <c r="D30" s="92"/>
      <c r="E30" s="91"/>
      <c r="F30" s="93"/>
      <c r="G30" s="93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5"/>
      <c r="AF30" s="133"/>
      <c r="AG30" s="15"/>
      <c r="AH30" s="15"/>
      <c r="AI30" s="15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</row>
    <row r="31" spans="1:62" ht="20.25" x14ac:dyDescent="0.25">
      <c r="A31" s="141" t="s">
        <v>59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3"/>
      <c r="AF31" s="17"/>
      <c r="AG31" s="15"/>
      <c r="AH31" s="15"/>
      <c r="AI31" s="15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</row>
    <row r="32" spans="1:62" ht="18.75" x14ac:dyDescent="0.3">
      <c r="A32" s="19" t="s">
        <v>25</v>
      </c>
      <c r="B32" s="20">
        <f>H32+J32+L32+N32+P32+R32+T32+V32+X32+Z32+AB32+AD32</f>
        <v>2977.5</v>
      </c>
      <c r="C32" s="13">
        <f>SUM(C33:C36)</f>
        <v>2734.1</v>
      </c>
      <c r="D32" s="13">
        <f>SUM(D33:D36)</f>
        <v>2638.9</v>
      </c>
      <c r="E32" s="13">
        <f>SUM(E33:E36)</f>
        <v>2638.9</v>
      </c>
      <c r="F32" s="26">
        <f>E32/B32*100</f>
        <v>88.62804366078926</v>
      </c>
      <c r="G32" s="26">
        <f>E32/C32*100</f>
        <v>96.518049815295711</v>
      </c>
      <c r="H32" s="13">
        <f>SUM(H33:H36)</f>
        <v>200</v>
      </c>
      <c r="I32" s="13">
        <f t="shared" ref="I32:AE32" si="4">SUM(I33:I36)</f>
        <v>0</v>
      </c>
      <c r="J32" s="13">
        <f t="shared" si="4"/>
        <v>139.5</v>
      </c>
      <c r="K32" s="13">
        <f t="shared" si="4"/>
        <v>150.9</v>
      </c>
      <c r="L32" s="13">
        <f>SUM(L33:L36)</f>
        <v>175</v>
      </c>
      <c r="M32" s="13">
        <f t="shared" si="4"/>
        <v>281.5</v>
      </c>
      <c r="N32" s="13">
        <f t="shared" si="4"/>
        <v>0</v>
      </c>
      <c r="O32" s="13">
        <f t="shared" si="4"/>
        <v>45.3</v>
      </c>
      <c r="P32" s="13">
        <f t="shared" si="4"/>
        <v>486</v>
      </c>
      <c r="Q32" s="13">
        <f t="shared" si="4"/>
        <v>344.8</v>
      </c>
      <c r="R32" s="13">
        <f t="shared" si="4"/>
        <v>285</v>
      </c>
      <c r="S32" s="13">
        <f t="shared" si="4"/>
        <v>236</v>
      </c>
      <c r="T32" s="13">
        <f t="shared" si="4"/>
        <v>159.6</v>
      </c>
      <c r="U32" s="13">
        <f t="shared" si="4"/>
        <v>443.6</v>
      </c>
      <c r="V32" s="13">
        <f t="shared" si="4"/>
        <v>0</v>
      </c>
      <c r="W32" s="13">
        <f t="shared" si="4"/>
        <v>30</v>
      </c>
      <c r="X32" s="13">
        <f t="shared" si="4"/>
        <v>0</v>
      </c>
      <c r="Y32" s="13">
        <f t="shared" si="4"/>
        <v>30</v>
      </c>
      <c r="Z32" s="13">
        <f t="shared" si="4"/>
        <v>975.90000000000009</v>
      </c>
      <c r="AA32" s="13">
        <f t="shared" si="4"/>
        <v>975.9</v>
      </c>
      <c r="AB32" s="13">
        <f t="shared" si="4"/>
        <v>313.10000000000002</v>
      </c>
      <c r="AC32" s="13">
        <f t="shared" si="4"/>
        <v>218.9</v>
      </c>
      <c r="AD32" s="13">
        <f t="shared" si="4"/>
        <v>243.39999999999998</v>
      </c>
      <c r="AE32" s="13">
        <f t="shared" si="4"/>
        <v>0</v>
      </c>
      <c r="AF32" s="17"/>
      <c r="AG32" s="15"/>
      <c r="AH32" s="15"/>
      <c r="AI32" s="15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</row>
    <row r="33" spans="1:62" ht="18.75" x14ac:dyDescent="0.3">
      <c r="A33" s="22" t="s">
        <v>26</v>
      </c>
      <c r="B33" s="23">
        <f t="shared" ref="B33:E36" si="5">B39+B45+B57+B51</f>
        <v>0</v>
      </c>
      <c r="C33" s="23">
        <f t="shared" si="5"/>
        <v>0</v>
      </c>
      <c r="D33" s="23">
        <f t="shared" si="5"/>
        <v>0</v>
      </c>
      <c r="E33" s="23">
        <f t="shared" si="5"/>
        <v>0</v>
      </c>
      <c r="F33" s="120">
        <f>IFERROR(E33/B33*100,0)</f>
        <v>0</v>
      </c>
      <c r="G33" s="120">
        <f>IFERROR(E33/C33*100,0)</f>
        <v>0</v>
      </c>
      <c r="H33" s="23">
        <f t="shared" ref="H33:AE36" si="6">H39+H45+H57+H51</f>
        <v>0</v>
      </c>
      <c r="I33" s="23">
        <f t="shared" si="6"/>
        <v>0</v>
      </c>
      <c r="J33" s="23">
        <f t="shared" si="6"/>
        <v>0</v>
      </c>
      <c r="K33" s="23">
        <f t="shared" si="6"/>
        <v>0</v>
      </c>
      <c r="L33" s="23">
        <f t="shared" si="6"/>
        <v>0</v>
      </c>
      <c r="M33" s="23">
        <f t="shared" si="6"/>
        <v>0</v>
      </c>
      <c r="N33" s="23">
        <f t="shared" si="6"/>
        <v>0</v>
      </c>
      <c r="O33" s="23">
        <f t="shared" si="6"/>
        <v>0</v>
      </c>
      <c r="P33" s="23">
        <f t="shared" si="6"/>
        <v>0</v>
      </c>
      <c r="Q33" s="23">
        <f t="shared" si="6"/>
        <v>0</v>
      </c>
      <c r="R33" s="23">
        <f t="shared" si="6"/>
        <v>0</v>
      </c>
      <c r="S33" s="23">
        <f t="shared" si="6"/>
        <v>0</v>
      </c>
      <c r="T33" s="23">
        <f t="shared" si="6"/>
        <v>0</v>
      </c>
      <c r="U33" s="23">
        <f t="shared" si="6"/>
        <v>0</v>
      </c>
      <c r="V33" s="23">
        <f t="shared" si="6"/>
        <v>0</v>
      </c>
      <c r="W33" s="23">
        <f t="shared" si="6"/>
        <v>0</v>
      </c>
      <c r="X33" s="23">
        <f t="shared" si="6"/>
        <v>0</v>
      </c>
      <c r="Y33" s="23">
        <f t="shared" si="6"/>
        <v>0</v>
      </c>
      <c r="Z33" s="23">
        <f t="shared" si="6"/>
        <v>0</v>
      </c>
      <c r="AA33" s="23">
        <f t="shared" si="6"/>
        <v>0</v>
      </c>
      <c r="AB33" s="23">
        <f t="shared" si="6"/>
        <v>0</v>
      </c>
      <c r="AC33" s="23">
        <f t="shared" si="6"/>
        <v>0</v>
      </c>
      <c r="AD33" s="23">
        <f t="shared" si="6"/>
        <v>0</v>
      </c>
      <c r="AE33" s="23">
        <f t="shared" si="6"/>
        <v>0</v>
      </c>
      <c r="AF33" s="17"/>
      <c r="AG33" s="15"/>
      <c r="AH33" s="15"/>
      <c r="AI33" s="15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</row>
    <row r="34" spans="1:62" ht="18.75" x14ac:dyDescent="0.3">
      <c r="A34" s="22" t="s">
        <v>27</v>
      </c>
      <c r="B34" s="23">
        <f t="shared" si="5"/>
        <v>2859.5</v>
      </c>
      <c r="C34" s="23">
        <f t="shared" si="5"/>
        <v>2616.1</v>
      </c>
      <c r="D34" s="23">
        <f t="shared" si="5"/>
        <v>2520.9</v>
      </c>
      <c r="E34" s="23">
        <f t="shared" si="5"/>
        <v>2520.9</v>
      </c>
      <c r="F34" s="25">
        <f>E34/B34*100</f>
        <v>88.158769015562171</v>
      </c>
      <c r="G34" s="25">
        <f>E34/C34*100</f>
        <v>96.360995374794541</v>
      </c>
      <c r="H34" s="23">
        <f t="shared" si="6"/>
        <v>200</v>
      </c>
      <c r="I34" s="23">
        <f t="shared" si="6"/>
        <v>0</v>
      </c>
      <c r="J34" s="23">
        <f t="shared" si="6"/>
        <v>139.5</v>
      </c>
      <c r="K34" s="23">
        <f t="shared" si="6"/>
        <v>150.9</v>
      </c>
      <c r="L34" s="23">
        <f>L40+L46+L58+L52</f>
        <v>175</v>
      </c>
      <c r="M34" s="23">
        <f t="shared" si="6"/>
        <v>281.5</v>
      </c>
      <c r="N34" s="23">
        <f t="shared" si="6"/>
        <v>0</v>
      </c>
      <c r="O34" s="23">
        <f t="shared" si="6"/>
        <v>45.3</v>
      </c>
      <c r="P34" s="23">
        <f t="shared" si="6"/>
        <v>368</v>
      </c>
      <c r="Q34" s="23">
        <f t="shared" si="6"/>
        <v>344.8</v>
      </c>
      <c r="R34" s="23">
        <f t="shared" si="6"/>
        <v>285</v>
      </c>
      <c r="S34" s="23">
        <f t="shared" si="6"/>
        <v>0</v>
      </c>
      <c r="T34" s="23">
        <f t="shared" si="6"/>
        <v>159.6</v>
      </c>
      <c r="U34" s="23">
        <f t="shared" si="6"/>
        <v>443.6</v>
      </c>
      <c r="V34" s="23">
        <f t="shared" si="6"/>
        <v>0</v>
      </c>
      <c r="W34" s="23">
        <f t="shared" si="6"/>
        <v>30</v>
      </c>
      <c r="X34" s="23">
        <f t="shared" si="6"/>
        <v>0</v>
      </c>
      <c r="Y34" s="23">
        <f t="shared" si="6"/>
        <v>30</v>
      </c>
      <c r="Z34" s="23">
        <f t="shared" si="6"/>
        <v>975.90000000000009</v>
      </c>
      <c r="AA34" s="23">
        <f t="shared" si="6"/>
        <v>975.9</v>
      </c>
      <c r="AB34" s="23">
        <f t="shared" si="6"/>
        <v>313.10000000000002</v>
      </c>
      <c r="AC34" s="23">
        <f t="shared" si="6"/>
        <v>218.9</v>
      </c>
      <c r="AD34" s="23">
        <f t="shared" si="6"/>
        <v>243.39999999999998</v>
      </c>
      <c r="AE34" s="23">
        <f t="shared" si="6"/>
        <v>0</v>
      </c>
      <c r="AF34" s="17"/>
      <c r="AG34" s="15"/>
      <c r="AH34" s="15"/>
      <c r="AI34" s="15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</row>
    <row r="35" spans="1:62" ht="18.75" x14ac:dyDescent="0.3">
      <c r="A35" s="22" t="s">
        <v>28</v>
      </c>
      <c r="B35" s="23">
        <f t="shared" si="5"/>
        <v>0</v>
      </c>
      <c r="C35" s="23">
        <f t="shared" si="5"/>
        <v>0</v>
      </c>
      <c r="D35" s="23">
        <f t="shared" si="5"/>
        <v>0</v>
      </c>
      <c r="E35" s="23">
        <f t="shared" si="5"/>
        <v>0</v>
      </c>
      <c r="F35" s="120">
        <f>IFERROR(E35/B35*100,0)</f>
        <v>0</v>
      </c>
      <c r="G35" s="120">
        <f>IFERROR(E35/C35*100,0)</f>
        <v>0</v>
      </c>
      <c r="H35" s="23">
        <f t="shared" si="6"/>
        <v>0</v>
      </c>
      <c r="I35" s="23">
        <f t="shared" si="6"/>
        <v>0</v>
      </c>
      <c r="J35" s="23">
        <f t="shared" si="6"/>
        <v>0</v>
      </c>
      <c r="K35" s="23">
        <f t="shared" si="6"/>
        <v>0</v>
      </c>
      <c r="L35" s="23">
        <f t="shared" si="6"/>
        <v>0</v>
      </c>
      <c r="M35" s="23">
        <f t="shared" si="6"/>
        <v>0</v>
      </c>
      <c r="N35" s="23">
        <f t="shared" si="6"/>
        <v>0</v>
      </c>
      <c r="O35" s="23">
        <f t="shared" si="6"/>
        <v>0</v>
      </c>
      <c r="P35" s="23">
        <f t="shared" si="6"/>
        <v>0</v>
      </c>
      <c r="Q35" s="23">
        <f t="shared" si="6"/>
        <v>0</v>
      </c>
      <c r="R35" s="23">
        <f t="shared" si="6"/>
        <v>0</v>
      </c>
      <c r="S35" s="23">
        <v>118</v>
      </c>
      <c r="T35" s="23">
        <f t="shared" si="6"/>
        <v>0</v>
      </c>
      <c r="U35" s="23">
        <f t="shared" si="6"/>
        <v>0</v>
      </c>
      <c r="V35" s="23">
        <f t="shared" si="6"/>
        <v>0</v>
      </c>
      <c r="W35" s="23">
        <f t="shared" si="6"/>
        <v>0</v>
      </c>
      <c r="X35" s="23">
        <f t="shared" si="6"/>
        <v>0</v>
      </c>
      <c r="Y35" s="23">
        <f t="shared" si="6"/>
        <v>0</v>
      </c>
      <c r="Z35" s="23">
        <f t="shared" si="6"/>
        <v>0</v>
      </c>
      <c r="AA35" s="23">
        <f t="shared" si="6"/>
        <v>0</v>
      </c>
      <c r="AB35" s="23">
        <f t="shared" si="6"/>
        <v>0</v>
      </c>
      <c r="AC35" s="23">
        <f t="shared" si="6"/>
        <v>0</v>
      </c>
      <c r="AD35" s="23">
        <f t="shared" si="6"/>
        <v>0</v>
      </c>
      <c r="AE35" s="23">
        <f t="shared" si="6"/>
        <v>0</v>
      </c>
      <c r="AF35" s="17"/>
      <c r="AG35" s="15"/>
      <c r="AH35" s="15"/>
      <c r="AI35" s="15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</row>
    <row r="36" spans="1:62" ht="18.75" x14ac:dyDescent="0.3">
      <c r="A36" s="22" t="s">
        <v>29</v>
      </c>
      <c r="B36" s="23">
        <f>B42+B48+B60+B54</f>
        <v>118</v>
      </c>
      <c r="C36" s="23">
        <f>C42+C48+C60+C54</f>
        <v>118</v>
      </c>
      <c r="D36" s="23">
        <f t="shared" si="5"/>
        <v>118</v>
      </c>
      <c r="E36" s="23">
        <f t="shared" si="5"/>
        <v>118</v>
      </c>
      <c r="F36" s="120">
        <f>IFERROR(E36/B36*100,0)</f>
        <v>100</v>
      </c>
      <c r="G36" s="120">
        <f>IFERROR(E36/C36*100,0)</f>
        <v>100</v>
      </c>
      <c r="H36" s="23">
        <f t="shared" si="6"/>
        <v>0</v>
      </c>
      <c r="I36" s="23">
        <f t="shared" si="6"/>
        <v>0</v>
      </c>
      <c r="J36" s="23">
        <f t="shared" si="6"/>
        <v>0</v>
      </c>
      <c r="K36" s="23">
        <f t="shared" si="6"/>
        <v>0</v>
      </c>
      <c r="L36" s="23">
        <f t="shared" si="6"/>
        <v>0</v>
      </c>
      <c r="M36" s="23">
        <f t="shared" si="6"/>
        <v>0</v>
      </c>
      <c r="N36" s="23">
        <f t="shared" si="6"/>
        <v>0</v>
      </c>
      <c r="O36" s="23">
        <f t="shared" si="6"/>
        <v>0</v>
      </c>
      <c r="P36" s="23">
        <f t="shared" si="6"/>
        <v>118</v>
      </c>
      <c r="Q36" s="23">
        <f t="shared" si="6"/>
        <v>0</v>
      </c>
      <c r="R36" s="23">
        <f t="shared" si="6"/>
        <v>0</v>
      </c>
      <c r="S36" s="23">
        <f t="shared" si="6"/>
        <v>118</v>
      </c>
      <c r="T36" s="23">
        <f t="shared" si="6"/>
        <v>0</v>
      </c>
      <c r="U36" s="23">
        <f t="shared" si="6"/>
        <v>0</v>
      </c>
      <c r="V36" s="23">
        <f t="shared" si="6"/>
        <v>0</v>
      </c>
      <c r="W36" s="23">
        <f t="shared" si="6"/>
        <v>0</v>
      </c>
      <c r="X36" s="23">
        <f t="shared" si="6"/>
        <v>0</v>
      </c>
      <c r="Y36" s="23">
        <f t="shared" si="6"/>
        <v>0</v>
      </c>
      <c r="Z36" s="23">
        <f t="shared" si="6"/>
        <v>0</v>
      </c>
      <c r="AA36" s="23">
        <f t="shared" si="6"/>
        <v>0</v>
      </c>
      <c r="AB36" s="23">
        <f t="shared" si="6"/>
        <v>0</v>
      </c>
      <c r="AC36" s="23">
        <f t="shared" si="6"/>
        <v>0</v>
      </c>
      <c r="AD36" s="23">
        <f t="shared" si="6"/>
        <v>0</v>
      </c>
      <c r="AE36" s="23">
        <f t="shared" si="6"/>
        <v>0</v>
      </c>
      <c r="AF36" s="17"/>
      <c r="AG36" s="15"/>
      <c r="AH36" s="15"/>
      <c r="AI36" s="15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</row>
    <row r="37" spans="1:62" ht="18.75" x14ac:dyDescent="0.25">
      <c r="A37" s="156" t="s">
        <v>60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8"/>
      <c r="AF37" s="17"/>
      <c r="AG37" s="15"/>
      <c r="AH37" s="15"/>
      <c r="AI37" s="15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</row>
    <row r="38" spans="1:62" ht="18.75" x14ac:dyDescent="0.3">
      <c r="A38" s="19" t="s">
        <v>25</v>
      </c>
      <c r="B38" s="20">
        <f>H38+J38+L38+N38+P38+R38+T38+V38+X38+Z38+AB38+AD38</f>
        <v>2262.5</v>
      </c>
      <c r="C38" s="20">
        <f>SUM(C39:C42)</f>
        <v>2019.1</v>
      </c>
      <c r="D38" s="20">
        <f>SUM(D39:D42)</f>
        <v>2013.9</v>
      </c>
      <c r="E38" s="20">
        <f>SUM(E39:E42)</f>
        <v>2013.9</v>
      </c>
      <c r="F38" s="26">
        <f>E38/B38*100</f>
        <v>89.012154696132612</v>
      </c>
      <c r="G38" s="26">
        <f>E38/C38*100</f>
        <v>99.742459511663611</v>
      </c>
      <c r="H38" s="27">
        <f>SUM(H39:H42)</f>
        <v>200</v>
      </c>
      <c r="I38" s="27">
        <f t="shared" ref="I38:AE38" si="7">SUM(I39:I42)</f>
        <v>0</v>
      </c>
      <c r="J38" s="27">
        <f t="shared" si="7"/>
        <v>139.5</v>
      </c>
      <c r="K38" s="27">
        <f t="shared" si="7"/>
        <v>150.9</v>
      </c>
      <c r="L38" s="27">
        <f t="shared" si="7"/>
        <v>0</v>
      </c>
      <c r="M38" s="27">
        <f t="shared" si="7"/>
        <v>106.5</v>
      </c>
      <c r="N38" s="27">
        <f t="shared" si="7"/>
        <v>0</v>
      </c>
      <c r="O38" s="27">
        <f t="shared" si="7"/>
        <v>45.3</v>
      </c>
      <c r="P38" s="27">
        <f t="shared" si="7"/>
        <v>486</v>
      </c>
      <c r="Q38" s="27">
        <f t="shared" si="7"/>
        <v>344.8</v>
      </c>
      <c r="R38" s="27">
        <f t="shared" si="7"/>
        <v>45</v>
      </c>
      <c r="S38" s="27">
        <f t="shared" si="7"/>
        <v>118</v>
      </c>
      <c r="T38" s="27">
        <f t="shared" si="7"/>
        <v>159.6</v>
      </c>
      <c r="U38" s="27">
        <f t="shared" si="7"/>
        <v>263.60000000000002</v>
      </c>
      <c r="V38" s="27">
        <f t="shared" si="7"/>
        <v>0</v>
      </c>
      <c r="W38" s="27">
        <f t="shared" si="7"/>
        <v>0</v>
      </c>
      <c r="X38" s="27">
        <f t="shared" si="7"/>
        <v>0</v>
      </c>
      <c r="Y38" s="27">
        <f t="shared" si="7"/>
        <v>0</v>
      </c>
      <c r="Z38" s="27">
        <f t="shared" si="7"/>
        <v>975.90000000000009</v>
      </c>
      <c r="AA38" s="27">
        <f t="shared" si="7"/>
        <v>975.9</v>
      </c>
      <c r="AB38" s="27">
        <f t="shared" si="7"/>
        <v>13.1</v>
      </c>
      <c r="AC38" s="27">
        <f t="shared" si="7"/>
        <v>8.9</v>
      </c>
      <c r="AD38" s="27">
        <f t="shared" si="7"/>
        <v>243.39999999999998</v>
      </c>
      <c r="AE38" s="27">
        <f t="shared" si="7"/>
        <v>0</v>
      </c>
      <c r="AF38" s="17"/>
      <c r="AG38" s="15"/>
      <c r="AH38" s="15"/>
      <c r="AI38" s="15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</row>
    <row r="39" spans="1:62" ht="18.75" x14ac:dyDescent="0.3">
      <c r="A39" s="22" t="s">
        <v>26</v>
      </c>
      <c r="B39" s="28">
        <f>H39+J39+L39+N39+P39+R39+T39+AD39+V39+X39+Z39+AB39</f>
        <v>0</v>
      </c>
      <c r="C39" s="29">
        <f>H39</f>
        <v>0</v>
      </c>
      <c r="D39" s="29"/>
      <c r="E39" s="28">
        <f>I39+K39+M39+O39+Q39+S39+U39+W39+Y39+AA39+AC39+AE39</f>
        <v>0</v>
      </c>
      <c r="F39" s="120">
        <f>IFERROR(E39/B39*100,0)</f>
        <v>0</v>
      </c>
      <c r="G39" s="120">
        <f>IFERROR(E39/C39*100,0)</f>
        <v>0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17"/>
      <c r="AG39" s="15"/>
      <c r="AH39" s="15"/>
      <c r="AI39" s="15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</row>
    <row r="40" spans="1:62" ht="18.75" x14ac:dyDescent="0.3">
      <c r="A40" s="22" t="s">
        <v>27</v>
      </c>
      <c r="B40" s="28">
        <f>H40+J40+L40+N40+P40+R40+T40+AD40+V40+X40+Z40+AB40</f>
        <v>2144.5</v>
      </c>
      <c r="C40" s="29">
        <f>H40+J40+L40+N40+P40+R40+T40+V40+X40+Z40+AB40</f>
        <v>1901.1</v>
      </c>
      <c r="D40" s="29">
        <f>E40</f>
        <v>1895.9</v>
      </c>
      <c r="E40" s="28">
        <f>I40+K40+M40+O40+Q40+S40+U40+W40+Y40+AA40+AC40+AE40</f>
        <v>1895.9</v>
      </c>
      <c r="F40" s="30">
        <f>E40/B40*100</f>
        <v>88.407554208440203</v>
      </c>
      <c r="G40" s="30">
        <f>E40/C40*100</f>
        <v>99.726474146546749</v>
      </c>
      <c r="H40" s="28">
        <v>200</v>
      </c>
      <c r="I40" s="28"/>
      <c r="J40" s="28">
        <v>139.5</v>
      </c>
      <c r="K40" s="28">
        <v>150.9</v>
      </c>
      <c r="L40" s="28"/>
      <c r="M40" s="28">
        <v>106.5</v>
      </c>
      <c r="N40" s="28"/>
      <c r="O40" s="27">
        <v>45.3</v>
      </c>
      <c r="P40" s="29">
        <f>200+168</f>
        <v>368</v>
      </c>
      <c r="Q40" s="29">
        <v>344.8</v>
      </c>
      <c r="R40" s="29">
        <v>45</v>
      </c>
      <c r="S40" s="29"/>
      <c r="T40" s="29">
        <v>159.6</v>
      </c>
      <c r="U40" s="29">
        <v>263.60000000000002</v>
      </c>
      <c r="V40" s="29"/>
      <c r="W40" s="29"/>
      <c r="X40" s="29"/>
      <c r="Y40" s="29"/>
      <c r="Z40" s="29">
        <f>1233.4-0.6-138.9-118</f>
        <v>975.90000000000009</v>
      </c>
      <c r="AA40" s="29">
        <v>975.9</v>
      </c>
      <c r="AB40" s="29">
        <v>13.1</v>
      </c>
      <c r="AC40" s="29">
        <v>8.9</v>
      </c>
      <c r="AD40" s="29">
        <f>138.9+118-13.5</f>
        <v>243.39999999999998</v>
      </c>
      <c r="AE40" s="27"/>
      <c r="AF40" s="17" t="s">
        <v>145</v>
      </c>
      <c r="AG40" s="15">
        <f>C40-D40</f>
        <v>5.1999999999998181</v>
      </c>
      <c r="AH40" s="15"/>
      <c r="AI40" s="15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</row>
    <row r="41" spans="1:62" ht="18.75" x14ac:dyDescent="0.3">
      <c r="A41" s="22" t="s">
        <v>28</v>
      </c>
      <c r="B41" s="28">
        <f>H41+J41+L41+N41+P41+R41+T41+AD41+V41+X41+Z41+AB41</f>
        <v>0</v>
      </c>
      <c r="C41" s="29">
        <f>H41+J41+L41+N41+P41+R41+T41+V41+X41</f>
        <v>0</v>
      </c>
      <c r="D41" s="28">
        <f>E41</f>
        <v>0</v>
      </c>
      <c r="E41" s="28">
        <f>I41+K41+M41+O41+Q41+S41+U41+W41+Y41+AA41+AC41+AE41</f>
        <v>0</v>
      </c>
      <c r="F41" s="120">
        <f>IFERROR(E41/B41*100,0)</f>
        <v>0</v>
      </c>
      <c r="G41" s="120">
        <f>IFERROR(E41/C41*100,0)</f>
        <v>0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17"/>
      <c r="AG41" s="15"/>
      <c r="AH41" s="15"/>
      <c r="AI41" s="15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</row>
    <row r="42" spans="1:62" ht="18.75" x14ac:dyDescent="0.3">
      <c r="A42" s="22" t="s">
        <v>29</v>
      </c>
      <c r="B42" s="28">
        <f>H42+J42+L42+N42+P42+R42+T42+AD42+V42+X42+Z42+AB42</f>
        <v>118</v>
      </c>
      <c r="C42" s="29">
        <f>H42+J42+L42+N42+P42+R42+T42+V42+X42</f>
        <v>118</v>
      </c>
      <c r="D42" s="29">
        <f>E42</f>
        <v>118</v>
      </c>
      <c r="E42" s="28">
        <f>I42+K42+M42+O42+Q42+S42+U42+W42+Y42+AA42+AC42+AE42</f>
        <v>118</v>
      </c>
      <c r="F42" s="120">
        <f>IFERROR(E42/B42*100,0)</f>
        <v>100</v>
      </c>
      <c r="G42" s="120">
        <f>IFERROR(E42/C42*100,0)</f>
        <v>100</v>
      </c>
      <c r="H42" s="27"/>
      <c r="I42" s="27"/>
      <c r="J42" s="27"/>
      <c r="K42" s="27"/>
      <c r="L42" s="27"/>
      <c r="M42" s="27"/>
      <c r="N42" s="27"/>
      <c r="O42" s="27"/>
      <c r="P42" s="27">
        <v>118</v>
      </c>
      <c r="Q42" s="27"/>
      <c r="R42" s="27"/>
      <c r="S42" s="27">
        <v>118</v>
      </c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17"/>
      <c r="AG42" s="15"/>
      <c r="AH42" s="15"/>
      <c r="AI42" s="15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</row>
    <row r="43" spans="1:62" ht="18.75" x14ac:dyDescent="0.25">
      <c r="A43" s="156" t="s">
        <v>61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8"/>
      <c r="AF43" s="153" t="s">
        <v>146</v>
      </c>
      <c r="AG43" s="15"/>
      <c r="AH43" s="15"/>
      <c r="AI43" s="15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</row>
    <row r="44" spans="1:62" ht="18.75" x14ac:dyDescent="0.3">
      <c r="A44" s="19" t="s">
        <v>25</v>
      </c>
      <c r="B44" s="20">
        <f>H44+J44+L44+N44+P44+R44+T44+V44+X44+Z44+AB44+AD44</f>
        <v>715</v>
      </c>
      <c r="C44" s="20">
        <f>SUM(C45:C48)</f>
        <v>715</v>
      </c>
      <c r="D44" s="20">
        <f>SUM(D45:D48)</f>
        <v>625</v>
      </c>
      <c r="E44" s="20">
        <f>SUM(E45:E48)</f>
        <v>625</v>
      </c>
      <c r="F44" s="121">
        <f>IFERROR(E44/B44*100,0)</f>
        <v>87.412587412587413</v>
      </c>
      <c r="G44" s="121">
        <f>IFERROR(E44/C44*100,0)</f>
        <v>87.412587412587413</v>
      </c>
      <c r="H44" s="13">
        <f>SUM(H45:H48)</f>
        <v>0</v>
      </c>
      <c r="I44" s="13">
        <f t="shared" ref="I44:AE44" si="8">SUM(I45:I48)</f>
        <v>0</v>
      </c>
      <c r="J44" s="13">
        <f t="shared" si="8"/>
        <v>0</v>
      </c>
      <c r="K44" s="13">
        <f t="shared" si="8"/>
        <v>0</v>
      </c>
      <c r="L44" s="13">
        <f t="shared" si="8"/>
        <v>175</v>
      </c>
      <c r="M44" s="13">
        <f t="shared" si="8"/>
        <v>175</v>
      </c>
      <c r="N44" s="13">
        <f t="shared" si="8"/>
        <v>0</v>
      </c>
      <c r="O44" s="13">
        <f t="shared" si="8"/>
        <v>0</v>
      </c>
      <c r="P44" s="13">
        <f t="shared" si="8"/>
        <v>0</v>
      </c>
      <c r="Q44" s="13">
        <f t="shared" si="8"/>
        <v>0</v>
      </c>
      <c r="R44" s="13">
        <f t="shared" si="8"/>
        <v>240</v>
      </c>
      <c r="S44" s="13">
        <f t="shared" si="8"/>
        <v>0</v>
      </c>
      <c r="T44" s="13">
        <f t="shared" si="8"/>
        <v>0</v>
      </c>
      <c r="U44" s="13">
        <f t="shared" si="8"/>
        <v>180</v>
      </c>
      <c r="V44" s="13">
        <f t="shared" si="8"/>
        <v>0</v>
      </c>
      <c r="W44" s="13">
        <f t="shared" si="8"/>
        <v>30</v>
      </c>
      <c r="X44" s="13">
        <f t="shared" si="8"/>
        <v>0</v>
      </c>
      <c r="Y44" s="13">
        <f t="shared" si="8"/>
        <v>30</v>
      </c>
      <c r="Z44" s="13">
        <f t="shared" si="8"/>
        <v>0</v>
      </c>
      <c r="AA44" s="13">
        <f t="shared" si="8"/>
        <v>0</v>
      </c>
      <c r="AB44" s="13">
        <f t="shared" si="8"/>
        <v>300</v>
      </c>
      <c r="AC44" s="13">
        <f t="shared" si="8"/>
        <v>210</v>
      </c>
      <c r="AD44" s="13">
        <f t="shared" si="8"/>
        <v>0</v>
      </c>
      <c r="AE44" s="13">
        <f t="shared" si="8"/>
        <v>0</v>
      </c>
      <c r="AF44" s="154"/>
      <c r="AG44" s="15"/>
      <c r="AH44" s="15"/>
      <c r="AI44" s="15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</row>
    <row r="45" spans="1:62" ht="18.75" x14ac:dyDescent="0.3">
      <c r="A45" s="22" t="s">
        <v>26</v>
      </c>
      <c r="B45" s="28">
        <f>H45+J45+L45+N45+P45+R45+T45+V45+X45+Z45+AB45+AD45</f>
        <v>0</v>
      </c>
      <c r="C45" s="29">
        <f>H45</f>
        <v>0</v>
      </c>
      <c r="D45" s="29"/>
      <c r="E45" s="28">
        <f>I45+K45+M45+O45+Q45+S45+U45+W45+Y45+AA45+AC45+AE45</f>
        <v>0</v>
      </c>
      <c r="F45" s="120">
        <f>IFERROR(E45/B45*100,0)</f>
        <v>0</v>
      </c>
      <c r="G45" s="120">
        <f>IFERROR(E45/C45*100,0)</f>
        <v>0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54"/>
      <c r="AG45" s="15"/>
      <c r="AH45" s="15"/>
      <c r="AI45" s="15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</row>
    <row r="46" spans="1:62" ht="42.75" customHeight="1" x14ac:dyDescent="0.3">
      <c r="A46" s="22" t="s">
        <v>27</v>
      </c>
      <c r="B46" s="28">
        <f>H46+J46+L46+N46+P46+R46+T46+V46+X46+Z46+AB46+AD46</f>
        <v>715</v>
      </c>
      <c r="C46" s="29">
        <f>H46+J46+L46+N46+P46+R46+T46+AB46</f>
        <v>715</v>
      </c>
      <c r="D46" s="29">
        <f>E46</f>
        <v>625</v>
      </c>
      <c r="E46" s="28">
        <f>I46+K46+M46+O46+Q46+S46+U46+W46+Y46+AA46+AC46+AE46</f>
        <v>625</v>
      </c>
      <c r="F46" s="120">
        <f>IFERROR(E46/B46*100,0)</f>
        <v>87.412587412587413</v>
      </c>
      <c r="G46" s="120">
        <f>IFERROR(E46/C46*100,0)</f>
        <v>87.412587412587413</v>
      </c>
      <c r="H46" s="13"/>
      <c r="I46" s="13"/>
      <c r="J46" s="23"/>
      <c r="K46" s="23"/>
      <c r="L46" s="23">
        <v>175</v>
      </c>
      <c r="M46" s="23">
        <v>175</v>
      </c>
      <c r="N46" s="23"/>
      <c r="O46" s="23"/>
      <c r="P46" s="23"/>
      <c r="Q46" s="23"/>
      <c r="R46" s="23">
        <v>240</v>
      </c>
      <c r="S46" s="13"/>
      <c r="T46" s="13"/>
      <c r="U46" s="13">
        <v>180</v>
      </c>
      <c r="V46" s="13"/>
      <c r="W46" s="13">
        <v>30</v>
      </c>
      <c r="X46" s="13"/>
      <c r="Y46" s="13">
        <v>30</v>
      </c>
      <c r="Z46" s="13"/>
      <c r="AA46" s="13"/>
      <c r="AB46" s="23">
        <v>300</v>
      </c>
      <c r="AC46" s="13">
        <v>210</v>
      </c>
      <c r="AD46" s="13"/>
      <c r="AE46" s="13"/>
      <c r="AF46" s="155"/>
      <c r="AG46" s="15">
        <f>C46-D46</f>
        <v>90</v>
      </c>
      <c r="AH46" s="15"/>
      <c r="AI46" s="15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</row>
    <row r="47" spans="1:62" ht="18.75" x14ac:dyDescent="0.3">
      <c r="A47" s="22" t="s">
        <v>28</v>
      </c>
      <c r="B47" s="28">
        <f>H47+J47+L47+N47+P47+R47+T47+V47+X47+Z47+AB47+AD47</f>
        <v>0</v>
      </c>
      <c r="C47" s="29">
        <f>H47</f>
        <v>0</v>
      </c>
      <c r="D47" s="29"/>
      <c r="E47" s="28">
        <f>I47+K47+M47+O47+Q47+S47+U47+W47+Y47+AA47+AC47+AE47</f>
        <v>0</v>
      </c>
      <c r="F47" s="120">
        <f>IFERROR(E47/B47*100,0)</f>
        <v>0</v>
      </c>
      <c r="G47" s="120">
        <f>IFERROR(E47/C47*100,0)</f>
        <v>0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7"/>
      <c r="AG47" s="15"/>
      <c r="AH47" s="15"/>
      <c r="AI47" s="15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</row>
    <row r="48" spans="1:62" ht="18.75" x14ac:dyDescent="0.3">
      <c r="A48" s="22" t="s">
        <v>29</v>
      </c>
      <c r="B48" s="28">
        <f>H48+J48+L48+N48+P48+R48+T48+V48+X48+Z48+AB48+AD48</f>
        <v>0</v>
      </c>
      <c r="C48" s="29">
        <f>H48</f>
        <v>0</v>
      </c>
      <c r="D48" s="29"/>
      <c r="E48" s="28">
        <f>I48+K48+M48+O48+Q48+S48+U48+W48+Y48+AA48+AC48+AE48</f>
        <v>0</v>
      </c>
      <c r="F48" s="120">
        <f>IFERROR(E48/B48*100,0)</f>
        <v>0</v>
      </c>
      <c r="G48" s="120">
        <f>IFERROR(E48/C48*100,0)</f>
        <v>0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7"/>
      <c r="AG48" s="15"/>
      <c r="AH48" s="15"/>
      <c r="AI48" s="15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</row>
    <row r="49" spans="1:62" ht="18.75" x14ac:dyDescent="0.25">
      <c r="A49" s="156" t="s">
        <v>62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8"/>
      <c r="AF49" s="153"/>
      <c r="AG49" s="15"/>
      <c r="AH49" s="15"/>
      <c r="AI49" s="15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</row>
    <row r="50" spans="1:62" ht="18.75" x14ac:dyDescent="0.3">
      <c r="A50" s="19" t="s">
        <v>25</v>
      </c>
      <c r="B50" s="20">
        <f>H50+J50+L50+N50+P50+R50+T50+V50+X50+Z50+AB50+AD50</f>
        <v>0</v>
      </c>
      <c r="C50" s="20">
        <f>SUM(C51:C54)</f>
        <v>0</v>
      </c>
      <c r="D50" s="20">
        <f>SUM(D51:D54)</f>
        <v>0</v>
      </c>
      <c r="E50" s="20">
        <f>SUM(E51:E54)</f>
        <v>0</v>
      </c>
      <c r="F50" s="121">
        <f>IFERROR(E50/B50*100,0)</f>
        <v>0</v>
      </c>
      <c r="G50" s="121">
        <f>IFERROR(E50/C50*100,0)</f>
        <v>0</v>
      </c>
      <c r="H50" s="13">
        <f>SUM(H51:H54)</f>
        <v>0</v>
      </c>
      <c r="I50" s="13">
        <f t="shared" ref="I50:AE50" si="9">SUM(I51:I54)</f>
        <v>0</v>
      </c>
      <c r="J50" s="13">
        <f t="shared" si="9"/>
        <v>0</v>
      </c>
      <c r="K50" s="13">
        <f t="shared" si="9"/>
        <v>0</v>
      </c>
      <c r="L50" s="13">
        <f t="shared" si="9"/>
        <v>0</v>
      </c>
      <c r="M50" s="13">
        <f t="shared" si="9"/>
        <v>0</v>
      </c>
      <c r="N50" s="13">
        <f t="shared" si="9"/>
        <v>0</v>
      </c>
      <c r="O50" s="13">
        <f t="shared" si="9"/>
        <v>0</v>
      </c>
      <c r="P50" s="13">
        <f t="shared" si="9"/>
        <v>0</v>
      </c>
      <c r="Q50" s="13">
        <f t="shared" si="9"/>
        <v>0</v>
      </c>
      <c r="R50" s="13">
        <f t="shared" si="9"/>
        <v>0</v>
      </c>
      <c r="S50" s="13">
        <f t="shared" si="9"/>
        <v>0</v>
      </c>
      <c r="T50" s="13">
        <f t="shared" si="9"/>
        <v>0</v>
      </c>
      <c r="U50" s="13">
        <f t="shared" si="9"/>
        <v>0</v>
      </c>
      <c r="V50" s="13">
        <f t="shared" si="9"/>
        <v>0</v>
      </c>
      <c r="W50" s="13">
        <f t="shared" si="9"/>
        <v>0</v>
      </c>
      <c r="X50" s="13">
        <f t="shared" si="9"/>
        <v>0</v>
      </c>
      <c r="Y50" s="13">
        <f t="shared" si="9"/>
        <v>0</v>
      </c>
      <c r="Z50" s="13">
        <f t="shared" si="9"/>
        <v>0</v>
      </c>
      <c r="AA50" s="13">
        <f t="shared" si="9"/>
        <v>0</v>
      </c>
      <c r="AB50" s="13">
        <f t="shared" si="9"/>
        <v>0</v>
      </c>
      <c r="AC50" s="13">
        <f t="shared" si="9"/>
        <v>0</v>
      </c>
      <c r="AD50" s="13">
        <f t="shared" si="9"/>
        <v>0</v>
      </c>
      <c r="AE50" s="13">
        <f t="shared" si="9"/>
        <v>0</v>
      </c>
      <c r="AF50" s="154"/>
      <c r="AG50" s="15"/>
      <c r="AH50" s="15"/>
      <c r="AI50" s="15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</row>
    <row r="51" spans="1:62" ht="18.75" x14ac:dyDescent="0.3">
      <c r="A51" s="22" t="s">
        <v>26</v>
      </c>
      <c r="B51" s="28">
        <f>H51+J51+L51+N51+P51+R51+T51+V51+X51+Z51+AB51+AD51</f>
        <v>0</v>
      </c>
      <c r="C51" s="29">
        <f>H51</f>
        <v>0</v>
      </c>
      <c r="D51" s="29"/>
      <c r="E51" s="28">
        <f>I51+K51+M51+O51+Q51+S51+U51+W51+Y51+AA51+AC51+AE51</f>
        <v>0</v>
      </c>
      <c r="F51" s="120">
        <f>IFERROR(E51/B51*100,0)</f>
        <v>0</v>
      </c>
      <c r="G51" s="120">
        <f>IFERROR(E51/C51*100,0)</f>
        <v>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54"/>
      <c r="AG51" s="15"/>
      <c r="AH51" s="15"/>
      <c r="AI51" s="15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</row>
    <row r="52" spans="1:62" ht="18.75" x14ac:dyDescent="0.3">
      <c r="A52" s="22" t="s">
        <v>27</v>
      </c>
      <c r="B52" s="28">
        <f>H52+J52+L52+N52+P52+R52+T52+V52+X52+Z52+AB52+AD52</f>
        <v>0</v>
      </c>
      <c r="C52" s="29">
        <f>H52</f>
        <v>0</v>
      </c>
      <c r="D52" s="29"/>
      <c r="E52" s="28">
        <f>I52+K52+M52+O52+Q52+S52+U52+W52+Y52+AA52+AC52+AE52</f>
        <v>0</v>
      </c>
      <c r="F52" s="120">
        <f>IFERROR(E52/B52*100,0)</f>
        <v>0</v>
      </c>
      <c r="G52" s="120">
        <f>IFERROR(E52/C52*100,0)</f>
        <v>0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23"/>
      <c r="AC52" s="13"/>
      <c r="AD52" s="13"/>
      <c r="AE52" s="13"/>
      <c r="AF52" s="155"/>
      <c r="AG52" s="15"/>
      <c r="AH52" s="15"/>
      <c r="AI52" s="15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</row>
    <row r="53" spans="1:62" ht="18.75" x14ac:dyDescent="0.3">
      <c r="A53" s="22" t="s">
        <v>28</v>
      </c>
      <c r="B53" s="28">
        <f>H53+J53+L53+N53+P53+R53+T53+V53+X53+Z53+AB53+AD53</f>
        <v>0</v>
      </c>
      <c r="C53" s="29">
        <f>H53</f>
        <v>0</v>
      </c>
      <c r="D53" s="29"/>
      <c r="E53" s="28">
        <f>I53+K53+M53+O53+Q53+S53+U53+W53+Y53+AA53+AC53+AE53</f>
        <v>0</v>
      </c>
      <c r="F53" s="120">
        <f>IFERROR(E53/B53*100,0)</f>
        <v>0</v>
      </c>
      <c r="G53" s="120">
        <f>IFERROR(E53/C53*100,0)</f>
        <v>0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7"/>
      <c r="AG53" s="15"/>
      <c r="AH53" s="15"/>
      <c r="AI53" s="15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</row>
    <row r="54" spans="1:62" ht="18.75" x14ac:dyDescent="0.3">
      <c r="A54" s="22" t="s">
        <v>29</v>
      </c>
      <c r="B54" s="28">
        <f>H54+J54+L54+N54+P54+R54+T54+V54+X54+Z54+AB54+AD54</f>
        <v>0</v>
      </c>
      <c r="C54" s="29">
        <f>H54</f>
        <v>0</v>
      </c>
      <c r="D54" s="29"/>
      <c r="E54" s="28">
        <f>I54+K54+M54+O54+Q54+S54+U54+W54+Y54+AA54+AC54+AE54</f>
        <v>0</v>
      </c>
      <c r="F54" s="120">
        <f>IFERROR(E54/B54*100,0)</f>
        <v>0</v>
      </c>
      <c r="G54" s="120">
        <f>IFERROR(E54/C54*100,0)</f>
        <v>0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7"/>
      <c r="AG54" s="15"/>
      <c r="AH54" s="15"/>
      <c r="AI54" s="15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</row>
    <row r="55" spans="1:62" ht="18.75" x14ac:dyDescent="0.25">
      <c r="A55" s="156" t="s">
        <v>63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8"/>
      <c r="AF55" s="159" t="s">
        <v>134</v>
      </c>
      <c r="AG55" s="15"/>
      <c r="AH55" s="15"/>
      <c r="AI55" s="15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</row>
    <row r="56" spans="1:62" ht="18.75" x14ac:dyDescent="0.3">
      <c r="A56" s="19" t="s">
        <v>25</v>
      </c>
      <c r="B56" s="20">
        <f>H56+J56+L56+N56+P56+R56+T56+V56+X56+Z56+AB56+AD56</f>
        <v>0</v>
      </c>
      <c r="C56" s="20">
        <f>SUM(C57:C60)</f>
        <v>0</v>
      </c>
      <c r="D56" s="20">
        <f>SUM(D57:D60)</f>
        <v>0</v>
      </c>
      <c r="E56" s="20">
        <f>SUM(E57:E60)</f>
        <v>0</v>
      </c>
      <c r="F56" s="121">
        <f>IFERROR(E56/B56*100,0)</f>
        <v>0</v>
      </c>
      <c r="G56" s="121">
        <f>IFERROR(E56/C56*100,0)</f>
        <v>0</v>
      </c>
      <c r="H56" s="13">
        <f>SUM(H57:H60)</f>
        <v>0</v>
      </c>
      <c r="I56" s="13">
        <f t="shared" ref="I56:AE56" si="10">SUM(I57:I60)</f>
        <v>0</v>
      </c>
      <c r="J56" s="13">
        <f t="shared" si="10"/>
        <v>0</v>
      </c>
      <c r="K56" s="13">
        <f t="shared" si="10"/>
        <v>0</v>
      </c>
      <c r="L56" s="13">
        <f t="shared" si="10"/>
        <v>0</v>
      </c>
      <c r="M56" s="13">
        <f t="shared" si="10"/>
        <v>0</v>
      </c>
      <c r="N56" s="13">
        <f t="shared" si="10"/>
        <v>0</v>
      </c>
      <c r="O56" s="13">
        <f t="shared" si="10"/>
        <v>0</v>
      </c>
      <c r="P56" s="13">
        <f t="shared" si="10"/>
        <v>0</v>
      </c>
      <c r="Q56" s="13">
        <f t="shared" si="10"/>
        <v>0</v>
      </c>
      <c r="R56" s="13">
        <f t="shared" si="10"/>
        <v>0</v>
      </c>
      <c r="S56" s="13">
        <f t="shared" si="10"/>
        <v>0</v>
      </c>
      <c r="T56" s="13">
        <f t="shared" si="10"/>
        <v>0</v>
      </c>
      <c r="U56" s="13">
        <f t="shared" si="10"/>
        <v>0</v>
      </c>
      <c r="V56" s="13">
        <f t="shared" si="10"/>
        <v>0</v>
      </c>
      <c r="W56" s="13">
        <f t="shared" si="10"/>
        <v>0</v>
      </c>
      <c r="X56" s="13">
        <f t="shared" si="10"/>
        <v>0</v>
      </c>
      <c r="Y56" s="13">
        <f t="shared" si="10"/>
        <v>0</v>
      </c>
      <c r="Z56" s="13">
        <f t="shared" si="10"/>
        <v>0</v>
      </c>
      <c r="AA56" s="13">
        <f t="shared" si="10"/>
        <v>0</v>
      </c>
      <c r="AB56" s="13">
        <f t="shared" si="10"/>
        <v>0</v>
      </c>
      <c r="AC56" s="13">
        <f t="shared" si="10"/>
        <v>0</v>
      </c>
      <c r="AD56" s="13">
        <f t="shared" si="10"/>
        <v>0</v>
      </c>
      <c r="AE56" s="13">
        <f t="shared" si="10"/>
        <v>0</v>
      </c>
      <c r="AF56" s="160"/>
      <c r="AG56" s="15"/>
      <c r="AH56" s="15"/>
      <c r="AI56" s="15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</row>
    <row r="57" spans="1:62" ht="18.75" x14ac:dyDescent="0.3">
      <c r="A57" s="22" t="s">
        <v>26</v>
      </c>
      <c r="B57" s="28">
        <f>H57+J57+L57+N57+P57+R57+T57+V57+X57+Z57+AB57+AD57</f>
        <v>0</v>
      </c>
      <c r="C57" s="29">
        <f>H57</f>
        <v>0</v>
      </c>
      <c r="D57" s="29"/>
      <c r="E57" s="28">
        <f>I57+K57+M57+O57+Q57+S57+U57+W57+Y57+AA57+AC57+AE57</f>
        <v>0</v>
      </c>
      <c r="F57" s="120">
        <f>IFERROR(E57/B57*100,0)</f>
        <v>0</v>
      </c>
      <c r="G57" s="120">
        <f>IFERROR(E57/C57*100,0)</f>
        <v>0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60"/>
      <c r="AG57" s="15"/>
      <c r="AH57" s="15"/>
      <c r="AI57" s="15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</row>
    <row r="58" spans="1:62" ht="18.75" x14ac:dyDescent="0.3">
      <c r="A58" s="22" t="s">
        <v>27</v>
      </c>
      <c r="B58" s="28">
        <f>H58+J58+L58+N58+P58+R58+T58+V58+X58+Z58+AB58+AD58</f>
        <v>0</v>
      </c>
      <c r="C58" s="29">
        <f>AD58</f>
        <v>0</v>
      </c>
      <c r="D58" s="28"/>
      <c r="E58" s="28">
        <f>I58+K58+M58+O58+Q58+S58+U58+W58+Y58+AA58+AC58+AE58</f>
        <v>0</v>
      </c>
      <c r="F58" s="120">
        <f>IFERROR(E58/B58*100,0)</f>
        <v>0</v>
      </c>
      <c r="G58" s="120">
        <f>IFERROR(E58/C58*100,0)</f>
        <v>0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60"/>
      <c r="AG58" s="15"/>
      <c r="AH58" s="15"/>
      <c r="AI58" s="15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</row>
    <row r="59" spans="1:62" ht="18.75" x14ac:dyDescent="0.3">
      <c r="A59" s="22" t="s">
        <v>28</v>
      </c>
      <c r="B59" s="28">
        <f>H59+J59+L59+N59+P59+R59+T59+V59+X59+Z59+AB59+AD59</f>
        <v>0</v>
      </c>
      <c r="C59" s="29">
        <f>H59</f>
        <v>0</v>
      </c>
      <c r="D59" s="29"/>
      <c r="E59" s="28">
        <f>I59+K59+M59+O59+Q59+S59+U59+W59+Y59+AA59+AC59+AE59</f>
        <v>0</v>
      </c>
      <c r="F59" s="120">
        <f>IFERROR(E59/B59*100,0)</f>
        <v>0</v>
      </c>
      <c r="G59" s="120">
        <f>IFERROR(E59/C59*100,0)</f>
        <v>0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60"/>
      <c r="AG59" s="15"/>
      <c r="AH59" s="15"/>
      <c r="AI59" s="15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</row>
    <row r="60" spans="1:62" ht="18.75" x14ac:dyDescent="0.3">
      <c r="A60" s="22" t="s">
        <v>29</v>
      </c>
      <c r="B60" s="28">
        <f>H60+J60+L60+N60+P60+R60+T60+V60+X60+Z60+AB60+AD60</f>
        <v>0</v>
      </c>
      <c r="C60" s="28">
        <f>H60+J60+L60+N60+P60+R60+T60+V60+X60+Z60+AB60</f>
        <v>0</v>
      </c>
      <c r="D60" s="29">
        <f>E60</f>
        <v>0</v>
      </c>
      <c r="E60" s="31">
        <f>I60+K60+M60+O60+Q60+S60+U60+W60+Y60+AA60+AC60+AE60</f>
        <v>0</v>
      </c>
      <c r="F60" s="120">
        <f>IFERROR(E60/B60*100,0)</f>
        <v>0</v>
      </c>
      <c r="G60" s="120">
        <f>IFERROR(E60/C60*100,0)</f>
        <v>0</v>
      </c>
      <c r="H60" s="7"/>
      <c r="I60" s="7"/>
      <c r="J60" s="8"/>
      <c r="K60" s="7"/>
      <c r="L60" s="8"/>
      <c r="M60" s="1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3"/>
      <c r="AF60" s="161"/>
      <c r="AG60" s="15"/>
      <c r="AH60" s="15"/>
      <c r="AI60" s="15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</row>
    <row r="61" spans="1:62" ht="20.25" x14ac:dyDescent="0.25">
      <c r="A61" s="141" t="s">
        <v>65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3"/>
      <c r="AF61" s="32"/>
      <c r="AG61" s="15"/>
      <c r="AH61" s="15"/>
      <c r="AI61" s="15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</row>
    <row r="62" spans="1:62" ht="18.75" x14ac:dyDescent="0.3">
      <c r="A62" s="19" t="s">
        <v>25</v>
      </c>
      <c r="B62" s="20">
        <f>H62+J62+L62+N62+P62+R62+T62+V62+X62+Z62+AB62+AD62</f>
        <v>87104.300000000017</v>
      </c>
      <c r="C62" s="27">
        <f>SUM(C63:C66)</f>
        <v>77960.700000000012</v>
      </c>
      <c r="D62" s="27">
        <f>SUM(D63:D66)</f>
        <v>74982.799999999988</v>
      </c>
      <c r="E62" s="27">
        <f>SUM(E63:E66)</f>
        <v>74982.799999999988</v>
      </c>
      <c r="F62" s="121">
        <f>IFERROR(E62/B62*100,0)</f>
        <v>86.083924674212369</v>
      </c>
      <c r="G62" s="121">
        <f>IFERROR(E62/C62*100,0)</f>
        <v>96.180254923313896</v>
      </c>
      <c r="H62" s="13">
        <f>SUM(H63:H66)</f>
        <v>9271.6</v>
      </c>
      <c r="I62" s="13">
        <f t="shared" ref="I62:AE62" si="11">SUM(I63:I66)</f>
        <v>9236</v>
      </c>
      <c r="J62" s="13">
        <f t="shared" si="11"/>
        <v>10824.3</v>
      </c>
      <c r="K62" s="13">
        <f t="shared" si="11"/>
        <v>10824.3</v>
      </c>
      <c r="L62" s="13">
        <f t="shared" si="11"/>
        <v>7270.3</v>
      </c>
      <c r="M62" s="13">
        <f t="shared" si="11"/>
        <v>7270.3</v>
      </c>
      <c r="N62" s="13">
        <f t="shared" si="11"/>
        <v>9167.7999999999993</v>
      </c>
      <c r="O62" s="13">
        <f t="shared" si="11"/>
        <v>13729.4</v>
      </c>
      <c r="P62" s="13">
        <f t="shared" si="11"/>
        <v>8816.4</v>
      </c>
      <c r="Q62" s="13">
        <f t="shared" si="11"/>
        <v>8852</v>
      </c>
      <c r="R62" s="13">
        <f t="shared" si="11"/>
        <v>9427.4</v>
      </c>
      <c r="S62" s="13">
        <f t="shared" si="11"/>
        <v>5480</v>
      </c>
      <c r="T62" s="13">
        <f t="shared" si="11"/>
        <v>6210.3</v>
      </c>
      <c r="U62" s="13">
        <f t="shared" si="11"/>
        <v>4174.7</v>
      </c>
      <c r="V62" s="13">
        <f t="shared" si="11"/>
        <v>5131.8</v>
      </c>
      <c r="W62" s="13">
        <f t="shared" si="11"/>
        <v>2481.1999999999998</v>
      </c>
      <c r="X62" s="13">
        <f t="shared" si="11"/>
        <v>2432.1999999999998</v>
      </c>
      <c r="Y62" s="13">
        <f t="shared" si="11"/>
        <v>5082.8</v>
      </c>
      <c r="Z62" s="13">
        <f t="shared" si="11"/>
        <v>6111.8</v>
      </c>
      <c r="AA62" s="13">
        <f t="shared" si="11"/>
        <v>7533.2</v>
      </c>
      <c r="AB62" s="13">
        <f t="shared" si="11"/>
        <v>3296.8</v>
      </c>
      <c r="AC62" s="13">
        <f t="shared" si="11"/>
        <v>318.89999999999998</v>
      </c>
      <c r="AD62" s="13">
        <f t="shared" si="11"/>
        <v>9143.6</v>
      </c>
      <c r="AE62" s="13">
        <f t="shared" si="11"/>
        <v>0</v>
      </c>
      <c r="AF62" s="32"/>
      <c r="AG62" s="15"/>
      <c r="AH62" s="15"/>
      <c r="AI62" s="15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</row>
    <row r="63" spans="1:62" ht="18.75" x14ac:dyDescent="0.3">
      <c r="A63" s="22" t="s">
        <v>26</v>
      </c>
      <c r="B63" s="28">
        <f t="shared" ref="B63:E66" si="12">B69</f>
        <v>0</v>
      </c>
      <c r="C63" s="28">
        <f t="shared" si="12"/>
        <v>0</v>
      </c>
      <c r="D63" s="28">
        <f t="shared" si="12"/>
        <v>0</v>
      </c>
      <c r="E63" s="28">
        <f t="shared" si="12"/>
        <v>0</v>
      </c>
      <c r="F63" s="120">
        <f>IFERROR(E63/B63*100,0)</f>
        <v>0</v>
      </c>
      <c r="G63" s="120">
        <f>IFERROR(E63/C63*100,0)</f>
        <v>0</v>
      </c>
      <c r="H63" s="28">
        <f>H69</f>
        <v>0</v>
      </c>
      <c r="I63" s="28">
        <f t="shared" ref="I63:AE66" si="13">I69</f>
        <v>0</v>
      </c>
      <c r="J63" s="28">
        <f t="shared" si="13"/>
        <v>0</v>
      </c>
      <c r="K63" s="28">
        <f t="shared" si="13"/>
        <v>0</v>
      </c>
      <c r="L63" s="28">
        <f t="shared" si="13"/>
        <v>0</v>
      </c>
      <c r="M63" s="28">
        <f t="shared" si="13"/>
        <v>0</v>
      </c>
      <c r="N63" s="28">
        <f t="shared" si="13"/>
        <v>0</v>
      </c>
      <c r="O63" s="28">
        <f t="shared" si="13"/>
        <v>0</v>
      </c>
      <c r="P63" s="28">
        <f t="shared" si="13"/>
        <v>0</v>
      </c>
      <c r="Q63" s="28">
        <f t="shared" si="13"/>
        <v>0</v>
      </c>
      <c r="R63" s="28">
        <f t="shared" si="13"/>
        <v>0</v>
      </c>
      <c r="S63" s="28">
        <f t="shared" si="13"/>
        <v>0</v>
      </c>
      <c r="T63" s="28">
        <f t="shared" si="13"/>
        <v>0</v>
      </c>
      <c r="U63" s="28">
        <f t="shared" si="13"/>
        <v>0</v>
      </c>
      <c r="V63" s="28">
        <f t="shared" si="13"/>
        <v>0</v>
      </c>
      <c r="W63" s="28">
        <f t="shared" si="13"/>
        <v>0</v>
      </c>
      <c r="X63" s="28">
        <f t="shared" si="13"/>
        <v>0</v>
      </c>
      <c r="Y63" s="28">
        <f t="shared" si="13"/>
        <v>0</v>
      </c>
      <c r="Z63" s="28">
        <f t="shared" si="13"/>
        <v>0</v>
      </c>
      <c r="AA63" s="28">
        <f t="shared" si="13"/>
        <v>0</v>
      </c>
      <c r="AB63" s="28">
        <f t="shared" si="13"/>
        <v>0</v>
      </c>
      <c r="AC63" s="28">
        <f t="shared" si="13"/>
        <v>0</v>
      </c>
      <c r="AD63" s="28">
        <f t="shared" si="13"/>
        <v>0</v>
      </c>
      <c r="AE63" s="28">
        <f t="shared" si="13"/>
        <v>0</v>
      </c>
      <c r="AF63" s="32"/>
      <c r="AG63" s="15"/>
      <c r="AH63" s="15"/>
      <c r="AI63" s="15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</row>
    <row r="64" spans="1:62" ht="18.75" x14ac:dyDescent="0.3">
      <c r="A64" s="22" t="s">
        <v>27</v>
      </c>
      <c r="B64" s="28">
        <f t="shared" si="12"/>
        <v>87104.300000000017</v>
      </c>
      <c r="C64" s="28">
        <f>C70</f>
        <v>77960.700000000012</v>
      </c>
      <c r="D64" s="28">
        <f>D70</f>
        <v>74982.799999999988</v>
      </c>
      <c r="E64" s="28">
        <f t="shared" si="12"/>
        <v>74982.799999999988</v>
      </c>
      <c r="F64" s="120">
        <f>IFERROR(E64/B64*100,0)</f>
        <v>86.083924674212369</v>
      </c>
      <c r="G64" s="120">
        <f>IFERROR(E64/C64*100,0)</f>
        <v>96.180254923313896</v>
      </c>
      <c r="H64" s="28">
        <f>H70</f>
        <v>9271.6</v>
      </c>
      <c r="I64" s="28">
        <f t="shared" si="13"/>
        <v>9236</v>
      </c>
      <c r="J64" s="28">
        <f t="shared" si="13"/>
        <v>10824.3</v>
      </c>
      <c r="K64" s="28">
        <f t="shared" si="13"/>
        <v>10824.3</v>
      </c>
      <c r="L64" s="28">
        <f t="shared" si="13"/>
        <v>7270.3</v>
      </c>
      <c r="M64" s="28">
        <f t="shared" si="13"/>
        <v>7270.3</v>
      </c>
      <c r="N64" s="28">
        <f t="shared" si="13"/>
        <v>9167.7999999999993</v>
      </c>
      <c r="O64" s="28">
        <f t="shared" si="13"/>
        <v>13729.4</v>
      </c>
      <c r="P64" s="28">
        <f t="shared" si="13"/>
        <v>8816.4</v>
      </c>
      <c r="Q64" s="28">
        <f t="shared" si="13"/>
        <v>8852</v>
      </c>
      <c r="R64" s="28">
        <f t="shared" si="13"/>
        <v>9427.4</v>
      </c>
      <c r="S64" s="28">
        <v>5480</v>
      </c>
      <c r="T64" s="28">
        <f>T70</f>
        <v>6210.3</v>
      </c>
      <c r="U64" s="28">
        <f>U70</f>
        <v>4174.7</v>
      </c>
      <c r="V64" s="28">
        <f>V70</f>
        <v>5131.8</v>
      </c>
      <c r="W64" s="28">
        <f>W70</f>
        <v>2481.1999999999998</v>
      </c>
      <c r="X64" s="28">
        <f t="shared" si="13"/>
        <v>2432.1999999999998</v>
      </c>
      <c r="Y64" s="28">
        <f t="shared" si="13"/>
        <v>5082.8</v>
      </c>
      <c r="Z64" s="28">
        <f t="shared" si="13"/>
        <v>6111.8</v>
      </c>
      <c r="AA64" s="28">
        <f t="shared" si="13"/>
        <v>7533.2</v>
      </c>
      <c r="AB64" s="28">
        <f t="shared" si="13"/>
        <v>3296.8</v>
      </c>
      <c r="AC64" s="28">
        <f t="shared" si="13"/>
        <v>318.89999999999998</v>
      </c>
      <c r="AD64" s="28">
        <f t="shared" si="13"/>
        <v>9143.6</v>
      </c>
      <c r="AE64" s="28">
        <f t="shared" si="13"/>
        <v>0</v>
      </c>
      <c r="AF64" s="32"/>
      <c r="AG64" s="15"/>
      <c r="AH64" s="15"/>
      <c r="AI64" s="15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</row>
    <row r="65" spans="1:62" ht="18.75" x14ac:dyDescent="0.3">
      <c r="A65" s="22" t="s">
        <v>28</v>
      </c>
      <c r="B65" s="28">
        <f t="shared" si="12"/>
        <v>0</v>
      </c>
      <c r="C65" s="28">
        <f t="shared" si="12"/>
        <v>0</v>
      </c>
      <c r="D65" s="28">
        <f t="shared" si="12"/>
        <v>0</v>
      </c>
      <c r="E65" s="28">
        <f t="shared" si="12"/>
        <v>0</v>
      </c>
      <c r="F65" s="120">
        <f>IFERROR(E65/B65*100,0)</f>
        <v>0</v>
      </c>
      <c r="G65" s="120">
        <f>IFERROR(E65/C65*100,0)</f>
        <v>0</v>
      </c>
      <c r="H65" s="28">
        <f>H71</f>
        <v>0</v>
      </c>
      <c r="I65" s="28">
        <f t="shared" si="13"/>
        <v>0</v>
      </c>
      <c r="J65" s="28">
        <f t="shared" si="13"/>
        <v>0</v>
      </c>
      <c r="K65" s="28">
        <f t="shared" si="13"/>
        <v>0</v>
      </c>
      <c r="L65" s="28">
        <f t="shared" si="13"/>
        <v>0</v>
      </c>
      <c r="M65" s="28">
        <f t="shared" si="13"/>
        <v>0</v>
      </c>
      <c r="N65" s="28">
        <f t="shared" si="13"/>
        <v>0</v>
      </c>
      <c r="O65" s="28">
        <f t="shared" si="13"/>
        <v>0</v>
      </c>
      <c r="P65" s="28">
        <f t="shared" si="13"/>
        <v>0</v>
      </c>
      <c r="Q65" s="28">
        <f t="shared" si="13"/>
        <v>0</v>
      </c>
      <c r="R65" s="28">
        <f t="shared" si="13"/>
        <v>0</v>
      </c>
      <c r="S65" s="28">
        <f t="shared" si="13"/>
        <v>0</v>
      </c>
      <c r="T65" s="28">
        <f t="shared" si="13"/>
        <v>0</v>
      </c>
      <c r="U65" s="28">
        <f t="shared" si="13"/>
        <v>0</v>
      </c>
      <c r="V65" s="28">
        <f t="shared" si="13"/>
        <v>0</v>
      </c>
      <c r="W65" s="28">
        <f t="shared" si="13"/>
        <v>0</v>
      </c>
      <c r="X65" s="28">
        <f t="shared" si="13"/>
        <v>0</v>
      </c>
      <c r="Y65" s="28">
        <f t="shared" si="13"/>
        <v>0</v>
      </c>
      <c r="Z65" s="28">
        <f t="shared" si="13"/>
        <v>0</v>
      </c>
      <c r="AA65" s="28">
        <f t="shared" si="13"/>
        <v>0</v>
      </c>
      <c r="AB65" s="28">
        <f t="shared" si="13"/>
        <v>0</v>
      </c>
      <c r="AC65" s="28">
        <f t="shared" si="13"/>
        <v>0</v>
      </c>
      <c r="AD65" s="28">
        <f t="shared" si="13"/>
        <v>0</v>
      </c>
      <c r="AE65" s="28">
        <f t="shared" si="13"/>
        <v>0</v>
      </c>
      <c r="AF65" s="32"/>
      <c r="AG65" s="15"/>
      <c r="AH65" s="15"/>
      <c r="AI65" s="15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</row>
    <row r="66" spans="1:62" ht="18.75" x14ac:dyDescent="0.3">
      <c r="A66" s="22" t="s">
        <v>29</v>
      </c>
      <c r="B66" s="28">
        <f t="shared" si="12"/>
        <v>0</v>
      </c>
      <c r="C66" s="28">
        <f t="shared" si="12"/>
        <v>0</v>
      </c>
      <c r="D66" s="28">
        <f t="shared" si="12"/>
        <v>0</v>
      </c>
      <c r="E66" s="28">
        <f t="shared" si="12"/>
        <v>0</v>
      </c>
      <c r="F66" s="120">
        <f>IFERROR(E66/B66*100,0)</f>
        <v>0</v>
      </c>
      <c r="G66" s="120">
        <f>IFERROR(E66/C66*100,0)</f>
        <v>0</v>
      </c>
      <c r="H66" s="28">
        <f>H72</f>
        <v>0</v>
      </c>
      <c r="I66" s="28">
        <f t="shared" si="13"/>
        <v>0</v>
      </c>
      <c r="J66" s="28">
        <f t="shared" si="13"/>
        <v>0</v>
      </c>
      <c r="K66" s="28">
        <f t="shared" si="13"/>
        <v>0</v>
      </c>
      <c r="L66" s="28">
        <f t="shared" si="13"/>
        <v>0</v>
      </c>
      <c r="M66" s="28">
        <f t="shared" si="13"/>
        <v>0</v>
      </c>
      <c r="N66" s="28">
        <f t="shared" si="13"/>
        <v>0</v>
      </c>
      <c r="O66" s="28">
        <f t="shared" si="13"/>
        <v>0</v>
      </c>
      <c r="P66" s="28">
        <f t="shared" si="13"/>
        <v>0</v>
      </c>
      <c r="Q66" s="28">
        <f t="shared" si="13"/>
        <v>0</v>
      </c>
      <c r="R66" s="28">
        <f t="shared" si="13"/>
        <v>0</v>
      </c>
      <c r="S66" s="28">
        <f t="shared" si="13"/>
        <v>0</v>
      </c>
      <c r="T66" s="28">
        <f t="shared" si="13"/>
        <v>0</v>
      </c>
      <c r="U66" s="28">
        <f t="shared" si="13"/>
        <v>0</v>
      </c>
      <c r="V66" s="28">
        <f t="shared" si="13"/>
        <v>0</v>
      </c>
      <c r="W66" s="28">
        <f t="shared" si="13"/>
        <v>0</v>
      </c>
      <c r="X66" s="28">
        <f t="shared" si="13"/>
        <v>0</v>
      </c>
      <c r="Y66" s="28">
        <f t="shared" si="13"/>
        <v>0</v>
      </c>
      <c r="Z66" s="28">
        <f t="shared" si="13"/>
        <v>0</v>
      </c>
      <c r="AA66" s="28">
        <f t="shared" si="13"/>
        <v>0</v>
      </c>
      <c r="AB66" s="28">
        <f t="shared" si="13"/>
        <v>0</v>
      </c>
      <c r="AC66" s="28">
        <f t="shared" si="13"/>
        <v>0</v>
      </c>
      <c r="AD66" s="28">
        <f t="shared" si="13"/>
        <v>0</v>
      </c>
      <c r="AE66" s="28">
        <f t="shared" si="13"/>
        <v>0</v>
      </c>
      <c r="AF66" s="32"/>
      <c r="AG66" s="15"/>
      <c r="AH66" s="15"/>
      <c r="AI66" s="15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</row>
    <row r="67" spans="1:62" ht="18.75" x14ac:dyDescent="0.25">
      <c r="A67" s="156" t="s">
        <v>64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8"/>
      <c r="AF67" s="153" t="s">
        <v>135</v>
      </c>
      <c r="AG67" s="15"/>
      <c r="AH67" s="15"/>
      <c r="AI67" s="15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</row>
    <row r="68" spans="1:62" ht="18.75" x14ac:dyDescent="0.3">
      <c r="A68" s="19" t="s">
        <v>25</v>
      </c>
      <c r="B68" s="20">
        <f>H68+J68+L68+N68+P68+R68+T68+V68+X68+Z68+AB68+AD68</f>
        <v>87104.300000000017</v>
      </c>
      <c r="C68" s="20">
        <f>SUM(C69:C72)</f>
        <v>77960.700000000012</v>
      </c>
      <c r="D68" s="20">
        <f>SUM(D69:D72)</f>
        <v>74982.799999999988</v>
      </c>
      <c r="E68" s="20">
        <f>SUM(E69:E72)</f>
        <v>74982.799999999988</v>
      </c>
      <c r="F68" s="121">
        <f>IFERROR(E68/B68*100,0)</f>
        <v>86.083924674212369</v>
      </c>
      <c r="G68" s="121">
        <f>IFERROR(E68/C68*100,0)</f>
        <v>96.180254923313896</v>
      </c>
      <c r="H68" s="13">
        <f>SUM(H69:H72)</f>
        <v>9271.6</v>
      </c>
      <c r="I68" s="13">
        <f t="shared" ref="I68:AE68" si="14">SUM(I69:I72)</f>
        <v>9236</v>
      </c>
      <c r="J68" s="13">
        <f t="shared" si="14"/>
        <v>10824.3</v>
      </c>
      <c r="K68" s="13">
        <f t="shared" si="14"/>
        <v>10824.3</v>
      </c>
      <c r="L68" s="13">
        <f t="shared" si="14"/>
        <v>7270.3</v>
      </c>
      <c r="M68" s="13">
        <f t="shared" si="14"/>
        <v>7270.3</v>
      </c>
      <c r="N68" s="13">
        <f t="shared" si="14"/>
        <v>9167.7999999999993</v>
      </c>
      <c r="O68" s="13">
        <f t="shared" si="14"/>
        <v>13729.4</v>
      </c>
      <c r="P68" s="13">
        <f t="shared" si="14"/>
        <v>8816.4</v>
      </c>
      <c r="Q68" s="13">
        <f t="shared" si="14"/>
        <v>8852</v>
      </c>
      <c r="R68" s="13">
        <f t="shared" si="14"/>
        <v>9427.4</v>
      </c>
      <c r="S68" s="13">
        <f t="shared" si="14"/>
        <v>5480</v>
      </c>
      <c r="T68" s="13">
        <f t="shared" si="14"/>
        <v>6210.3</v>
      </c>
      <c r="U68" s="13">
        <f t="shared" si="14"/>
        <v>4174.7</v>
      </c>
      <c r="V68" s="13">
        <f t="shared" si="14"/>
        <v>5131.8</v>
      </c>
      <c r="W68" s="13">
        <f t="shared" si="14"/>
        <v>2481.1999999999998</v>
      </c>
      <c r="X68" s="13">
        <f t="shared" si="14"/>
        <v>2432.1999999999998</v>
      </c>
      <c r="Y68" s="13">
        <f t="shared" si="14"/>
        <v>5082.8</v>
      </c>
      <c r="Z68" s="13">
        <f t="shared" si="14"/>
        <v>6111.8</v>
      </c>
      <c r="AA68" s="13">
        <f t="shared" si="14"/>
        <v>7533.2</v>
      </c>
      <c r="AB68" s="13">
        <f t="shared" si="14"/>
        <v>3296.8</v>
      </c>
      <c r="AC68" s="13">
        <f t="shared" si="14"/>
        <v>318.89999999999998</v>
      </c>
      <c r="AD68" s="13">
        <f t="shared" si="14"/>
        <v>9143.6</v>
      </c>
      <c r="AE68" s="13">
        <f t="shared" si="14"/>
        <v>0</v>
      </c>
      <c r="AF68" s="154"/>
      <c r="AG68" s="15"/>
      <c r="AH68" s="15"/>
      <c r="AI68" s="15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</row>
    <row r="69" spans="1:62" ht="18.75" x14ac:dyDescent="0.3">
      <c r="A69" s="22" t="s">
        <v>26</v>
      </c>
      <c r="B69" s="28">
        <f>H69+J69+L69+N69+P69+R69+T69+V69+X69+Z69+AB69+AD69</f>
        <v>0</v>
      </c>
      <c r="C69" s="29">
        <f>H69</f>
        <v>0</v>
      </c>
      <c r="D69" s="28">
        <f>E69</f>
        <v>0</v>
      </c>
      <c r="E69" s="28">
        <f>I69+K69+M69+O69+Q69+S69+U69+W69+Y69+AA69+AC69+AE69</f>
        <v>0</v>
      </c>
      <c r="F69" s="120">
        <f>IFERROR(E69/B69*100,0)</f>
        <v>0</v>
      </c>
      <c r="G69" s="120">
        <f>IFERROR(E69/C69*100,0)</f>
        <v>0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154"/>
      <c r="AG69" s="15"/>
      <c r="AH69" s="15"/>
      <c r="AI69" s="15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</row>
    <row r="70" spans="1:62" ht="18.75" x14ac:dyDescent="0.3">
      <c r="A70" s="22" t="s">
        <v>27</v>
      </c>
      <c r="B70" s="28">
        <f>H70+J70+L70+N70+P70+R70+T70+V70+X70+Z70+AB70+AD70</f>
        <v>87104.300000000017</v>
      </c>
      <c r="C70" s="29">
        <f>H70+J70+L70+N70+P70+R70+T70+V70+X70+Z70+AB70</f>
        <v>77960.700000000012</v>
      </c>
      <c r="D70" s="29">
        <f>E70</f>
        <v>74982.799999999988</v>
      </c>
      <c r="E70" s="28">
        <f>I70+K70+M70+O70+Q70+S70+U70+W70+Y70+AA70+AC70+AE70</f>
        <v>74982.799999999988</v>
      </c>
      <c r="F70" s="120">
        <f>IFERROR(E70/B70*100,0)</f>
        <v>86.083924674212369</v>
      </c>
      <c r="G70" s="120">
        <f>IFERROR(E70/C70*100,0)</f>
        <v>96.180254923313896</v>
      </c>
      <c r="H70" s="23">
        <v>9271.6</v>
      </c>
      <c r="I70" s="23">
        <v>9236</v>
      </c>
      <c r="J70" s="23">
        <v>10824.3</v>
      </c>
      <c r="K70" s="23">
        <v>10824.3</v>
      </c>
      <c r="L70" s="23">
        <f>7041.7+228.6</f>
        <v>7270.3</v>
      </c>
      <c r="M70" s="23">
        <v>7270.3</v>
      </c>
      <c r="N70" s="23">
        <f>13729.4-4561.6</f>
        <v>9167.7999999999993</v>
      </c>
      <c r="O70" s="23">
        <f>13729.4</f>
        <v>13729.4</v>
      </c>
      <c r="P70" s="23">
        <v>8816.4</v>
      </c>
      <c r="Q70" s="23">
        <v>8852</v>
      </c>
      <c r="R70" s="23">
        <f>7875.1+1552.3</f>
        <v>9427.4</v>
      </c>
      <c r="S70" s="23">
        <v>5480</v>
      </c>
      <c r="T70" s="23">
        <v>6210.3</v>
      </c>
      <c r="U70" s="23">
        <v>4174.7</v>
      </c>
      <c r="V70" s="23">
        <v>5131.8</v>
      </c>
      <c r="W70" s="23">
        <v>2481.1999999999998</v>
      </c>
      <c r="X70" s="23">
        <f>5086.9-2654.7</f>
        <v>2432.1999999999998</v>
      </c>
      <c r="Y70" s="23">
        <v>5082.8</v>
      </c>
      <c r="Z70" s="23">
        <f>4180.1+1931.7</f>
        <v>6111.8</v>
      </c>
      <c r="AA70" s="23">
        <v>7533.2</v>
      </c>
      <c r="AB70" s="23">
        <v>3296.8</v>
      </c>
      <c r="AC70" s="23">
        <v>318.89999999999998</v>
      </c>
      <c r="AD70" s="23">
        <f>3296.9-228.6+4561.6+2654.7-1931.7+790.7</f>
        <v>9143.6</v>
      </c>
      <c r="AE70" s="23"/>
      <c r="AF70" s="154"/>
      <c r="AG70" s="15">
        <f>C70-D70</f>
        <v>2977.9000000000233</v>
      </c>
      <c r="AH70" s="15"/>
      <c r="AI70" s="15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</row>
    <row r="71" spans="1:62" ht="18.75" x14ac:dyDescent="0.3">
      <c r="A71" s="22" t="s">
        <v>28</v>
      </c>
      <c r="B71" s="28">
        <f>H71+J71+L71+N71+P71+R71+T71+V71+X71+Z71+AB71+AD71</f>
        <v>0</v>
      </c>
      <c r="C71" s="29">
        <f>H71</f>
        <v>0</v>
      </c>
      <c r="D71" s="29"/>
      <c r="E71" s="28">
        <f>I71+K71+M71+O71+Q71+S71+U71+W71+Y71+AA71+AC71+AE71</f>
        <v>0</v>
      </c>
      <c r="F71" s="120">
        <f>IFERROR(E71/B71*100,0)</f>
        <v>0</v>
      </c>
      <c r="G71" s="120">
        <f>IFERROR(E71/C71*100,0)</f>
        <v>0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54"/>
      <c r="AG71" s="15"/>
      <c r="AH71" s="15"/>
      <c r="AI71" s="15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</row>
    <row r="72" spans="1:62" ht="18.75" x14ac:dyDescent="0.3">
      <c r="A72" s="22" t="s">
        <v>29</v>
      </c>
      <c r="B72" s="28">
        <f>H72+J72+L72+N72+P72+R72+T72+V72+X72+Z72+AB72+AD72</f>
        <v>0</v>
      </c>
      <c r="C72" s="29">
        <f>H72</f>
        <v>0</v>
      </c>
      <c r="D72" s="29"/>
      <c r="E72" s="28">
        <f>I72+K72+M72+O72+Q72+S72+U72+W72+Y72+AA72+AC72+AE72</f>
        <v>0</v>
      </c>
      <c r="F72" s="120">
        <f>IFERROR(E72/B72*100,0)</f>
        <v>0</v>
      </c>
      <c r="G72" s="120">
        <f>IFERROR(E72/C72*100,0)</f>
        <v>0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55"/>
      <c r="AG72" s="15"/>
      <c r="AH72" s="15"/>
      <c r="AI72" s="15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</row>
    <row r="73" spans="1:62" ht="20.25" x14ac:dyDescent="0.25">
      <c r="A73" s="141" t="s">
        <v>66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3"/>
      <c r="AF73" s="154"/>
      <c r="AG73" s="15"/>
      <c r="AH73" s="15"/>
      <c r="AI73" s="15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</row>
    <row r="74" spans="1:62" ht="18.75" x14ac:dyDescent="0.3">
      <c r="A74" s="19" t="s">
        <v>25</v>
      </c>
      <c r="B74" s="27">
        <f>H74+J74+L74+N74+P74+R74+T74+V74+X74+Z74+AB74+AD74</f>
        <v>2302495.5</v>
      </c>
      <c r="C74" s="27">
        <f>SUM(C75:C78)</f>
        <v>2093995</v>
      </c>
      <c r="D74" s="27">
        <f>SUM(D75:D78)</f>
        <v>2049885.7</v>
      </c>
      <c r="E74" s="27">
        <f>SUM(E75:E78)</f>
        <v>2049885.7</v>
      </c>
      <c r="F74" s="121">
        <f>IFERROR(E74/B74*100,0)</f>
        <v>89.028868894640624</v>
      </c>
      <c r="G74" s="121">
        <f>IFERROR(E74/C74*100,0)</f>
        <v>97.893533652181603</v>
      </c>
      <c r="H74" s="13">
        <f>SUM(H75:H78)</f>
        <v>162454.69999999998</v>
      </c>
      <c r="I74" s="13">
        <f t="shared" ref="I74:AE74" si="15">SUM(I75:I78)</f>
        <v>159921.80000000002</v>
      </c>
      <c r="J74" s="13">
        <f t="shared" si="15"/>
        <v>230761.69999999998</v>
      </c>
      <c r="K74" s="13">
        <f t="shared" si="15"/>
        <v>224070.7</v>
      </c>
      <c r="L74" s="13">
        <f t="shared" si="15"/>
        <v>210279.1</v>
      </c>
      <c r="M74" s="13">
        <f t="shared" si="15"/>
        <v>207338.1</v>
      </c>
      <c r="N74" s="13">
        <f t="shared" si="15"/>
        <v>201234.19999999998</v>
      </c>
      <c r="O74" s="13">
        <f t="shared" si="15"/>
        <v>195571.3</v>
      </c>
      <c r="P74" s="13">
        <f t="shared" si="15"/>
        <v>409807.30000000005</v>
      </c>
      <c r="Q74" s="13">
        <f t="shared" si="15"/>
        <v>402359.89999999997</v>
      </c>
      <c r="R74" s="13">
        <f t="shared" si="15"/>
        <v>207453.4</v>
      </c>
      <c r="S74" s="13">
        <f t="shared" si="15"/>
        <v>190268</v>
      </c>
      <c r="T74" s="13">
        <f t="shared" si="15"/>
        <v>150367.1</v>
      </c>
      <c r="U74" s="13">
        <f t="shared" si="15"/>
        <v>169098.1</v>
      </c>
      <c r="V74" s="13">
        <f t="shared" si="15"/>
        <v>100547.6</v>
      </c>
      <c r="W74" s="13">
        <f t="shared" si="15"/>
        <v>99587.900000000023</v>
      </c>
      <c r="X74" s="13">
        <f t="shared" si="15"/>
        <v>139585.9</v>
      </c>
      <c r="Y74" s="13">
        <f t="shared" si="15"/>
        <v>145342.9</v>
      </c>
      <c r="Z74" s="13">
        <f t="shared" si="15"/>
        <v>143222</v>
      </c>
      <c r="AA74" s="13">
        <f t="shared" si="15"/>
        <v>143484.19999999998</v>
      </c>
      <c r="AB74" s="13">
        <f t="shared" si="15"/>
        <v>143051</v>
      </c>
      <c r="AC74" s="13">
        <f t="shared" si="15"/>
        <v>112842.79999999999</v>
      </c>
      <c r="AD74" s="13">
        <f t="shared" si="15"/>
        <v>203731.5</v>
      </c>
      <c r="AE74" s="13">
        <f t="shared" si="15"/>
        <v>0</v>
      </c>
      <c r="AF74" s="154"/>
      <c r="AG74" s="15"/>
      <c r="AH74" s="15"/>
      <c r="AI74" s="15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</row>
    <row r="75" spans="1:62" ht="18.75" x14ac:dyDescent="0.3">
      <c r="A75" s="22" t="s">
        <v>26</v>
      </c>
      <c r="B75" s="28">
        <f t="shared" ref="B75:E76" si="16">B81+B87+B93</f>
        <v>1850378.5999999999</v>
      </c>
      <c r="C75" s="28">
        <f t="shared" si="16"/>
        <v>1668923.9</v>
      </c>
      <c r="D75" s="28">
        <f t="shared" si="16"/>
        <v>1641216.7</v>
      </c>
      <c r="E75" s="28">
        <f t="shared" si="16"/>
        <v>1641216.7</v>
      </c>
      <c r="F75" s="120">
        <f>IFERROR(E75/B75*100,0)</f>
        <v>88.696264645516337</v>
      </c>
      <c r="G75" s="120">
        <f>IFERROR(E75/C75*100,0)</f>
        <v>98.339816452985062</v>
      </c>
      <c r="H75" s="23">
        <f>H81+H87+H93</f>
        <v>105198.2</v>
      </c>
      <c r="I75" s="23">
        <f t="shared" ref="I75:AE77" si="17">I81+I87+I93</f>
        <v>102974.9</v>
      </c>
      <c r="J75" s="23">
        <f t="shared" si="17"/>
        <v>178479</v>
      </c>
      <c r="K75" s="23">
        <f t="shared" si="17"/>
        <v>172257.9</v>
      </c>
      <c r="L75" s="23">
        <f t="shared" si="17"/>
        <v>158436</v>
      </c>
      <c r="M75" s="23">
        <f t="shared" si="17"/>
        <v>156907.29999999999</v>
      </c>
      <c r="N75" s="23">
        <f t="shared" si="17"/>
        <v>155041.9</v>
      </c>
      <c r="O75" s="23">
        <f t="shared" si="17"/>
        <v>155688.29999999999</v>
      </c>
      <c r="P75" s="23">
        <f t="shared" si="17"/>
        <v>359709.5</v>
      </c>
      <c r="Q75" s="23">
        <f t="shared" si="17"/>
        <v>358536.3</v>
      </c>
      <c r="R75" s="23">
        <f t="shared" si="17"/>
        <v>165021.70000000001</v>
      </c>
      <c r="S75" s="23">
        <v>156563</v>
      </c>
      <c r="T75" s="23">
        <f t="shared" si="17"/>
        <v>120317.2</v>
      </c>
      <c r="U75" s="23">
        <f t="shared" si="17"/>
        <v>126551.40000000001</v>
      </c>
      <c r="V75" s="23">
        <f t="shared" si="17"/>
        <v>80082.7</v>
      </c>
      <c r="W75" s="23">
        <f t="shared" si="17"/>
        <v>80147.3</v>
      </c>
      <c r="X75" s="23">
        <f t="shared" si="17"/>
        <v>116023.7</v>
      </c>
      <c r="Y75" s="23">
        <f t="shared" si="17"/>
        <v>114441.8</v>
      </c>
      <c r="Z75" s="23">
        <f t="shared" si="17"/>
        <v>113734.8</v>
      </c>
      <c r="AA75" s="23">
        <f t="shared" si="17"/>
        <v>117169.7</v>
      </c>
      <c r="AB75" s="23">
        <f t="shared" si="17"/>
        <v>116879.2</v>
      </c>
      <c r="AC75" s="23">
        <f t="shared" si="17"/>
        <v>99978.799999999988</v>
      </c>
      <c r="AD75" s="23">
        <f t="shared" si="17"/>
        <v>181454.7</v>
      </c>
      <c r="AE75" s="23">
        <f t="shared" si="17"/>
        <v>0</v>
      </c>
      <c r="AF75" s="154"/>
      <c r="AG75" s="15"/>
      <c r="AH75" s="15"/>
      <c r="AI75" s="15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</row>
    <row r="76" spans="1:62" ht="18.75" x14ac:dyDescent="0.3">
      <c r="A76" s="22" t="s">
        <v>27</v>
      </c>
      <c r="B76" s="28">
        <f t="shared" si="16"/>
        <v>369071</v>
      </c>
      <c r="C76" s="28">
        <f t="shared" si="16"/>
        <v>350662.1</v>
      </c>
      <c r="D76" s="28">
        <f t="shared" si="16"/>
        <v>334260</v>
      </c>
      <c r="E76" s="28">
        <f t="shared" si="16"/>
        <v>334260</v>
      </c>
      <c r="F76" s="120">
        <f>IFERROR(E76/B76*100,0)</f>
        <v>90.567939502155411</v>
      </c>
      <c r="G76" s="120">
        <f>IFERROR(E76/C76*100,0)</f>
        <v>95.322534143267845</v>
      </c>
      <c r="H76" s="23">
        <f>H82+H88+H94</f>
        <v>53143.199999999997</v>
      </c>
      <c r="I76" s="23">
        <f t="shared" si="17"/>
        <v>53086.8</v>
      </c>
      <c r="J76" s="23">
        <f t="shared" si="17"/>
        <v>48169.4</v>
      </c>
      <c r="K76" s="23">
        <f t="shared" si="17"/>
        <v>47960.800000000003</v>
      </c>
      <c r="L76" s="23">
        <f t="shared" si="17"/>
        <v>42171.1</v>
      </c>
      <c r="M76" s="23">
        <f t="shared" si="17"/>
        <v>41230.9</v>
      </c>
      <c r="N76" s="23">
        <f t="shared" si="17"/>
        <v>34791.699999999997</v>
      </c>
      <c r="O76" s="23">
        <f t="shared" si="17"/>
        <v>35962</v>
      </c>
      <c r="P76" s="23">
        <f t="shared" si="17"/>
        <v>37266.9</v>
      </c>
      <c r="Q76" s="23">
        <f t="shared" si="17"/>
        <v>37281.800000000003</v>
      </c>
      <c r="R76" s="23">
        <f t="shared" si="17"/>
        <v>29128.9</v>
      </c>
      <c r="S76" s="23">
        <v>27840</v>
      </c>
      <c r="T76" s="23">
        <f t="shared" si="17"/>
        <v>29045.3</v>
      </c>
      <c r="U76" s="23">
        <f t="shared" si="17"/>
        <v>30340.1</v>
      </c>
      <c r="V76" s="23">
        <f t="shared" si="17"/>
        <v>18380.3</v>
      </c>
      <c r="W76" s="23">
        <f t="shared" si="17"/>
        <v>17802.900000000001</v>
      </c>
      <c r="X76" s="23">
        <f t="shared" si="17"/>
        <v>19299.099999999999</v>
      </c>
      <c r="Y76" s="23">
        <f t="shared" si="17"/>
        <v>19431.2</v>
      </c>
      <c r="Z76" s="23">
        <f t="shared" si="17"/>
        <v>20893.900000000001</v>
      </c>
      <c r="AA76" s="23">
        <f t="shared" si="17"/>
        <v>18820.3</v>
      </c>
      <c r="AB76" s="23">
        <f t="shared" si="17"/>
        <v>18372.3</v>
      </c>
      <c r="AC76" s="23">
        <f t="shared" si="17"/>
        <v>4503.2</v>
      </c>
      <c r="AD76" s="23">
        <f t="shared" si="17"/>
        <v>18408.900000000001</v>
      </c>
      <c r="AE76" s="23">
        <f t="shared" si="17"/>
        <v>0</v>
      </c>
      <c r="AF76" s="154"/>
      <c r="AG76" s="15"/>
      <c r="AH76" s="15"/>
      <c r="AI76" s="15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</row>
    <row r="77" spans="1:62" ht="18.75" x14ac:dyDescent="0.3">
      <c r="A77" s="22" t="s">
        <v>28</v>
      </c>
      <c r="B77" s="28">
        <f>H77+J77+L77+N77+P77+R77+T77+V77+X77+Z77+AB77+AD77</f>
        <v>49215.600000000006</v>
      </c>
      <c r="C77" s="28">
        <f>I77+K77+M77+O77+Q77+S77+U77+W77+Y77+AA77+AC77+AE77</f>
        <v>42855.700000000004</v>
      </c>
      <c r="D77" s="29">
        <f>D83+D89+D95</f>
        <v>42855.700000000004</v>
      </c>
      <c r="E77" s="28">
        <f>I77+K77+M77+O77+Q77+S77+U77+W77+Y77+AA77+AC77+AE77</f>
        <v>42855.700000000004</v>
      </c>
      <c r="F77" s="120">
        <f>IFERROR(E77/B77*100,0)</f>
        <v>87.077471370866149</v>
      </c>
      <c r="G77" s="120">
        <f>IFERROR(E77/C77*100,0)</f>
        <v>100</v>
      </c>
      <c r="H77" s="23">
        <f>H83+H89+H95</f>
        <v>4113.3</v>
      </c>
      <c r="I77" s="23">
        <f t="shared" si="17"/>
        <v>3860.1</v>
      </c>
      <c r="J77" s="23">
        <f t="shared" si="17"/>
        <v>4113.3</v>
      </c>
      <c r="K77" s="23">
        <f t="shared" si="17"/>
        <v>3852</v>
      </c>
      <c r="L77" s="23">
        <f t="shared" si="17"/>
        <v>4113.3</v>
      </c>
      <c r="M77" s="23">
        <f t="shared" si="17"/>
        <v>3641.2</v>
      </c>
      <c r="N77" s="23">
        <f t="shared" si="17"/>
        <v>4126.6000000000004</v>
      </c>
      <c r="O77" s="23">
        <f t="shared" si="17"/>
        <v>3921</v>
      </c>
      <c r="P77" s="23">
        <f t="shared" si="17"/>
        <v>7037.5</v>
      </c>
      <c r="Q77" s="23">
        <f t="shared" si="17"/>
        <v>6541.8</v>
      </c>
      <c r="R77" s="23">
        <f t="shared" si="17"/>
        <v>7509.4</v>
      </c>
      <c r="S77" s="23">
        <v>5865</v>
      </c>
      <c r="T77" s="23">
        <f t="shared" si="17"/>
        <v>1004.5999999999999</v>
      </c>
      <c r="U77" s="23">
        <f t="shared" si="17"/>
        <v>3127.4</v>
      </c>
      <c r="V77" s="23">
        <f t="shared" si="17"/>
        <v>1003</v>
      </c>
      <c r="W77" s="23">
        <f t="shared" si="17"/>
        <v>556.1</v>
      </c>
      <c r="X77" s="23">
        <f t="shared" si="17"/>
        <v>4219.8999999999996</v>
      </c>
      <c r="Y77" s="23">
        <f t="shared" si="17"/>
        <v>3402.3</v>
      </c>
      <c r="Z77" s="23">
        <f t="shared" si="17"/>
        <v>4093.3</v>
      </c>
      <c r="AA77" s="23">
        <f t="shared" si="17"/>
        <v>3451.2999999999997</v>
      </c>
      <c r="AB77" s="23">
        <f t="shared" si="17"/>
        <v>4013.5</v>
      </c>
      <c r="AC77" s="23">
        <f t="shared" si="17"/>
        <v>4637.5</v>
      </c>
      <c r="AD77" s="23">
        <f t="shared" si="17"/>
        <v>3867.8999999999996</v>
      </c>
      <c r="AE77" s="23">
        <f t="shared" si="17"/>
        <v>0</v>
      </c>
      <c r="AF77" s="154"/>
      <c r="AG77" s="15"/>
      <c r="AH77" s="15"/>
      <c r="AI77" s="15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</row>
    <row r="78" spans="1:62" ht="18.75" x14ac:dyDescent="0.3">
      <c r="A78" s="22" t="s">
        <v>29</v>
      </c>
      <c r="B78" s="28">
        <f>H78+J78+L78+N78+P78+R78+T78+V78+X78+Z78+AB78+AD78</f>
        <v>33830.300000000003</v>
      </c>
      <c r="C78" s="28">
        <f>I78+K78+M78+O78+Q78+S78+U78+W78+Y78+AA78+AC78+AE78</f>
        <v>31553.300000000003</v>
      </c>
      <c r="D78" s="29">
        <f>D84+D90+D96</f>
        <v>31553.300000000003</v>
      </c>
      <c r="E78" s="28">
        <f>I78+K78+M78+O78+Q78+S78+U78+W78+Y78+AA78+AC78+AE78</f>
        <v>31553.300000000003</v>
      </c>
      <c r="F78" s="120">
        <f>IFERROR(E78/B78*100,0)</f>
        <v>93.269347301088075</v>
      </c>
      <c r="G78" s="120">
        <f>IFERROR(E78/C78*100,0)</f>
        <v>100</v>
      </c>
      <c r="H78" s="23">
        <f>H84+H90+H96</f>
        <v>0</v>
      </c>
      <c r="I78" s="23">
        <f t="shared" ref="I78:AE78" si="18">I84</f>
        <v>0</v>
      </c>
      <c r="J78" s="23">
        <f t="shared" si="18"/>
        <v>0</v>
      </c>
      <c r="K78" s="23">
        <f t="shared" si="18"/>
        <v>0</v>
      </c>
      <c r="L78" s="23">
        <f t="shared" si="18"/>
        <v>5558.7</v>
      </c>
      <c r="M78" s="23">
        <f t="shared" si="18"/>
        <v>5558.7</v>
      </c>
      <c r="N78" s="23">
        <f t="shared" si="18"/>
        <v>7274</v>
      </c>
      <c r="O78" s="23">
        <f t="shared" si="18"/>
        <v>0</v>
      </c>
      <c r="P78" s="23">
        <f t="shared" si="18"/>
        <v>5793.4</v>
      </c>
      <c r="Q78" s="23">
        <f t="shared" si="18"/>
        <v>0</v>
      </c>
      <c r="R78" s="23">
        <f t="shared" si="18"/>
        <v>5793.4</v>
      </c>
      <c r="S78" s="23">
        <f t="shared" si="18"/>
        <v>0</v>
      </c>
      <c r="T78" s="23">
        <f t="shared" si="18"/>
        <v>0</v>
      </c>
      <c r="U78" s="23">
        <f t="shared" si="18"/>
        <v>9079.2000000000007</v>
      </c>
      <c r="V78" s="23">
        <f t="shared" si="18"/>
        <v>1081.5999999999999</v>
      </c>
      <c r="W78" s="23">
        <f t="shared" si="18"/>
        <v>1081.5999999999999</v>
      </c>
      <c r="X78" s="23">
        <f t="shared" si="18"/>
        <v>43.200000000000728</v>
      </c>
      <c r="Y78" s="23">
        <f t="shared" si="18"/>
        <v>8067.6</v>
      </c>
      <c r="Z78" s="23">
        <f t="shared" si="18"/>
        <v>4500</v>
      </c>
      <c r="AA78" s="23">
        <f t="shared" si="18"/>
        <v>4042.9</v>
      </c>
      <c r="AB78" s="23">
        <f t="shared" si="18"/>
        <v>3786</v>
      </c>
      <c r="AC78" s="23">
        <f t="shared" si="18"/>
        <v>3723.3</v>
      </c>
      <c r="AD78" s="23">
        <f t="shared" si="18"/>
        <v>0</v>
      </c>
      <c r="AE78" s="23">
        <f t="shared" si="18"/>
        <v>0</v>
      </c>
      <c r="AF78" s="154"/>
      <c r="AG78" s="33"/>
      <c r="AH78" s="33"/>
      <c r="AI78" s="33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</row>
    <row r="79" spans="1:62" ht="18.75" x14ac:dyDescent="0.25">
      <c r="A79" s="156" t="s">
        <v>67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8"/>
      <c r="AF79" s="154"/>
      <c r="AG79" s="15"/>
      <c r="AH79" s="15"/>
      <c r="AI79" s="15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</row>
    <row r="80" spans="1:62" ht="56.25" x14ac:dyDescent="0.3">
      <c r="A80" s="19" t="s">
        <v>25</v>
      </c>
      <c r="B80" s="27">
        <f>H80+J80+L80+N80+P80+R80+T80+V80+X80+Z80+AB80+AD80</f>
        <v>2277161.7999999998</v>
      </c>
      <c r="C80" s="20">
        <f>SUM(C81:C84)</f>
        <v>2078298.2999999998</v>
      </c>
      <c r="D80" s="20">
        <f>SUM(D81:D84)</f>
        <v>2029769</v>
      </c>
      <c r="E80" s="20">
        <f>SUM(E81:E84)</f>
        <v>2029769</v>
      </c>
      <c r="F80" s="121">
        <f>IFERROR(E80/B80*100,0)</f>
        <v>89.135914716292902</v>
      </c>
      <c r="G80" s="121">
        <f>IFERROR(E80/C80*100,0)</f>
        <v>97.664950214317173</v>
      </c>
      <c r="H80" s="13">
        <f>SUM(H81:H84)</f>
        <v>160594.69999999998</v>
      </c>
      <c r="I80" s="13">
        <f t="shared" ref="I80:AE80" si="19">SUM(I81:I84)</f>
        <v>159921.80000000002</v>
      </c>
      <c r="J80" s="13">
        <f t="shared" si="19"/>
        <v>228901.69999999998</v>
      </c>
      <c r="K80" s="13">
        <f t="shared" si="19"/>
        <v>222159.40000000002</v>
      </c>
      <c r="L80" s="13">
        <f t="shared" si="19"/>
        <v>208419.1</v>
      </c>
      <c r="M80" s="13">
        <f t="shared" si="19"/>
        <v>205515.2</v>
      </c>
      <c r="N80" s="13">
        <f t="shared" si="19"/>
        <v>199610.19999999998</v>
      </c>
      <c r="O80" s="13">
        <f t="shared" si="19"/>
        <v>192567.9</v>
      </c>
      <c r="P80" s="13">
        <f t="shared" si="19"/>
        <v>407911.30000000005</v>
      </c>
      <c r="Q80" s="13">
        <f t="shared" si="19"/>
        <v>400488.89999999997</v>
      </c>
      <c r="R80" s="13">
        <f t="shared" si="19"/>
        <v>205593.4</v>
      </c>
      <c r="S80" s="13">
        <f t="shared" si="19"/>
        <v>188505</v>
      </c>
      <c r="T80" s="13">
        <f t="shared" si="19"/>
        <v>148307.1</v>
      </c>
      <c r="U80" s="13">
        <f t="shared" si="19"/>
        <v>167516.5</v>
      </c>
      <c r="V80" s="13">
        <f t="shared" si="19"/>
        <v>98687.6</v>
      </c>
      <c r="W80" s="13">
        <f t="shared" si="19"/>
        <v>97389.1</v>
      </c>
      <c r="X80" s="13">
        <f t="shared" si="19"/>
        <v>137725.9</v>
      </c>
      <c r="Y80" s="13">
        <f t="shared" si="19"/>
        <v>143502.29999999999</v>
      </c>
      <c r="Z80" s="13">
        <f t="shared" si="19"/>
        <v>141282</v>
      </c>
      <c r="AA80" s="13">
        <f t="shared" si="19"/>
        <v>141373.49999999997</v>
      </c>
      <c r="AB80" s="13">
        <f t="shared" si="19"/>
        <v>141265.29999999999</v>
      </c>
      <c r="AC80" s="13">
        <f t="shared" si="19"/>
        <v>110829.4</v>
      </c>
      <c r="AD80" s="13">
        <f t="shared" si="19"/>
        <v>198863.5</v>
      </c>
      <c r="AE80" s="13">
        <f t="shared" si="19"/>
        <v>0</v>
      </c>
      <c r="AF80" s="17" t="s">
        <v>147</v>
      </c>
      <c r="AG80" s="15">
        <f>C80-E80</f>
        <v>48529.299999999814</v>
      </c>
      <c r="AH80" s="15"/>
      <c r="AI80" s="15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</row>
    <row r="81" spans="1:62" ht="18.75" x14ac:dyDescent="0.3">
      <c r="A81" s="22" t="s">
        <v>26</v>
      </c>
      <c r="B81" s="28">
        <f>H81+J81+L81+N81+P81+R81+T81+V81+X81+Z81+AB81+AD81</f>
        <v>1825044.9</v>
      </c>
      <c r="C81" s="29">
        <f t="shared" ref="C81:C84" si="20">H81+J81+L81+N81+P81+R81+T81+V81+X81+Z81+AB81</f>
        <v>1648458.2</v>
      </c>
      <c r="D81" s="29">
        <f>E81</f>
        <v>1621100</v>
      </c>
      <c r="E81" s="28">
        <f>I81+K81+M81+O81+Q81+S81+U81+W81+Y81+AA81+AC81+AE81</f>
        <v>1621100</v>
      </c>
      <c r="F81" s="120">
        <f>IFERROR(E81/B81*100,0)</f>
        <v>88.825211916704077</v>
      </c>
      <c r="G81" s="120">
        <f>IFERROR(E81/C81*100,0)</f>
        <v>98.340376480277143</v>
      </c>
      <c r="H81" s="23">
        <v>103338.2</v>
      </c>
      <c r="I81" s="23">
        <v>102974.9</v>
      </c>
      <c r="J81" s="23">
        <v>176619</v>
      </c>
      <c r="K81" s="23">
        <v>170346.6</v>
      </c>
      <c r="L81" s="23">
        <v>156576</v>
      </c>
      <c r="M81" s="23">
        <v>155084.4</v>
      </c>
      <c r="N81" s="23">
        <v>153417.9</v>
      </c>
      <c r="O81" s="23">
        <v>152684.9</v>
      </c>
      <c r="P81" s="23">
        <f>335914.7+21898.8</f>
        <v>357813.5</v>
      </c>
      <c r="Q81" s="23">
        <v>356665.3</v>
      </c>
      <c r="R81" s="23">
        <v>163161.70000000001</v>
      </c>
      <c r="S81" s="23">
        <v>154800</v>
      </c>
      <c r="T81" s="23">
        <f>112673.7+5583.5</f>
        <v>118257.2</v>
      </c>
      <c r="U81" s="23">
        <v>124969.8</v>
      </c>
      <c r="V81" s="23">
        <v>78222.7</v>
      </c>
      <c r="W81" s="23">
        <v>77948.5</v>
      </c>
      <c r="X81" s="23">
        <v>114163.7</v>
      </c>
      <c r="Y81" s="23">
        <v>112601.2</v>
      </c>
      <c r="Z81" s="23">
        <f>115794.8-4000</f>
        <v>111794.8</v>
      </c>
      <c r="AA81" s="23">
        <f>113656.4+1402.6</f>
        <v>115059</v>
      </c>
      <c r="AB81" s="23">
        <f>109691.5+4000+1402</f>
        <v>115093.5</v>
      </c>
      <c r="AC81" s="23">
        <v>97965.4</v>
      </c>
      <c r="AD81" s="23">
        <f>152595.3+18703.2-21898.8-8560.8-5583.5-9810+56000.3-4859</f>
        <v>176586.7</v>
      </c>
      <c r="AE81" s="23"/>
      <c r="AF81" s="17"/>
      <c r="AG81" s="15"/>
      <c r="AH81" s="15"/>
      <c r="AI81" s="15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</row>
    <row r="82" spans="1:62" ht="18.75" x14ac:dyDescent="0.3">
      <c r="A82" s="22" t="s">
        <v>27</v>
      </c>
      <c r="B82" s="28">
        <f>H82+J82+L82+N82+P82+R82+T82+V82+X82+Z82+AB82+AD82</f>
        <v>369071</v>
      </c>
      <c r="C82" s="29">
        <f t="shared" si="20"/>
        <v>350662.1</v>
      </c>
      <c r="D82" s="29">
        <f>E82</f>
        <v>334260</v>
      </c>
      <c r="E82" s="28">
        <f>I82+K82+M82+O82+Q82+S82+U82+W82+Y82+AA82+AC82+AE82</f>
        <v>334260</v>
      </c>
      <c r="F82" s="120">
        <f>IFERROR(E82/B82*100,0)</f>
        <v>90.567939502155411</v>
      </c>
      <c r="G82" s="120">
        <f>IFERROR(E82/C82*100,0)</f>
        <v>95.322534143267845</v>
      </c>
      <c r="H82" s="23">
        <v>53143.199999999997</v>
      </c>
      <c r="I82" s="23">
        <v>53086.8</v>
      </c>
      <c r="J82" s="23">
        <v>48169.4</v>
      </c>
      <c r="K82" s="23">
        <v>47960.800000000003</v>
      </c>
      <c r="L82" s="23">
        <v>42171.1</v>
      </c>
      <c r="M82" s="23">
        <v>41230.9</v>
      </c>
      <c r="N82" s="23">
        <v>34791.699999999997</v>
      </c>
      <c r="O82" s="23">
        <v>35962</v>
      </c>
      <c r="P82" s="23">
        <f>36641.5+625.4</f>
        <v>37266.9</v>
      </c>
      <c r="Q82" s="23">
        <v>37281.800000000003</v>
      </c>
      <c r="R82" s="23">
        <v>29128.9</v>
      </c>
      <c r="S82" s="23">
        <v>27840</v>
      </c>
      <c r="T82" s="23">
        <f>24673.1+1462.2+2910</f>
        <v>29045.3</v>
      </c>
      <c r="U82" s="23">
        <v>30340.1</v>
      </c>
      <c r="V82" s="23">
        <v>18380.3</v>
      </c>
      <c r="W82" s="23">
        <v>17802.900000000001</v>
      </c>
      <c r="X82" s="23">
        <v>19299.099999999999</v>
      </c>
      <c r="Y82" s="23">
        <v>19431.2</v>
      </c>
      <c r="Z82" s="23">
        <v>20893.900000000001</v>
      </c>
      <c r="AA82" s="23">
        <v>18820.3</v>
      </c>
      <c r="AB82" s="23">
        <v>18372.3</v>
      </c>
      <c r="AC82" s="23">
        <v>4503.2</v>
      </c>
      <c r="AD82" s="23">
        <f>20562.5-625.4-2910-35.1+1416.9</f>
        <v>18408.900000000001</v>
      </c>
      <c r="AE82" s="23"/>
      <c r="AF82" s="17"/>
      <c r="AG82" s="15"/>
      <c r="AH82" s="15"/>
      <c r="AI82" s="15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</row>
    <row r="83" spans="1:62" ht="18.75" x14ac:dyDescent="0.3">
      <c r="A83" s="22" t="s">
        <v>28</v>
      </c>
      <c r="B83" s="79">
        <f>H83+J83+L83+N83+P83+R83+T83+V83+X83+Z83+AB83+AD83</f>
        <v>49215.600000000006</v>
      </c>
      <c r="C83" s="29">
        <f t="shared" si="20"/>
        <v>45347.700000000004</v>
      </c>
      <c r="D83" s="29">
        <f>E83</f>
        <v>42855.700000000004</v>
      </c>
      <c r="E83" s="28">
        <f>I83+K83+M83+O83+Q83+S83+U83+W83+Y83+AA83+AC83+AE83</f>
        <v>42855.700000000004</v>
      </c>
      <c r="F83" s="120">
        <f>IFERROR(E83/B83*100,0)</f>
        <v>87.077471370866149</v>
      </c>
      <c r="G83" s="120">
        <f>IFERROR(E83/C83*100,0)</f>
        <v>94.504682707171469</v>
      </c>
      <c r="H83" s="23">
        <v>4113.3</v>
      </c>
      <c r="I83" s="23">
        <v>3860.1</v>
      </c>
      <c r="J83" s="23">
        <v>4113.3</v>
      </c>
      <c r="K83" s="23">
        <v>3852</v>
      </c>
      <c r="L83" s="23">
        <v>4113.3</v>
      </c>
      <c r="M83" s="23">
        <v>3641.2</v>
      </c>
      <c r="N83" s="23">
        <v>4126.6000000000004</v>
      </c>
      <c r="O83" s="23">
        <v>3921</v>
      </c>
      <c r="P83" s="23">
        <v>7037.5</v>
      </c>
      <c r="Q83" s="23">
        <v>6541.8</v>
      </c>
      <c r="R83" s="23">
        <v>7509.4</v>
      </c>
      <c r="S83" s="23">
        <v>5865</v>
      </c>
      <c r="T83" s="23">
        <f>544.8+459.8</f>
        <v>1004.5999999999999</v>
      </c>
      <c r="U83" s="23">
        <v>3127.4</v>
      </c>
      <c r="V83" s="23">
        <v>1003</v>
      </c>
      <c r="W83" s="23">
        <v>556.1</v>
      </c>
      <c r="X83" s="23">
        <v>4219.8999999999996</v>
      </c>
      <c r="Y83" s="23">
        <v>3402.3</v>
      </c>
      <c r="Z83" s="23">
        <v>4093.3</v>
      </c>
      <c r="AA83" s="23">
        <f>3457.2-5.9</f>
        <v>3451.2999999999997</v>
      </c>
      <c r="AB83" s="23">
        <v>4013.5</v>
      </c>
      <c r="AC83" s="23">
        <v>4637.5</v>
      </c>
      <c r="AD83" s="23">
        <f>4015.2-459.8+312.5</f>
        <v>3867.8999999999996</v>
      </c>
      <c r="AE83" s="13"/>
      <c r="AF83" s="132"/>
      <c r="AG83" s="15"/>
      <c r="AH83" s="15"/>
      <c r="AI83" s="15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62" ht="18.75" x14ac:dyDescent="0.3">
      <c r="A84" s="22" t="s">
        <v>29</v>
      </c>
      <c r="B84" s="79">
        <f>H84+J84+L84+N84+P84+R84+T84+V84+X84+Z84+AB84+AD84</f>
        <v>33830.300000000003</v>
      </c>
      <c r="C84" s="29">
        <f t="shared" si="20"/>
        <v>33830.300000000003</v>
      </c>
      <c r="D84" s="29">
        <f>E84</f>
        <v>31553.300000000003</v>
      </c>
      <c r="E84" s="28">
        <f>I84+K84+M84+O84+Q84+S84+U84+W84+Y84+AA84+AC84+AE84</f>
        <v>31553.300000000003</v>
      </c>
      <c r="F84" s="120">
        <f>IFERROR(E84/B84*100,0)</f>
        <v>93.269347301088075</v>
      </c>
      <c r="G84" s="120">
        <f>IFERROR(E84/C84*100,0)</f>
        <v>93.269347301088075</v>
      </c>
      <c r="H84" s="13"/>
      <c r="I84" s="13"/>
      <c r="J84" s="13"/>
      <c r="K84" s="13"/>
      <c r="L84" s="13">
        <v>5558.7</v>
      </c>
      <c r="M84" s="13">
        <v>5558.7</v>
      </c>
      <c r="N84" s="13">
        <v>7274</v>
      </c>
      <c r="O84" s="13"/>
      <c r="P84" s="13">
        <v>5793.4</v>
      </c>
      <c r="Q84" s="13"/>
      <c r="R84" s="13">
        <v>5793.4</v>
      </c>
      <c r="S84" s="13"/>
      <c r="T84" s="13"/>
      <c r="U84" s="13">
        <v>9079.2000000000007</v>
      </c>
      <c r="V84" s="13">
        <v>1081.5999999999999</v>
      </c>
      <c r="W84" s="13">
        <v>1081.5999999999999</v>
      </c>
      <c r="X84" s="23">
        <f>11630-5793.4-5793.4</f>
        <v>43.200000000000728</v>
      </c>
      <c r="Y84" s="23">
        <v>8067.6</v>
      </c>
      <c r="Z84" s="23">
        <v>4500</v>
      </c>
      <c r="AA84" s="23">
        <v>4042.9</v>
      </c>
      <c r="AB84" s="23">
        <v>3786</v>
      </c>
      <c r="AC84" s="23">
        <v>3723.3</v>
      </c>
      <c r="AD84" s="23"/>
      <c r="AE84" s="13"/>
      <c r="AF84" s="17"/>
      <c r="AG84" s="15"/>
      <c r="AH84" s="15"/>
      <c r="AI84" s="15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 ht="18.75" x14ac:dyDescent="0.25">
      <c r="A85" s="156" t="s">
        <v>68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8"/>
      <c r="AF85" s="132"/>
      <c r="AG85" s="15"/>
      <c r="AH85" s="15"/>
      <c r="AI85" s="15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 ht="18.75" x14ac:dyDescent="0.3">
      <c r="A86" s="19" t="s">
        <v>25</v>
      </c>
      <c r="B86" s="27">
        <f>H86+J86+L86+N86+P86+R86+T86+V86+X86+Z86+AB86+AD86</f>
        <v>4944</v>
      </c>
      <c r="C86" s="35">
        <f>SUM(C87:C90)</f>
        <v>4076</v>
      </c>
      <c r="D86" s="35">
        <f>SUM(D87:D90)</f>
        <v>4076</v>
      </c>
      <c r="E86" s="35">
        <f>SUM(E87:E90)</f>
        <v>4076</v>
      </c>
      <c r="F86" s="121">
        <f>IFERROR(E86/B86*100,0)</f>
        <v>82.443365695792878</v>
      </c>
      <c r="G86" s="121">
        <f>IFERROR(E86/C86*100,0)</f>
        <v>100</v>
      </c>
      <c r="H86" s="13">
        <f>SUM(H87:H90)</f>
        <v>360</v>
      </c>
      <c r="I86" s="13">
        <f t="shared" ref="I86:AE86" si="21">SUM(I87:I90)</f>
        <v>0</v>
      </c>
      <c r="J86" s="13">
        <f t="shared" si="21"/>
        <v>360</v>
      </c>
      <c r="K86" s="13">
        <f t="shared" si="21"/>
        <v>440</v>
      </c>
      <c r="L86" s="13">
        <f t="shared" si="21"/>
        <v>360</v>
      </c>
      <c r="M86" s="13">
        <f t="shared" si="21"/>
        <v>376</v>
      </c>
      <c r="N86" s="13">
        <f t="shared" si="21"/>
        <v>124</v>
      </c>
      <c r="O86" s="13">
        <f t="shared" si="21"/>
        <v>388</v>
      </c>
      <c r="P86" s="13">
        <f t="shared" si="21"/>
        <v>396</v>
      </c>
      <c r="Q86" s="13">
        <f t="shared" si="21"/>
        <v>396</v>
      </c>
      <c r="R86" s="13">
        <f t="shared" si="21"/>
        <v>360</v>
      </c>
      <c r="S86" s="13">
        <f t="shared" si="21"/>
        <v>360</v>
      </c>
      <c r="T86" s="13">
        <f t="shared" si="21"/>
        <v>560</v>
      </c>
      <c r="U86" s="13">
        <f t="shared" si="21"/>
        <v>464</v>
      </c>
      <c r="V86" s="13">
        <f t="shared" si="21"/>
        <v>360</v>
      </c>
      <c r="W86" s="13">
        <f t="shared" si="21"/>
        <v>424</v>
      </c>
      <c r="X86" s="13">
        <f t="shared" si="21"/>
        <v>360</v>
      </c>
      <c r="Y86" s="13">
        <f t="shared" si="21"/>
        <v>392</v>
      </c>
      <c r="Z86" s="13">
        <f t="shared" si="21"/>
        <v>440</v>
      </c>
      <c r="AA86" s="13">
        <f t="shared" si="21"/>
        <v>424</v>
      </c>
      <c r="AB86" s="13">
        <f t="shared" si="21"/>
        <v>396</v>
      </c>
      <c r="AC86" s="13">
        <f t="shared" si="21"/>
        <v>412</v>
      </c>
      <c r="AD86" s="13">
        <f t="shared" si="21"/>
        <v>868</v>
      </c>
      <c r="AE86" s="13">
        <f t="shared" si="21"/>
        <v>0</v>
      </c>
      <c r="AF86" s="132"/>
      <c r="AG86" s="15"/>
      <c r="AH86" s="15"/>
      <c r="AI86" s="15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 ht="134.25" customHeight="1" x14ac:dyDescent="0.3">
      <c r="A87" s="22" t="s">
        <v>26</v>
      </c>
      <c r="B87" s="28">
        <f>H87+J87+L87+N87+P87+R87+T87+V87+X87+Z87+AB87+AD87</f>
        <v>4944</v>
      </c>
      <c r="C87" s="29">
        <f>H87+J87+L87+N87+P87+R87+T87+V87+X87+Z87+AB87</f>
        <v>4076</v>
      </c>
      <c r="D87" s="29">
        <f>E87</f>
        <v>4076</v>
      </c>
      <c r="E87" s="28">
        <f>I87+K87+M87+O87+Q87+S87+U87+W87+Y87+AA87+AC87+AE87</f>
        <v>4076</v>
      </c>
      <c r="F87" s="120">
        <f>IFERROR(E87/B87*100,0)</f>
        <v>82.443365695792878</v>
      </c>
      <c r="G87" s="120">
        <f>IFERROR(E87/C87*100,0)</f>
        <v>100</v>
      </c>
      <c r="H87" s="23">
        <v>360</v>
      </c>
      <c r="I87" s="23"/>
      <c r="J87" s="23">
        <v>360</v>
      </c>
      <c r="K87" s="23">
        <v>440</v>
      </c>
      <c r="L87" s="23">
        <v>360</v>
      </c>
      <c r="M87" s="23">
        <v>376</v>
      </c>
      <c r="N87" s="23">
        <f>360-236</f>
        <v>124</v>
      </c>
      <c r="O87" s="23">
        <v>388</v>
      </c>
      <c r="P87" s="23">
        <f>360+36</f>
        <v>396</v>
      </c>
      <c r="Q87" s="23">
        <v>396</v>
      </c>
      <c r="R87" s="23">
        <v>360</v>
      </c>
      <c r="S87" s="23">
        <v>360</v>
      </c>
      <c r="T87" s="23">
        <f>360+200</f>
        <v>560</v>
      </c>
      <c r="U87" s="23">
        <v>464</v>
      </c>
      <c r="V87" s="23">
        <v>360</v>
      </c>
      <c r="W87" s="23">
        <v>424</v>
      </c>
      <c r="X87" s="23">
        <v>360</v>
      </c>
      <c r="Y87" s="23">
        <v>392</v>
      </c>
      <c r="Z87" s="23">
        <f>360+80</f>
        <v>440</v>
      </c>
      <c r="AA87" s="23">
        <v>424</v>
      </c>
      <c r="AB87" s="23">
        <f>240+156</f>
        <v>396</v>
      </c>
      <c r="AC87" s="23">
        <v>412</v>
      </c>
      <c r="AD87" s="23">
        <f>1104-80-156</f>
        <v>868</v>
      </c>
      <c r="AE87" s="23"/>
      <c r="AF87" s="36" t="s">
        <v>148</v>
      </c>
      <c r="AG87" s="15">
        <f>C87-E87</f>
        <v>0</v>
      </c>
      <c r="AH87" s="15"/>
      <c r="AI87" s="15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ht="18.75" x14ac:dyDescent="0.3">
      <c r="A88" s="22" t="s">
        <v>27</v>
      </c>
      <c r="B88" s="37">
        <f>H88+J88+L88+N88+P88+R88+T88+V88+X88+Z88+AB88+AD88</f>
        <v>0</v>
      </c>
      <c r="C88" s="29">
        <f>H88</f>
        <v>0</v>
      </c>
      <c r="D88" s="38"/>
      <c r="E88" s="37">
        <f>I88+K88+M88+O88+Q88+S88+U88+W88+Y88+AA88+AC88+AE88</f>
        <v>0</v>
      </c>
      <c r="F88" s="120">
        <f>IFERROR(E88/B88*100,0)</f>
        <v>0</v>
      </c>
      <c r="G88" s="120">
        <f>IFERROR(E88/C88*100,0)</f>
        <v>0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132"/>
      <c r="AG88" s="15"/>
      <c r="AH88" s="15"/>
      <c r="AI88" s="15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ht="18.75" x14ac:dyDescent="0.3">
      <c r="A89" s="22" t="s">
        <v>28</v>
      </c>
      <c r="B89" s="37">
        <f>H89+J89+L89+N89+P89+R89+T89+V89+X89+Z89+AB89+AD89</f>
        <v>0</v>
      </c>
      <c r="C89" s="29">
        <f>H89</f>
        <v>0</v>
      </c>
      <c r="D89" s="38"/>
      <c r="E89" s="37">
        <f>I89+K89+M89+O89+Q89+S89+U89+W89+Y89+AA89+AC89+AE89</f>
        <v>0</v>
      </c>
      <c r="F89" s="120">
        <f>IFERROR(E89/B89*100,0)</f>
        <v>0</v>
      </c>
      <c r="G89" s="120">
        <f>IFERROR(E89/C89*100,0)</f>
        <v>0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2"/>
      <c r="AG89" s="15"/>
      <c r="AH89" s="15"/>
      <c r="AI89" s="15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</row>
    <row r="90" spans="1:62" ht="18.75" x14ac:dyDescent="0.3">
      <c r="A90" s="22" t="s">
        <v>29</v>
      </c>
      <c r="B90" s="37">
        <f>H90+J90+L90+N90+P90+R90+T90+V90+X90+Z90+AB90+AD90</f>
        <v>0</v>
      </c>
      <c r="C90" s="29">
        <f>H90</f>
        <v>0</v>
      </c>
      <c r="D90" s="38"/>
      <c r="E90" s="37">
        <f>I90+K90+M90+O90+Q90+S90+U90+W90+Y90+AA90+AC90+AE90</f>
        <v>0</v>
      </c>
      <c r="F90" s="120">
        <f>IFERROR(E90/B90*100,0)</f>
        <v>0</v>
      </c>
      <c r="G90" s="120">
        <f>IFERROR(E90/C90*100,0)</f>
        <v>0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2"/>
      <c r="AG90" s="15"/>
      <c r="AH90" s="15"/>
      <c r="AI90" s="15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</row>
    <row r="91" spans="1:62" ht="18.75" x14ac:dyDescent="0.25">
      <c r="A91" s="156" t="s">
        <v>69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8"/>
      <c r="AF91" s="132"/>
      <c r="AG91" s="15"/>
      <c r="AH91" s="15"/>
      <c r="AI91" s="15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</row>
    <row r="92" spans="1:62" ht="18.75" x14ac:dyDescent="0.3">
      <c r="A92" s="19" t="s">
        <v>25</v>
      </c>
      <c r="B92" s="27">
        <f>H92+J92+L92+N92+P92+R92+T92+V92+X92+Z92+AB92+AD92</f>
        <v>20389.7</v>
      </c>
      <c r="C92" s="35">
        <f>SUM(C93:C96)</f>
        <v>16389.7</v>
      </c>
      <c r="D92" s="35">
        <f>SUM(D93:D96)</f>
        <v>16040.7</v>
      </c>
      <c r="E92" s="35">
        <f>SUM(E93:E96)</f>
        <v>16040.7</v>
      </c>
      <c r="F92" s="121">
        <f>IFERROR(E92/B92*100,0)</f>
        <v>78.670603294800813</v>
      </c>
      <c r="G92" s="121">
        <f>IFERROR(E92/C92*100,0)</f>
        <v>97.870613861144491</v>
      </c>
      <c r="H92" s="13">
        <f>SUM(H93:H96)</f>
        <v>1500</v>
      </c>
      <c r="I92" s="13">
        <f t="shared" ref="I92:AE92" si="22">SUM(I93:I96)</f>
        <v>0</v>
      </c>
      <c r="J92" s="13">
        <f t="shared" si="22"/>
        <v>1500</v>
      </c>
      <c r="K92" s="13">
        <f t="shared" si="22"/>
        <v>1471.3</v>
      </c>
      <c r="L92" s="13">
        <f t="shared" si="22"/>
        <v>1500</v>
      </c>
      <c r="M92" s="13">
        <f t="shared" si="22"/>
        <v>1446.9</v>
      </c>
      <c r="N92" s="13">
        <f t="shared" si="22"/>
        <v>1500</v>
      </c>
      <c r="O92" s="13">
        <f t="shared" si="22"/>
        <v>2615.4</v>
      </c>
      <c r="P92" s="13">
        <f t="shared" si="22"/>
        <v>1500</v>
      </c>
      <c r="Q92" s="13">
        <f t="shared" si="22"/>
        <v>1475</v>
      </c>
      <c r="R92" s="13">
        <f t="shared" si="22"/>
        <v>1500</v>
      </c>
      <c r="S92" s="13">
        <f t="shared" si="22"/>
        <v>1403</v>
      </c>
      <c r="T92" s="13">
        <f t="shared" si="22"/>
        <v>1500</v>
      </c>
      <c r="U92" s="13">
        <f t="shared" si="22"/>
        <v>1117.5999999999999</v>
      </c>
      <c r="V92" s="13">
        <f t="shared" si="22"/>
        <v>1500</v>
      </c>
      <c r="W92" s="13">
        <f t="shared" si="22"/>
        <v>1774.8</v>
      </c>
      <c r="X92" s="13">
        <f t="shared" si="22"/>
        <v>1500</v>
      </c>
      <c r="Y92" s="13">
        <f t="shared" si="22"/>
        <v>1448.6</v>
      </c>
      <c r="Z92" s="13">
        <f t="shared" si="22"/>
        <v>1500</v>
      </c>
      <c r="AA92" s="13">
        <f t="shared" si="22"/>
        <v>1686.7</v>
      </c>
      <c r="AB92" s="13">
        <f t="shared" si="22"/>
        <v>1389.7</v>
      </c>
      <c r="AC92" s="13">
        <f t="shared" si="22"/>
        <v>1601.4</v>
      </c>
      <c r="AD92" s="13">
        <f t="shared" si="22"/>
        <v>4000</v>
      </c>
      <c r="AE92" s="13">
        <f t="shared" si="22"/>
        <v>0</v>
      </c>
      <c r="AF92" s="132"/>
      <c r="AG92" s="15"/>
      <c r="AH92" s="15"/>
      <c r="AI92" s="15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</row>
    <row r="93" spans="1:62" ht="99" customHeight="1" x14ac:dyDescent="0.3">
      <c r="A93" s="22" t="s">
        <v>26</v>
      </c>
      <c r="B93" s="28">
        <f>H93+J93+L93+N93+P93+R93+T93+V93+X93+Z93+AB93+AD93</f>
        <v>20389.7</v>
      </c>
      <c r="C93" s="29">
        <f>H93+J93+L93+N93+P93+R93+T93+V93+X93+Z93+AB93</f>
        <v>16389.7</v>
      </c>
      <c r="D93" s="29">
        <f>E93</f>
        <v>16040.7</v>
      </c>
      <c r="E93" s="28">
        <f>I93+K93+M93+O93+Q93+S93+U93+W93+Y93+AA93+AC93+AE93</f>
        <v>16040.7</v>
      </c>
      <c r="F93" s="120">
        <f>IFERROR(E93/B93*100,0)</f>
        <v>78.670603294800813</v>
      </c>
      <c r="G93" s="120">
        <f>IFERROR(E93/C93*100,0)</f>
        <v>97.870613861144491</v>
      </c>
      <c r="H93" s="23">
        <v>1500</v>
      </c>
      <c r="I93" s="23">
        <v>0</v>
      </c>
      <c r="J93" s="23">
        <v>1500</v>
      </c>
      <c r="K93" s="23">
        <v>1471.3</v>
      </c>
      <c r="L93" s="23">
        <v>1500</v>
      </c>
      <c r="M93" s="23">
        <v>1446.9</v>
      </c>
      <c r="N93" s="23">
        <v>1500</v>
      </c>
      <c r="O93" s="23">
        <v>2615.4</v>
      </c>
      <c r="P93" s="23">
        <v>1500</v>
      </c>
      <c r="Q93" s="23">
        <v>1475</v>
      </c>
      <c r="R93" s="23">
        <v>1500</v>
      </c>
      <c r="S93" s="23">
        <v>1403</v>
      </c>
      <c r="T93" s="23">
        <v>1500</v>
      </c>
      <c r="U93" s="23">
        <v>1117.5999999999999</v>
      </c>
      <c r="V93" s="23">
        <v>1500</v>
      </c>
      <c r="W93" s="23">
        <v>1774.8</v>
      </c>
      <c r="X93" s="23">
        <v>1500</v>
      </c>
      <c r="Y93" s="23">
        <v>1448.6</v>
      </c>
      <c r="Z93" s="23">
        <v>1500</v>
      </c>
      <c r="AA93" s="23">
        <v>1686.7</v>
      </c>
      <c r="AB93" s="23">
        <v>1389.7</v>
      </c>
      <c r="AC93" s="23">
        <v>1601.4</v>
      </c>
      <c r="AD93" s="23">
        <v>4000</v>
      </c>
      <c r="AE93" s="23"/>
      <c r="AF93" s="36" t="s">
        <v>98</v>
      </c>
      <c r="AG93" s="15">
        <f>C93-E93</f>
        <v>349</v>
      </c>
      <c r="AH93" s="15"/>
      <c r="AI93" s="15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</row>
    <row r="94" spans="1:62" ht="18.75" x14ac:dyDescent="0.3">
      <c r="A94" s="22" t="s">
        <v>27</v>
      </c>
      <c r="B94" s="37">
        <f>H94+J94+L94+N94+P94+R94+T94+V94+X94+Z94+AB94+AD94</f>
        <v>0</v>
      </c>
      <c r="C94" s="29">
        <f>H94</f>
        <v>0</v>
      </c>
      <c r="D94" s="38"/>
      <c r="E94" s="37">
        <f>I94+K94+M94+O94+Q94+S94+U94+W94+Y94+AA94+AC94+AE94</f>
        <v>0</v>
      </c>
      <c r="F94" s="120">
        <f>IFERROR(E94/B94*100,0)</f>
        <v>0</v>
      </c>
      <c r="G94" s="120">
        <f>IFERROR(E94/C94*100,0)</f>
        <v>0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132"/>
      <c r="AG94" s="15"/>
      <c r="AH94" s="15"/>
      <c r="AI94" s="15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</row>
    <row r="95" spans="1:62" ht="18.75" x14ac:dyDescent="0.3">
      <c r="A95" s="22" t="s">
        <v>28</v>
      </c>
      <c r="B95" s="37">
        <f>H95+J95+L95+N95+P95+R95+T95+V95+X95+Z95+AB95+AD95</f>
        <v>0</v>
      </c>
      <c r="C95" s="29">
        <f>H95</f>
        <v>0</v>
      </c>
      <c r="D95" s="38"/>
      <c r="E95" s="37">
        <f>I95+K95+M95+O95+Q95+S95+U95+W95+Y95+AA95+AC95+AE95</f>
        <v>0</v>
      </c>
      <c r="F95" s="120">
        <f>IFERROR(E95/B95*100,0)</f>
        <v>0</v>
      </c>
      <c r="G95" s="120">
        <f>IFERROR(E95/C95*100,0)</f>
        <v>0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2"/>
      <c r="AG95" s="15"/>
      <c r="AH95" s="15"/>
      <c r="AI95" s="15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</row>
    <row r="96" spans="1:62" ht="18.75" x14ac:dyDescent="0.3">
      <c r="A96" s="22" t="s">
        <v>29</v>
      </c>
      <c r="B96" s="37">
        <f>H96+J96+L96+N96+P96+R96+T96+V96+X96+Z96+AB96+AD96</f>
        <v>0</v>
      </c>
      <c r="C96" s="29">
        <f>H96</f>
        <v>0</v>
      </c>
      <c r="D96" s="38"/>
      <c r="E96" s="37">
        <f>I96+K96+M96+O96+Q96+S96+U96+W96+Y96+AA96+AC96+AE96</f>
        <v>0</v>
      </c>
      <c r="F96" s="120">
        <f>IFERROR(E96/B96*100,0)</f>
        <v>0</v>
      </c>
      <c r="G96" s="120">
        <f>IFERROR(E96/C96*100,0)</f>
        <v>0</v>
      </c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2"/>
      <c r="AG96" s="15"/>
      <c r="AH96" s="15"/>
      <c r="AI96" s="15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</row>
    <row r="97" spans="1:62" ht="20.25" x14ac:dyDescent="0.25">
      <c r="A97" s="141" t="s">
        <v>70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3"/>
      <c r="AF97" s="132"/>
      <c r="AG97" s="15"/>
      <c r="AH97" s="15"/>
      <c r="AI97" s="15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</row>
    <row r="98" spans="1:62" ht="108" customHeight="1" x14ac:dyDescent="0.3">
      <c r="A98" s="19" t="s">
        <v>25</v>
      </c>
      <c r="B98" s="13">
        <f>B99+B100+B102+B103</f>
        <v>47967.6</v>
      </c>
      <c r="C98" s="13">
        <f>C99+C100+C102+C103</f>
        <v>46423.8</v>
      </c>
      <c r="D98" s="13">
        <f>D99+D100+D102+D103</f>
        <v>46295.3</v>
      </c>
      <c r="E98" s="13">
        <f>E99+E100+E102+E103</f>
        <v>46295.3</v>
      </c>
      <c r="F98" s="121">
        <f t="shared" ref="F98:F103" si="23">IFERROR(E98/B98*100,0)</f>
        <v>96.513688406340961</v>
      </c>
      <c r="G98" s="121">
        <f t="shared" ref="G98:G103" si="24">IFERROR(E98/C98*100,0)</f>
        <v>99.72320232294642</v>
      </c>
      <c r="H98" s="13">
        <f>H99+H100+H102+H103</f>
        <v>0</v>
      </c>
      <c r="I98" s="13">
        <f t="shared" ref="I98:AE98" si="25">I99+I100+I102+I103</f>
        <v>0</v>
      </c>
      <c r="J98" s="13">
        <f t="shared" si="25"/>
        <v>0</v>
      </c>
      <c r="K98" s="13">
        <f t="shared" si="25"/>
        <v>0</v>
      </c>
      <c r="L98" s="13">
        <f t="shared" si="25"/>
        <v>0</v>
      </c>
      <c r="M98" s="13">
        <f t="shared" si="25"/>
        <v>0</v>
      </c>
      <c r="N98" s="13">
        <f t="shared" si="25"/>
        <v>9795.7000000000007</v>
      </c>
      <c r="O98" s="13">
        <f t="shared" si="25"/>
        <v>9795.7000000000007</v>
      </c>
      <c r="P98" s="13">
        <f t="shared" si="25"/>
        <v>0</v>
      </c>
      <c r="Q98" s="13">
        <f t="shared" si="25"/>
        <v>0</v>
      </c>
      <c r="R98" s="13">
        <f t="shared" si="25"/>
        <v>9170.5</v>
      </c>
      <c r="S98" s="13">
        <f t="shared" si="25"/>
        <v>9170.5</v>
      </c>
      <c r="T98" s="13">
        <f t="shared" si="25"/>
        <v>22238.200000000004</v>
      </c>
      <c r="U98" s="13">
        <f t="shared" si="25"/>
        <v>17175.099999999999</v>
      </c>
      <c r="V98" s="13">
        <f t="shared" si="25"/>
        <v>3207.4</v>
      </c>
      <c r="W98" s="13">
        <f t="shared" si="25"/>
        <v>7176.4</v>
      </c>
      <c r="X98" s="13">
        <f t="shared" si="25"/>
        <v>110.9</v>
      </c>
      <c r="Y98" s="13">
        <f t="shared" si="25"/>
        <v>103.5</v>
      </c>
      <c r="Z98" s="13">
        <f t="shared" si="25"/>
        <v>1186.2</v>
      </c>
      <c r="AA98" s="13">
        <f t="shared" si="25"/>
        <v>1200.4000000000001</v>
      </c>
      <c r="AB98" s="13">
        <f t="shared" si="25"/>
        <v>739.1</v>
      </c>
      <c r="AC98" s="13">
        <f t="shared" si="25"/>
        <v>1673.7</v>
      </c>
      <c r="AD98" s="13">
        <f t="shared" si="25"/>
        <v>1519.6000000000013</v>
      </c>
      <c r="AE98" s="13">
        <f t="shared" si="25"/>
        <v>0</v>
      </c>
      <c r="AF98" s="32" t="s">
        <v>144</v>
      </c>
      <c r="AG98" s="15"/>
      <c r="AH98" s="15"/>
      <c r="AI98" s="15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</row>
    <row r="99" spans="1:62" ht="18.75" x14ac:dyDescent="0.3">
      <c r="A99" s="22" t="s">
        <v>26</v>
      </c>
      <c r="B99" s="28">
        <f t="shared" ref="B99:E100" si="26">B106+B113+B120</f>
        <v>21571.7</v>
      </c>
      <c r="C99" s="28">
        <f t="shared" si="26"/>
        <v>20870.3</v>
      </c>
      <c r="D99" s="28">
        <f t="shared" si="26"/>
        <v>20858.8</v>
      </c>
      <c r="E99" s="28">
        <f t="shared" si="26"/>
        <v>20858.8</v>
      </c>
      <c r="F99" s="120">
        <f t="shared" si="23"/>
        <v>96.695207146400136</v>
      </c>
      <c r="G99" s="120">
        <f t="shared" si="24"/>
        <v>99.944897773390892</v>
      </c>
      <c r="H99" s="28">
        <f>H106+H113+H120</f>
        <v>0</v>
      </c>
      <c r="I99" s="28">
        <f t="shared" ref="I99:AE100" si="27">I106+I113+I120</f>
        <v>0</v>
      </c>
      <c r="J99" s="28">
        <f t="shared" si="27"/>
        <v>0</v>
      </c>
      <c r="K99" s="28">
        <f t="shared" si="27"/>
        <v>0</v>
      </c>
      <c r="L99" s="28">
        <f t="shared" si="27"/>
        <v>0</v>
      </c>
      <c r="M99" s="28">
        <f t="shared" si="27"/>
        <v>0</v>
      </c>
      <c r="N99" s="28">
        <f t="shared" si="27"/>
        <v>7040.3</v>
      </c>
      <c r="O99" s="28">
        <f t="shared" si="27"/>
        <v>7040.3</v>
      </c>
      <c r="P99" s="28">
        <f t="shared" si="27"/>
        <v>0</v>
      </c>
      <c r="Q99" s="28">
        <f t="shared" si="27"/>
        <v>0</v>
      </c>
      <c r="R99" s="28">
        <f t="shared" si="27"/>
        <v>5113.8</v>
      </c>
      <c r="S99" s="28">
        <v>5113.8</v>
      </c>
      <c r="T99" s="28">
        <f t="shared" si="27"/>
        <v>5393.1</v>
      </c>
      <c r="U99" s="28">
        <f t="shared" si="27"/>
        <v>545.79999999999995</v>
      </c>
      <c r="V99" s="28">
        <f t="shared" si="27"/>
        <v>2584</v>
      </c>
      <c r="W99" s="28">
        <f t="shared" si="27"/>
        <v>6589.4</v>
      </c>
      <c r="X99" s="28">
        <f t="shared" si="27"/>
        <v>0</v>
      </c>
      <c r="Y99" s="28">
        <f t="shared" si="27"/>
        <v>0</v>
      </c>
      <c r="Z99" s="28">
        <f t="shared" si="27"/>
        <v>0</v>
      </c>
      <c r="AA99" s="28">
        <f t="shared" si="27"/>
        <v>211</v>
      </c>
      <c r="AB99" s="28">
        <f t="shared" si="27"/>
        <v>739.1</v>
      </c>
      <c r="AC99" s="28">
        <f t="shared" si="27"/>
        <v>1358.5</v>
      </c>
      <c r="AD99" s="28">
        <f t="shared" si="27"/>
        <v>701.39999999999975</v>
      </c>
      <c r="AE99" s="28">
        <f t="shared" si="27"/>
        <v>0</v>
      </c>
      <c r="AF99" s="32"/>
      <c r="AG99" s="15"/>
      <c r="AH99" s="15"/>
      <c r="AI99" s="15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</row>
    <row r="100" spans="1:62" ht="18.75" x14ac:dyDescent="0.3">
      <c r="A100" s="22" t="s">
        <v>27</v>
      </c>
      <c r="B100" s="28">
        <f t="shared" si="26"/>
        <v>26292.399999999998</v>
      </c>
      <c r="C100" s="28">
        <f t="shared" si="26"/>
        <v>25450</v>
      </c>
      <c r="D100" s="28">
        <f t="shared" si="26"/>
        <v>25333.000000000004</v>
      </c>
      <c r="E100" s="28">
        <f t="shared" si="26"/>
        <v>25333.000000000004</v>
      </c>
      <c r="F100" s="120">
        <f t="shared" si="23"/>
        <v>96.35103680150921</v>
      </c>
      <c r="G100" s="120">
        <f t="shared" si="24"/>
        <v>99.54027504911592</v>
      </c>
      <c r="H100" s="28">
        <f>H107+H114+H121</f>
        <v>0</v>
      </c>
      <c r="I100" s="28">
        <f t="shared" si="27"/>
        <v>0</v>
      </c>
      <c r="J100" s="28">
        <f t="shared" si="27"/>
        <v>0</v>
      </c>
      <c r="K100" s="28">
        <f t="shared" si="27"/>
        <v>0</v>
      </c>
      <c r="L100" s="28">
        <f t="shared" si="27"/>
        <v>0</v>
      </c>
      <c r="M100" s="28">
        <f t="shared" si="27"/>
        <v>0</v>
      </c>
      <c r="N100" s="28">
        <f t="shared" si="27"/>
        <v>2755.4</v>
      </c>
      <c r="O100" s="28">
        <f t="shared" si="27"/>
        <v>2755.4</v>
      </c>
      <c r="P100" s="28">
        <f t="shared" si="27"/>
        <v>0</v>
      </c>
      <c r="Q100" s="28">
        <f t="shared" si="27"/>
        <v>0</v>
      </c>
      <c r="R100" s="28">
        <f t="shared" si="27"/>
        <v>4056.7</v>
      </c>
      <c r="S100" s="28">
        <v>4056.7</v>
      </c>
      <c r="T100" s="28">
        <f t="shared" si="27"/>
        <v>16845.100000000002</v>
      </c>
      <c r="U100" s="28">
        <f t="shared" si="27"/>
        <v>16629.3</v>
      </c>
      <c r="V100" s="28">
        <f t="shared" si="27"/>
        <v>623.4</v>
      </c>
      <c r="W100" s="28">
        <f t="shared" si="27"/>
        <v>587</v>
      </c>
      <c r="X100" s="28">
        <f t="shared" si="27"/>
        <v>7.4</v>
      </c>
      <c r="Y100" s="28">
        <f t="shared" si="27"/>
        <v>0</v>
      </c>
      <c r="Z100" s="28">
        <f t="shared" si="27"/>
        <v>1186.2</v>
      </c>
      <c r="AA100" s="28">
        <f t="shared" si="27"/>
        <v>989.4</v>
      </c>
      <c r="AB100" s="28">
        <f t="shared" si="27"/>
        <v>0</v>
      </c>
      <c r="AC100" s="28">
        <f t="shared" si="27"/>
        <v>315.2</v>
      </c>
      <c r="AD100" s="28">
        <f t="shared" si="27"/>
        <v>818.20000000000141</v>
      </c>
      <c r="AE100" s="28">
        <f t="shared" si="27"/>
        <v>0</v>
      </c>
      <c r="AF100" s="32"/>
      <c r="AG100" s="15"/>
      <c r="AH100" s="15"/>
      <c r="AI100" s="15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</row>
    <row r="101" spans="1:62" ht="37.5" x14ac:dyDescent="0.3">
      <c r="A101" s="22" t="s">
        <v>30</v>
      </c>
      <c r="B101" s="28">
        <f>B108+B115</f>
        <v>2810.3</v>
      </c>
      <c r="C101" s="28">
        <f>C108+C115</f>
        <v>2747.6</v>
      </c>
      <c r="D101" s="28">
        <f>D108+D115</f>
        <v>2743.7000000000003</v>
      </c>
      <c r="E101" s="28">
        <f>E108+E115</f>
        <v>2743.7000000000003</v>
      </c>
      <c r="F101" s="120">
        <f t="shared" si="23"/>
        <v>97.63014624773156</v>
      </c>
      <c r="G101" s="120">
        <f t="shared" si="24"/>
        <v>99.858057941476204</v>
      </c>
      <c r="H101" s="28">
        <f>H108+H115</f>
        <v>0</v>
      </c>
      <c r="I101" s="28">
        <f t="shared" ref="I101:AE101" si="28">I108+I115</f>
        <v>0</v>
      </c>
      <c r="J101" s="28">
        <f t="shared" si="28"/>
        <v>0</v>
      </c>
      <c r="K101" s="28">
        <f t="shared" si="28"/>
        <v>0</v>
      </c>
      <c r="L101" s="28">
        <f t="shared" si="28"/>
        <v>0</v>
      </c>
      <c r="M101" s="28">
        <f t="shared" si="28"/>
        <v>0</v>
      </c>
      <c r="N101" s="28">
        <f t="shared" si="28"/>
        <v>413.4</v>
      </c>
      <c r="O101" s="28">
        <f t="shared" si="28"/>
        <v>413.4</v>
      </c>
      <c r="P101" s="28">
        <f t="shared" si="28"/>
        <v>0</v>
      </c>
      <c r="Q101" s="28">
        <f t="shared" si="28"/>
        <v>0</v>
      </c>
      <c r="R101" s="28">
        <f t="shared" si="28"/>
        <v>1323.1</v>
      </c>
      <c r="S101" s="28">
        <f t="shared" si="28"/>
        <v>1323.1</v>
      </c>
      <c r="T101" s="28">
        <f t="shared" si="28"/>
        <v>182</v>
      </c>
      <c r="U101" s="28">
        <f t="shared" si="28"/>
        <v>182</v>
      </c>
      <c r="V101" s="28">
        <f t="shared" si="28"/>
        <v>563</v>
      </c>
      <c r="W101" s="28">
        <f t="shared" si="28"/>
        <v>376.3</v>
      </c>
      <c r="X101" s="28">
        <f t="shared" si="28"/>
        <v>0</v>
      </c>
      <c r="Y101" s="28">
        <f t="shared" si="28"/>
        <v>0</v>
      </c>
      <c r="Z101" s="28">
        <f t="shared" si="28"/>
        <v>266.10000000000002</v>
      </c>
      <c r="AA101" s="28">
        <f t="shared" si="28"/>
        <v>134</v>
      </c>
      <c r="AB101" s="28">
        <f t="shared" si="28"/>
        <v>0</v>
      </c>
      <c r="AC101" s="28">
        <f t="shared" si="28"/>
        <v>314.89999999999998</v>
      </c>
      <c r="AD101" s="28">
        <f t="shared" si="28"/>
        <v>62.700000000000159</v>
      </c>
      <c r="AE101" s="28">
        <f t="shared" si="28"/>
        <v>0</v>
      </c>
      <c r="AF101" s="32"/>
      <c r="AG101" s="15"/>
      <c r="AH101" s="15"/>
      <c r="AI101" s="15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</row>
    <row r="102" spans="1:62" ht="18.75" x14ac:dyDescent="0.3">
      <c r="A102" s="22" t="s">
        <v>28</v>
      </c>
      <c r="B102" s="28">
        <f t="shared" ref="B102:E103" si="29">B109+B116+B122</f>
        <v>0</v>
      </c>
      <c r="C102" s="28">
        <f t="shared" si="29"/>
        <v>0</v>
      </c>
      <c r="D102" s="28">
        <f t="shared" si="29"/>
        <v>0</v>
      </c>
      <c r="E102" s="28">
        <f t="shared" si="29"/>
        <v>0</v>
      </c>
      <c r="F102" s="120">
        <f t="shared" si="23"/>
        <v>0</v>
      </c>
      <c r="G102" s="120">
        <f t="shared" si="24"/>
        <v>0</v>
      </c>
      <c r="H102" s="28">
        <f>H109+H116+H122</f>
        <v>0</v>
      </c>
      <c r="I102" s="28">
        <f t="shared" ref="I102:AE103" si="30">I109+I116+I122</f>
        <v>0</v>
      </c>
      <c r="J102" s="28">
        <f t="shared" si="30"/>
        <v>0</v>
      </c>
      <c r="K102" s="28">
        <f t="shared" si="30"/>
        <v>0</v>
      </c>
      <c r="L102" s="28">
        <f t="shared" si="30"/>
        <v>0</v>
      </c>
      <c r="M102" s="28">
        <f t="shared" si="30"/>
        <v>0</v>
      </c>
      <c r="N102" s="28">
        <f t="shared" si="30"/>
        <v>0</v>
      </c>
      <c r="O102" s="28">
        <f t="shared" si="30"/>
        <v>0</v>
      </c>
      <c r="P102" s="28">
        <f t="shared" si="30"/>
        <v>0</v>
      </c>
      <c r="Q102" s="28">
        <f t="shared" si="30"/>
        <v>0</v>
      </c>
      <c r="R102" s="28">
        <f t="shared" si="30"/>
        <v>0</v>
      </c>
      <c r="S102" s="28">
        <f t="shared" si="30"/>
        <v>0</v>
      </c>
      <c r="T102" s="28">
        <f t="shared" si="30"/>
        <v>0</v>
      </c>
      <c r="U102" s="28">
        <f t="shared" si="30"/>
        <v>0</v>
      </c>
      <c r="V102" s="28">
        <f t="shared" si="30"/>
        <v>0</v>
      </c>
      <c r="W102" s="28">
        <f t="shared" si="30"/>
        <v>0</v>
      </c>
      <c r="X102" s="28">
        <f t="shared" si="30"/>
        <v>0</v>
      </c>
      <c r="Y102" s="28">
        <f t="shared" si="30"/>
        <v>0</v>
      </c>
      <c r="Z102" s="28">
        <f t="shared" si="30"/>
        <v>0</v>
      </c>
      <c r="AA102" s="28">
        <f t="shared" si="30"/>
        <v>0</v>
      </c>
      <c r="AB102" s="28">
        <f t="shared" si="30"/>
        <v>0</v>
      </c>
      <c r="AC102" s="28">
        <f t="shared" si="30"/>
        <v>0</v>
      </c>
      <c r="AD102" s="28">
        <f t="shared" si="30"/>
        <v>0</v>
      </c>
      <c r="AE102" s="28">
        <f t="shared" si="30"/>
        <v>0</v>
      </c>
      <c r="AF102" s="32"/>
      <c r="AG102" s="15"/>
      <c r="AH102" s="15"/>
      <c r="AI102" s="15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</row>
    <row r="103" spans="1:62" ht="18.75" x14ac:dyDescent="0.3">
      <c r="A103" s="22" t="s">
        <v>29</v>
      </c>
      <c r="B103" s="28">
        <f t="shared" si="29"/>
        <v>103.5</v>
      </c>
      <c r="C103" s="28">
        <f t="shared" si="29"/>
        <v>103.5</v>
      </c>
      <c r="D103" s="28">
        <f t="shared" si="29"/>
        <v>103.5</v>
      </c>
      <c r="E103" s="28">
        <f t="shared" si="29"/>
        <v>103.5</v>
      </c>
      <c r="F103" s="120">
        <f t="shared" si="23"/>
        <v>100</v>
      </c>
      <c r="G103" s="120">
        <f t="shared" si="24"/>
        <v>100</v>
      </c>
      <c r="H103" s="28">
        <f>H110+H117+H123</f>
        <v>0</v>
      </c>
      <c r="I103" s="28">
        <f t="shared" si="30"/>
        <v>0</v>
      </c>
      <c r="J103" s="28">
        <f t="shared" si="30"/>
        <v>0</v>
      </c>
      <c r="K103" s="28">
        <f t="shared" si="30"/>
        <v>0</v>
      </c>
      <c r="L103" s="28">
        <f t="shared" si="30"/>
        <v>0</v>
      </c>
      <c r="M103" s="28">
        <f t="shared" si="30"/>
        <v>0</v>
      </c>
      <c r="N103" s="28">
        <f t="shared" si="30"/>
        <v>0</v>
      </c>
      <c r="O103" s="28">
        <f t="shared" si="30"/>
        <v>0</v>
      </c>
      <c r="P103" s="28">
        <f t="shared" si="30"/>
        <v>0</v>
      </c>
      <c r="Q103" s="28">
        <f t="shared" si="30"/>
        <v>0</v>
      </c>
      <c r="R103" s="28">
        <f t="shared" si="30"/>
        <v>0</v>
      </c>
      <c r="S103" s="28">
        <f t="shared" si="30"/>
        <v>0</v>
      </c>
      <c r="T103" s="28">
        <f t="shared" si="30"/>
        <v>0</v>
      </c>
      <c r="U103" s="28">
        <f t="shared" si="30"/>
        <v>0</v>
      </c>
      <c r="V103" s="28">
        <f t="shared" si="30"/>
        <v>0</v>
      </c>
      <c r="W103" s="28">
        <f t="shared" si="30"/>
        <v>0</v>
      </c>
      <c r="X103" s="28">
        <f t="shared" si="30"/>
        <v>103.5</v>
      </c>
      <c r="Y103" s="28">
        <f t="shared" si="30"/>
        <v>103.5</v>
      </c>
      <c r="Z103" s="28">
        <f t="shared" si="30"/>
        <v>0</v>
      </c>
      <c r="AA103" s="28">
        <f t="shared" si="30"/>
        <v>0</v>
      </c>
      <c r="AB103" s="28">
        <f t="shared" si="30"/>
        <v>0</v>
      </c>
      <c r="AC103" s="28">
        <f t="shared" si="30"/>
        <v>0</v>
      </c>
      <c r="AD103" s="28">
        <f t="shared" si="30"/>
        <v>0</v>
      </c>
      <c r="AE103" s="28">
        <f t="shared" si="30"/>
        <v>0</v>
      </c>
      <c r="AF103" s="32"/>
      <c r="AG103" s="15"/>
      <c r="AH103" s="15"/>
      <c r="AI103" s="15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</row>
    <row r="104" spans="1:62" ht="61.5" customHeight="1" x14ac:dyDescent="0.25">
      <c r="A104" s="156" t="s">
        <v>71</v>
      </c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8"/>
      <c r="AF104" s="153"/>
      <c r="AG104" s="15"/>
      <c r="AH104" s="15"/>
      <c r="AI104" s="15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</row>
    <row r="105" spans="1:62" ht="18.75" x14ac:dyDescent="0.3">
      <c r="A105" s="19" t="s">
        <v>25</v>
      </c>
      <c r="B105" s="27">
        <f t="shared" ref="B105:B110" si="31">H105+J105+L105+N105+P105+R105+T105+V105+X105+Z105+AB105+AD105</f>
        <v>44599.099999999991</v>
      </c>
      <c r="C105" s="13">
        <f>C106+C107+C109+C110</f>
        <v>43079.5</v>
      </c>
      <c r="D105" s="13">
        <f>D106+D107+D109+D110</f>
        <v>43000.200000000004</v>
      </c>
      <c r="E105" s="13">
        <f>E106+E107+E109+E110</f>
        <v>43000.200000000004</v>
      </c>
      <c r="F105" s="121">
        <f t="shared" ref="F105:F110" si="32">IFERROR(E105/B105*100,0)</f>
        <v>96.414950077467964</v>
      </c>
      <c r="G105" s="121">
        <f t="shared" ref="G105:G110" si="33">IFERROR(E105/C105*100,0)</f>
        <v>99.815921726111029</v>
      </c>
      <c r="H105" s="13">
        <f>H106+H107+H109+H110</f>
        <v>0</v>
      </c>
      <c r="I105" s="13">
        <f t="shared" ref="I105:AE105" si="34">I106+I107+I109+I110</f>
        <v>0</v>
      </c>
      <c r="J105" s="13">
        <f t="shared" si="34"/>
        <v>0</v>
      </c>
      <c r="K105" s="13">
        <f t="shared" si="34"/>
        <v>0</v>
      </c>
      <c r="L105" s="13">
        <f t="shared" si="34"/>
        <v>0</v>
      </c>
      <c r="M105" s="13">
        <f t="shared" si="34"/>
        <v>0</v>
      </c>
      <c r="N105" s="13">
        <f t="shared" si="34"/>
        <v>9795.7000000000007</v>
      </c>
      <c r="O105" s="13">
        <f t="shared" si="34"/>
        <v>9795.7000000000007</v>
      </c>
      <c r="P105" s="13">
        <f t="shared" si="34"/>
        <v>0</v>
      </c>
      <c r="Q105" s="13">
        <f t="shared" si="34"/>
        <v>0</v>
      </c>
      <c r="R105" s="13">
        <f t="shared" si="34"/>
        <v>7719.3</v>
      </c>
      <c r="S105" s="13">
        <f t="shared" si="34"/>
        <v>7719.3</v>
      </c>
      <c r="T105" s="13">
        <f t="shared" si="34"/>
        <v>21017.5</v>
      </c>
      <c r="U105" s="13">
        <f t="shared" si="34"/>
        <v>16154</v>
      </c>
      <c r="V105" s="13">
        <f t="shared" si="34"/>
        <v>3102.2</v>
      </c>
      <c r="W105" s="13">
        <f t="shared" si="34"/>
        <v>7107.5999999999995</v>
      </c>
      <c r="X105" s="13">
        <f t="shared" si="34"/>
        <v>0</v>
      </c>
      <c r="Y105" s="13">
        <f t="shared" si="34"/>
        <v>0</v>
      </c>
      <c r="Z105" s="13">
        <f t="shared" si="34"/>
        <v>705.7</v>
      </c>
      <c r="AA105" s="13">
        <f t="shared" si="34"/>
        <v>549.9</v>
      </c>
      <c r="AB105" s="13">
        <f t="shared" si="34"/>
        <v>739.1</v>
      </c>
      <c r="AC105" s="13">
        <f t="shared" si="34"/>
        <v>1673.7</v>
      </c>
      <c r="AD105" s="13">
        <f t="shared" si="34"/>
        <v>1519.6000000000013</v>
      </c>
      <c r="AE105" s="13">
        <f t="shared" si="34"/>
        <v>0</v>
      </c>
      <c r="AF105" s="154"/>
      <c r="AG105" s="15"/>
      <c r="AH105" s="15"/>
      <c r="AI105" s="15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</row>
    <row r="106" spans="1:62" ht="18.75" x14ac:dyDescent="0.3">
      <c r="A106" s="22" t="s">
        <v>26</v>
      </c>
      <c r="B106" s="28">
        <f t="shared" si="31"/>
        <v>21025.9</v>
      </c>
      <c r="C106" s="29">
        <f>H106+J106+L106+N106+P106+R106+T106+V106+X106+Z106+AB106</f>
        <v>20324.5</v>
      </c>
      <c r="D106" s="29">
        <f>E106</f>
        <v>20313</v>
      </c>
      <c r="E106" s="28">
        <f>I106+K106+M106+O106+Q106+S106+U106+W106+Y106+AA106+AC106+AE106</f>
        <v>20313</v>
      </c>
      <c r="F106" s="120">
        <f t="shared" si="32"/>
        <v>96.609419810804766</v>
      </c>
      <c r="G106" s="120">
        <f t="shared" si="33"/>
        <v>99.94341804226427</v>
      </c>
      <c r="H106" s="23"/>
      <c r="I106" s="23"/>
      <c r="J106" s="23"/>
      <c r="K106" s="23"/>
      <c r="L106" s="23"/>
      <c r="M106" s="23"/>
      <c r="N106" s="23">
        <v>7040.3</v>
      </c>
      <c r="O106" s="23">
        <v>7040.3</v>
      </c>
      <c r="P106" s="23"/>
      <c r="Q106" s="23"/>
      <c r="R106" s="23">
        <v>5113.8</v>
      </c>
      <c r="S106" s="23">
        <v>5113.8</v>
      </c>
      <c r="T106" s="23">
        <v>4847.3</v>
      </c>
      <c r="U106" s="23"/>
      <c r="V106" s="23">
        <f>2725.8-141.8</f>
        <v>2584</v>
      </c>
      <c r="W106" s="23">
        <v>6589.4</v>
      </c>
      <c r="X106" s="23"/>
      <c r="Y106" s="23"/>
      <c r="Z106" s="23"/>
      <c r="AA106" s="23">
        <v>211</v>
      </c>
      <c r="AB106" s="23">
        <v>739.1</v>
      </c>
      <c r="AC106" s="23">
        <v>1358.5</v>
      </c>
      <c r="AD106" s="23">
        <f>9576.5-7040.3-1237.5+141.8-739.1</f>
        <v>701.39999999999975</v>
      </c>
      <c r="AE106" s="23"/>
      <c r="AF106" s="154"/>
      <c r="AG106" s="15"/>
      <c r="AH106" s="15"/>
      <c r="AI106" s="15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</row>
    <row r="107" spans="1:62" ht="18.75" x14ac:dyDescent="0.3">
      <c r="A107" s="22" t="s">
        <v>27</v>
      </c>
      <c r="B107" s="28">
        <f t="shared" si="31"/>
        <v>23573.200000000001</v>
      </c>
      <c r="C107" s="29">
        <f t="shared" ref="C107:C109" si="35">H107+J107+L107+N107+P107+R107+T107+V107+X107+Z107+AB107</f>
        <v>22755</v>
      </c>
      <c r="D107" s="29">
        <f>E107</f>
        <v>22687.200000000004</v>
      </c>
      <c r="E107" s="28">
        <f>I107+K107+M107+O107+Q107+S107+U107+W107+Y107+AA107+AC107+AE107</f>
        <v>22687.200000000004</v>
      </c>
      <c r="F107" s="120">
        <f t="shared" si="32"/>
        <v>96.241494578589254</v>
      </c>
      <c r="G107" s="120">
        <f t="shared" si="33"/>
        <v>99.702043506921584</v>
      </c>
      <c r="H107" s="23"/>
      <c r="I107" s="23"/>
      <c r="J107" s="23"/>
      <c r="K107" s="23"/>
      <c r="L107" s="23"/>
      <c r="M107" s="23"/>
      <c r="N107" s="23">
        <v>2755.4</v>
      </c>
      <c r="O107" s="23">
        <v>2755.4</v>
      </c>
      <c r="P107" s="23"/>
      <c r="Q107" s="23"/>
      <c r="R107" s="23">
        <f>2558.3+47.2</f>
        <v>2605.5</v>
      </c>
      <c r="S107" s="23">
        <v>2605.5</v>
      </c>
      <c r="T107" s="23">
        <f>544.1+6794.7+8831.4</f>
        <v>16170.2</v>
      </c>
      <c r="U107" s="23">
        <v>16154</v>
      </c>
      <c r="V107" s="23">
        <v>518.20000000000005</v>
      </c>
      <c r="W107" s="23">
        <v>518.20000000000005</v>
      </c>
      <c r="X107" s="23"/>
      <c r="Y107" s="23"/>
      <c r="Z107" s="23">
        <f>90.2+615.5</f>
        <v>705.7</v>
      </c>
      <c r="AA107" s="23">
        <v>338.9</v>
      </c>
      <c r="AB107" s="23"/>
      <c r="AC107" s="23">
        <v>315.2</v>
      </c>
      <c r="AD107" s="23">
        <f>13838.7-2755.4-8831.4-518.2-615.5-300</f>
        <v>818.20000000000141</v>
      </c>
      <c r="AE107" s="23"/>
      <c r="AF107" s="154"/>
      <c r="AG107" s="15"/>
      <c r="AH107" s="15"/>
      <c r="AI107" s="15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</row>
    <row r="108" spans="1:62" ht="37.5" x14ac:dyDescent="0.3">
      <c r="A108" s="22" t="s">
        <v>30</v>
      </c>
      <c r="B108" s="28">
        <f t="shared" si="31"/>
        <v>2628.3</v>
      </c>
      <c r="C108" s="29">
        <f t="shared" si="35"/>
        <v>2565.6</v>
      </c>
      <c r="D108" s="28">
        <f>E108</f>
        <v>2561.7000000000003</v>
      </c>
      <c r="E108" s="28">
        <f>I108+K108+M108+O108+Q108+S108+U108+W108+Y108+AA108+AC108+AE108</f>
        <v>2561.7000000000003</v>
      </c>
      <c r="F108" s="120">
        <f t="shared" si="32"/>
        <v>97.466042689190729</v>
      </c>
      <c r="G108" s="120">
        <f t="shared" si="33"/>
        <v>99.847988774555674</v>
      </c>
      <c r="H108" s="23"/>
      <c r="I108" s="23"/>
      <c r="J108" s="23"/>
      <c r="K108" s="23"/>
      <c r="L108" s="23"/>
      <c r="M108" s="23"/>
      <c r="N108" s="23">
        <v>413.4</v>
      </c>
      <c r="O108" s="23">
        <v>413.4</v>
      </c>
      <c r="P108" s="23"/>
      <c r="Q108" s="23"/>
      <c r="R108" s="23">
        <v>1323.1</v>
      </c>
      <c r="S108" s="23">
        <v>1323.1</v>
      </c>
      <c r="T108" s="23"/>
      <c r="U108" s="23"/>
      <c r="V108" s="23">
        <v>563</v>
      </c>
      <c r="W108" s="23">
        <f>563-186.7</f>
        <v>376.3</v>
      </c>
      <c r="X108" s="23"/>
      <c r="Y108" s="23"/>
      <c r="Z108" s="23">
        <v>266.10000000000002</v>
      </c>
      <c r="AA108" s="23">
        <v>134</v>
      </c>
      <c r="AB108" s="23"/>
      <c r="AC108" s="23">
        <v>314.89999999999998</v>
      </c>
      <c r="AD108" s="23">
        <f>3040.8-413.4-1323.1-563-412.5-266.1</f>
        <v>62.700000000000159</v>
      </c>
      <c r="AE108" s="23"/>
      <c r="AF108" s="154"/>
      <c r="AG108" s="15"/>
      <c r="AH108" s="15"/>
      <c r="AI108" s="15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</row>
    <row r="109" spans="1:62" ht="18.75" x14ac:dyDescent="0.3">
      <c r="A109" s="22" t="s">
        <v>28</v>
      </c>
      <c r="B109" s="28">
        <f t="shared" si="31"/>
        <v>0</v>
      </c>
      <c r="C109" s="29">
        <f t="shared" si="35"/>
        <v>0</v>
      </c>
      <c r="D109" s="29"/>
      <c r="E109" s="28">
        <f>I109+K109+M109+O109+Q109+S109+U109+W109+Y109+AA109+AC109+AE109</f>
        <v>0</v>
      </c>
      <c r="F109" s="120">
        <f t="shared" si="32"/>
        <v>0</v>
      </c>
      <c r="G109" s="120">
        <f t="shared" si="33"/>
        <v>0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54"/>
      <c r="AG109" s="15"/>
      <c r="AH109" s="15"/>
      <c r="AI109" s="15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</row>
    <row r="110" spans="1:62" ht="18.75" x14ac:dyDescent="0.3">
      <c r="A110" s="22" t="s">
        <v>29</v>
      </c>
      <c r="B110" s="28">
        <f t="shared" si="31"/>
        <v>0</v>
      </c>
      <c r="C110" s="29">
        <f t="shared" ref="C110:C113" si="36">H110+J110+L110+N110+P110+R110+T110+V110+X110+Z110</f>
        <v>0</v>
      </c>
      <c r="D110" s="29">
        <f>E110</f>
        <v>0</v>
      </c>
      <c r="E110" s="28">
        <f>I110+K110+M110+O110+Q110+S110+U110+W110+Y110+AA110+AC110+AE110</f>
        <v>0</v>
      </c>
      <c r="F110" s="120">
        <f t="shared" si="32"/>
        <v>0</v>
      </c>
      <c r="G110" s="120">
        <f t="shared" si="33"/>
        <v>0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54"/>
      <c r="AG110" s="15"/>
      <c r="AH110" s="15"/>
      <c r="AI110" s="15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</row>
    <row r="111" spans="1:62" ht="57" customHeight="1" x14ac:dyDescent="0.25">
      <c r="A111" s="156" t="s">
        <v>72</v>
      </c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8"/>
      <c r="AF111" s="132"/>
      <c r="AG111" s="15"/>
      <c r="AH111" s="15"/>
      <c r="AI111" s="15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</row>
    <row r="112" spans="1:62" ht="18.75" x14ac:dyDescent="0.3">
      <c r="A112" s="19" t="s">
        <v>25</v>
      </c>
      <c r="B112" s="27">
        <f t="shared" ref="B112:B117" si="37">H112+J112+L112+N112+P112+R112+T112+V112+X112+Z112+AB112+AD112</f>
        <v>1609.8999999999999</v>
      </c>
      <c r="C112" s="13">
        <f>C113+C114+C116+C117</f>
        <v>1585.6999999999998</v>
      </c>
      <c r="D112" s="13">
        <f>D113+D114+D116+D117</f>
        <v>1572.8999999999999</v>
      </c>
      <c r="E112" s="13">
        <f>E113+E114+E116+E117</f>
        <v>1572.8999999999999</v>
      </c>
      <c r="F112" s="121">
        <f t="shared" ref="F112:F117" si="38">IFERROR(E112/B112*100,0)</f>
        <v>97.701720603764215</v>
      </c>
      <c r="G112" s="121">
        <f t="shared" ref="G112:G117" si="39">IFERROR(E112/C112*100,0)</f>
        <v>99.192785520590277</v>
      </c>
      <c r="H112" s="13">
        <f>H113+H114+H116+H117</f>
        <v>0</v>
      </c>
      <c r="I112" s="13">
        <f t="shared" ref="I112:AE112" si="40">I113+I114+I116+I117</f>
        <v>0</v>
      </c>
      <c r="J112" s="13">
        <f t="shared" si="40"/>
        <v>0</v>
      </c>
      <c r="K112" s="13">
        <f t="shared" si="40"/>
        <v>0</v>
      </c>
      <c r="L112" s="13">
        <f t="shared" si="40"/>
        <v>0</v>
      </c>
      <c r="M112" s="13">
        <f t="shared" si="40"/>
        <v>0</v>
      </c>
      <c r="N112" s="13">
        <f t="shared" si="40"/>
        <v>0</v>
      </c>
      <c r="O112" s="13">
        <f t="shared" si="40"/>
        <v>0</v>
      </c>
      <c r="P112" s="13">
        <f t="shared" si="40"/>
        <v>0</v>
      </c>
      <c r="Q112" s="13">
        <f t="shared" si="40"/>
        <v>0</v>
      </c>
      <c r="R112" s="13">
        <f t="shared" si="40"/>
        <v>637.5</v>
      </c>
      <c r="S112" s="13">
        <f t="shared" si="40"/>
        <v>637.5</v>
      </c>
      <c r="T112" s="13">
        <f t="shared" si="40"/>
        <v>844.69999999999993</v>
      </c>
      <c r="U112" s="13">
        <f t="shared" si="40"/>
        <v>645.09999999999991</v>
      </c>
      <c r="V112" s="13">
        <f t="shared" si="40"/>
        <v>16.8</v>
      </c>
      <c r="W112" s="13">
        <f t="shared" si="40"/>
        <v>16.8</v>
      </c>
      <c r="X112" s="13">
        <f t="shared" si="40"/>
        <v>110.9</v>
      </c>
      <c r="Y112" s="13">
        <f t="shared" si="40"/>
        <v>103.5</v>
      </c>
      <c r="Z112" s="13">
        <f t="shared" si="40"/>
        <v>0</v>
      </c>
      <c r="AA112" s="13">
        <f t="shared" si="40"/>
        <v>170</v>
      </c>
      <c r="AB112" s="13">
        <f t="shared" si="40"/>
        <v>0</v>
      </c>
      <c r="AC112" s="13">
        <f t="shared" si="40"/>
        <v>0</v>
      </c>
      <c r="AD112" s="13">
        <f t="shared" si="40"/>
        <v>0</v>
      </c>
      <c r="AE112" s="13">
        <f t="shared" si="40"/>
        <v>0</v>
      </c>
      <c r="AF112" s="162"/>
      <c r="AG112" s="15"/>
      <c r="AH112" s="15"/>
      <c r="AI112" s="15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</row>
    <row r="113" spans="1:62" ht="18.75" x14ac:dyDescent="0.3">
      <c r="A113" s="22" t="s">
        <v>26</v>
      </c>
      <c r="B113" s="28">
        <f t="shared" si="37"/>
        <v>545.79999999999995</v>
      </c>
      <c r="C113" s="29">
        <f>H113+J113+L113+N113+P113+R113+T113</f>
        <v>545.79999999999995</v>
      </c>
      <c r="D113" s="29">
        <f>E113</f>
        <v>545.79999999999995</v>
      </c>
      <c r="E113" s="28">
        <f>I113+K113+M113+O113+Q113+S113+U113+W113+Y113+AA113+AC113+AE113</f>
        <v>545.79999999999995</v>
      </c>
      <c r="F113" s="120">
        <f t="shared" si="38"/>
        <v>100</v>
      </c>
      <c r="G113" s="120">
        <f t="shared" si="39"/>
        <v>100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>
        <f>404+141.8</f>
        <v>545.79999999999995</v>
      </c>
      <c r="U113" s="23">
        <v>545.79999999999995</v>
      </c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163"/>
      <c r="AG113" s="15"/>
      <c r="AH113" s="15"/>
      <c r="AI113" s="15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</row>
    <row r="114" spans="1:62" ht="18.75" x14ac:dyDescent="0.3">
      <c r="A114" s="22" t="s">
        <v>27</v>
      </c>
      <c r="B114" s="28">
        <f t="shared" si="37"/>
        <v>960.59999999999991</v>
      </c>
      <c r="C114" s="29">
        <f>H114+J114+L114+N114+P114+R114+T114</f>
        <v>936.4</v>
      </c>
      <c r="D114" s="29">
        <f>E114</f>
        <v>923.59999999999991</v>
      </c>
      <c r="E114" s="28">
        <f>I114+K114+M114+O114+Q114+S114+U114+W114+Y114+AA114+AC114+AE114</f>
        <v>923.59999999999991</v>
      </c>
      <c r="F114" s="120">
        <f t="shared" si="38"/>
        <v>96.148240682906518</v>
      </c>
      <c r="G114" s="120">
        <f t="shared" si="39"/>
        <v>98.633062793677908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>
        <f>345.9+135.9+155.7</f>
        <v>637.5</v>
      </c>
      <c r="S114" s="23">
        <v>637.5</v>
      </c>
      <c r="T114" s="23">
        <f>134.7+93.5+47.3+23.4</f>
        <v>298.89999999999998</v>
      </c>
      <c r="U114" s="23">
        <v>99.3</v>
      </c>
      <c r="V114" s="23">
        <v>16.8</v>
      </c>
      <c r="W114" s="23">
        <v>16.8</v>
      </c>
      <c r="X114" s="23">
        <v>7.4</v>
      </c>
      <c r="Y114" s="23"/>
      <c r="Z114" s="23"/>
      <c r="AA114" s="23">
        <v>170</v>
      </c>
      <c r="AB114" s="23"/>
      <c r="AC114" s="23"/>
      <c r="AD114" s="23"/>
      <c r="AE114" s="23"/>
      <c r="AF114" s="163"/>
      <c r="AG114" s="15"/>
      <c r="AH114" s="15"/>
      <c r="AI114" s="15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</row>
    <row r="115" spans="1:62" ht="37.5" x14ac:dyDescent="0.3">
      <c r="A115" s="22" t="s">
        <v>30</v>
      </c>
      <c r="B115" s="28">
        <f t="shared" si="37"/>
        <v>182</v>
      </c>
      <c r="C115" s="29">
        <f>H115+J115+L115+N115+P115+T115</f>
        <v>182</v>
      </c>
      <c r="D115" s="29">
        <f>E115</f>
        <v>182</v>
      </c>
      <c r="E115" s="28">
        <f>I115+K115+M115+O115+Q115+S115+U115+W115+Y115+AA115+AC115+AE115</f>
        <v>182</v>
      </c>
      <c r="F115" s="120">
        <f t="shared" si="38"/>
        <v>100</v>
      </c>
      <c r="G115" s="120">
        <f t="shared" si="39"/>
        <v>100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>
        <f>134.7+47.3</f>
        <v>182</v>
      </c>
      <c r="U115" s="23">
        <v>182</v>
      </c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163"/>
      <c r="AG115" s="15"/>
      <c r="AH115" s="15"/>
      <c r="AI115" s="15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</row>
    <row r="116" spans="1:62" ht="18.75" x14ac:dyDescent="0.3">
      <c r="A116" s="22" t="s">
        <v>28</v>
      </c>
      <c r="B116" s="28">
        <f t="shared" si="37"/>
        <v>0</v>
      </c>
      <c r="C116" s="29">
        <f>H116</f>
        <v>0</v>
      </c>
      <c r="D116" s="29"/>
      <c r="E116" s="28">
        <f>I116+K116+M116+O116+Q116+S116+U116+W116+Y116+AA116+AC116+AE116</f>
        <v>0</v>
      </c>
      <c r="F116" s="120">
        <f t="shared" si="38"/>
        <v>0</v>
      </c>
      <c r="G116" s="120">
        <f t="shared" si="39"/>
        <v>0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63"/>
      <c r="AG116" s="15"/>
      <c r="AH116" s="15"/>
      <c r="AI116" s="15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</row>
    <row r="117" spans="1:62" ht="18.75" x14ac:dyDescent="0.3">
      <c r="A117" s="22" t="s">
        <v>29</v>
      </c>
      <c r="B117" s="28">
        <f t="shared" si="37"/>
        <v>103.5</v>
      </c>
      <c r="C117" s="29">
        <f>H117+X117</f>
        <v>103.5</v>
      </c>
      <c r="D117" s="29">
        <f>E117</f>
        <v>103.5</v>
      </c>
      <c r="E117" s="28">
        <f>I117+K117+M117+O117+Q117+S117+U117+W117+Y117+AA117+AC117+AE117</f>
        <v>103.5</v>
      </c>
      <c r="F117" s="120">
        <f t="shared" si="38"/>
        <v>100</v>
      </c>
      <c r="G117" s="120">
        <f t="shared" si="39"/>
        <v>100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>
        <v>103.5</v>
      </c>
      <c r="Y117" s="13">
        <v>103.5</v>
      </c>
      <c r="Z117" s="13"/>
      <c r="AA117" s="13"/>
      <c r="AB117" s="13"/>
      <c r="AC117" s="13"/>
      <c r="AD117" s="13"/>
      <c r="AE117" s="13"/>
      <c r="AF117" s="164"/>
      <c r="AG117" s="15"/>
      <c r="AH117" s="15"/>
      <c r="AI117" s="15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</row>
    <row r="118" spans="1:62" ht="18.75" x14ac:dyDescent="0.25">
      <c r="A118" s="156" t="s">
        <v>73</v>
      </c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8"/>
      <c r="AF118" s="132"/>
      <c r="AG118" s="15"/>
      <c r="AH118" s="15"/>
      <c r="AI118" s="15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</row>
    <row r="119" spans="1:62" ht="18.75" x14ac:dyDescent="0.3">
      <c r="A119" s="19" t="s">
        <v>25</v>
      </c>
      <c r="B119" s="27">
        <f t="shared" ref="B119:B124" si="41">H119+J119+L119+N119+P119+R119+T119+V119+X119+Z119+AB119+AD119</f>
        <v>1758.6000000000001</v>
      </c>
      <c r="C119" s="20">
        <f>SUM(C120:C123)</f>
        <v>1758.6000000000001</v>
      </c>
      <c r="D119" s="20">
        <f>SUM(D120:D123)</f>
        <v>1722.2</v>
      </c>
      <c r="E119" s="20">
        <f>SUM(E120:E123)</f>
        <v>1722.2</v>
      </c>
      <c r="F119" s="121">
        <f>IFERROR(E119/B119*100,0)</f>
        <v>97.930171727510512</v>
      </c>
      <c r="G119" s="121">
        <f>IFERROR(E119/C119*100,0)</f>
        <v>97.930171727510512</v>
      </c>
      <c r="H119" s="13">
        <f>H120+H121+H122+H123</f>
        <v>0</v>
      </c>
      <c r="I119" s="13">
        <f>I120+I121+I122+I123</f>
        <v>0</v>
      </c>
      <c r="J119" s="13">
        <f>J120+J121+J122+J123</f>
        <v>0</v>
      </c>
      <c r="K119" s="13">
        <f>K120+K121+K122+K123</f>
        <v>0</v>
      </c>
      <c r="L119" s="13">
        <f>L120+L121+L122+L123</f>
        <v>0</v>
      </c>
      <c r="M119" s="13">
        <f t="shared" ref="M119:AE119" si="42">M120+M121+M122+M123</f>
        <v>0</v>
      </c>
      <c r="N119" s="13">
        <f t="shared" si="42"/>
        <v>0</v>
      </c>
      <c r="O119" s="13">
        <f t="shared" si="42"/>
        <v>0</v>
      </c>
      <c r="P119" s="13">
        <f t="shared" si="42"/>
        <v>0</v>
      </c>
      <c r="Q119" s="13">
        <f t="shared" si="42"/>
        <v>0</v>
      </c>
      <c r="R119" s="13">
        <f t="shared" si="42"/>
        <v>813.7</v>
      </c>
      <c r="S119" s="13">
        <f t="shared" si="42"/>
        <v>813.7</v>
      </c>
      <c r="T119" s="13">
        <f t="shared" si="42"/>
        <v>376</v>
      </c>
      <c r="U119" s="13">
        <f t="shared" si="42"/>
        <v>376</v>
      </c>
      <c r="V119" s="13">
        <f t="shared" si="42"/>
        <v>88.4</v>
      </c>
      <c r="W119" s="13">
        <f t="shared" si="42"/>
        <v>52</v>
      </c>
      <c r="X119" s="13">
        <f t="shared" si="42"/>
        <v>0</v>
      </c>
      <c r="Y119" s="13">
        <f t="shared" si="42"/>
        <v>0</v>
      </c>
      <c r="Z119" s="13">
        <f t="shared" si="42"/>
        <v>480.5</v>
      </c>
      <c r="AA119" s="13">
        <f t="shared" si="42"/>
        <v>480.5</v>
      </c>
      <c r="AB119" s="13">
        <f t="shared" si="42"/>
        <v>0</v>
      </c>
      <c r="AC119" s="13">
        <f t="shared" si="42"/>
        <v>0</v>
      </c>
      <c r="AD119" s="13">
        <f t="shared" si="42"/>
        <v>0</v>
      </c>
      <c r="AE119" s="13">
        <f t="shared" si="42"/>
        <v>0</v>
      </c>
      <c r="AF119" s="132"/>
      <c r="AG119" s="15"/>
      <c r="AH119" s="15"/>
      <c r="AI119" s="15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</row>
    <row r="120" spans="1:62" ht="18.75" x14ac:dyDescent="0.3">
      <c r="A120" s="22" t="s">
        <v>26</v>
      </c>
      <c r="B120" s="37">
        <f t="shared" si="41"/>
        <v>0</v>
      </c>
      <c r="C120" s="29">
        <f t="shared" ref="C120:C123" si="43">H120+J120+L120+N120+P120+R120+T120+V120+X120+Z120</f>
        <v>0</v>
      </c>
      <c r="D120" s="37"/>
      <c r="E120" s="28">
        <f>I120+K120+M120+O120+Q120+S120+U120+W120+Y120+AA120+AC120+AE120</f>
        <v>0</v>
      </c>
      <c r="F120" s="120">
        <f>IFERROR(E120/B120*100,0)</f>
        <v>0</v>
      </c>
      <c r="G120" s="120">
        <f>IFERROR(E120/C120*100,0)</f>
        <v>0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132"/>
      <c r="AG120" s="15"/>
      <c r="AH120" s="15"/>
      <c r="AI120" s="15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</row>
    <row r="121" spans="1:62" ht="18.75" x14ac:dyDescent="0.3">
      <c r="A121" s="22" t="s">
        <v>27</v>
      </c>
      <c r="B121" s="28">
        <f t="shared" si="41"/>
        <v>1758.6000000000001</v>
      </c>
      <c r="C121" s="29">
        <f t="shared" si="43"/>
        <v>1758.6000000000001</v>
      </c>
      <c r="D121" s="29">
        <f>E121</f>
        <v>1722.2</v>
      </c>
      <c r="E121" s="28">
        <f>I121+K121+M121+O121+Q121+S121+U121+W121+Y121+AA121+AC121+AE121</f>
        <v>1722.2</v>
      </c>
      <c r="F121" s="120">
        <f>IFERROR(E121/B121*100,0)</f>
        <v>97.930171727510512</v>
      </c>
      <c r="G121" s="120">
        <f>IFERROR(E121/C121*100,0)</f>
        <v>97.930171727510512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>
        <f>382.8+93.8+337.1</f>
        <v>813.7</v>
      </c>
      <c r="S121" s="23">
        <v>813.7</v>
      </c>
      <c r="T121" s="23">
        <f>251.7+64+60.3</f>
        <v>376</v>
      </c>
      <c r="U121" s="23">
        <v>376</v>
      </c>
      <c r="V121" s="23">
        <f>230.9+63.9-60.3-146.1</f>
        <v>88.4</v>
      </c>
      <c r="W121" s="23">
        <v>52</v>
      </c>
      <c r="X121" s="23"/>
      <c r="Y121" s="23"/>
      <c r="Z121" s="23">
        <v>480.5</v>
      </c>
      <c r="AA121" s="23">
        <v>480.5</v>
      </c>
      <c r="AB121" s="23"/>
      <c r="AC121" s="23"/>
      <c r="AD121" s="23"/>
      <c r="AE121" s="23"/>
      <c r="AF121" s="132"/>
      <c r="AG121" s="15"/>
      <c r="AH121" s="15"/>
      <c r="AI121" s="15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</row>
    <row r="122" spans="1:62" ht="18.75" x14ac:dyDescent="0.3">
      <c r="A122" s="22" t="s">
        <v>28</v>
      </c>
      <c r="B122" s="37">
        <f t="shared" si="41"/>
        <v>0</v>
      </c>
      <c r="C122" s="29">
        <f t="shared" si="43"/>
        <v>0</v>
      </c>
      <c r="D122" s="38"/>
      <c r="E122" s="28">
        <f>I122+K122+M122+O122+Q122+S122+U122+W122+Y122+AA122+AC122+AE122</f>
        <v>0</v>
      </c>
      <c r="F122" s="120">
        <f>IFERROR(E122/B122*100,0)</f>
        <v>0</v>
      </c>
      <c r="G122" s="120">
        <f>IFERROR(E122/C122*100,0)</f>
        <v>0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2"/>
      <c r="AG122" s="15"/>
      <c r="AH122" s="15"/>
      <c r="AI122" s="15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</row>
    <row r="123" spans="1:62" ht="18.75" x14ac:dyDescent="0.3">
      <c r="A123" s="22" t="s">
        <v>29</v>
      </c>
      <c r="B123" s="37">
        <f t="shared" si="41"/>
        <v>0</v>
      </c>
      <c r="C123" s="29">
        <f t="shared" si="43"/>
        <v>0</v>
      </c>
      <c r="D123" s="38"/>
      <c r="E123" s="28">
        <f>I123+K123+M123+O123+Q123+S123+U123+W123+Y123+AA123+AC123+AE123</f>
        <v>0</v>
      </c>
      <c r="F123" s="120">
        <f>IFERROR(E123/B123*100,0)</f>
        <v>0</v>
      </c>
      <c r="G123" s="120">
        <f>IFERROR(E123/C123*100,0)</f>
        <v>0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2"/>
      <c r="AG123" s="15"/>
      <c r="AH123" s="15"/>
      <c r="AI123" s="15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</row>
    <row r="124" spans="1:62" ht="56.25" x14ac:dyDescent="0.3">
      <c r="A124" s="96" t="s">
        <v>31</v>
      </c>
      <c r="B124" s="97">
        <f t="shared" si="41"/>
        <v>2499462.2000000002</v>
      </c>
      <c r="C124" s="7">
        <f>C125+C126+C128+C129</f>
        <v>2275099</v>
      </c>
      <c r="D124" s="7">
        <f>D125+D126+D128+D129</f>
        <v>2222978.44</v>
      </c>
      <c r="E124" s="7">
        <f>E125+E126+E128+E129</f>
        <v>2222978.44</v>
      </c>
      <c r="F124" s="26">
        <f>E124/B124*100</f>
        <v>88.938270000642532</v>
      </c>
      <c r="G124" s="26">
        <f>E124/C124*100</f>
        <v>97.709086066144806</v>
      </c>
      <c r="H124" s="7">
        <f>H125+H126+H128+H129</f>
        <v>178158.19999999998</v>
      </c>
      <c r="I124" s="7">
        <f t="shared" ref="I124:AE124" si="44">I125+I126+I128+I129</f>
        <v>175389.69999999998</v>
      </c>
      <c r="J124" s="7">
        <f t="shared" si="44"/>
        <v>248052.4</v>
      </c>
      <c r="K124" s="7">
        <f t="shared" si="44"/>
        <v>240371.20000000001</v>
      </c>
      <c r="L124" s="7">
        <f t="shared" si="44"/>
        <v>224065</v>
      </c>
      <c r="M124" s="7">
        <f t="shared" si="44"/>
        <v>221541.2</v>
      </c>
      <c r="N124" s="7">
        <f t="shared" si="44"/>
        <v>226429.59999999998</v>
      </c>
      <c r="O124" s="7">
        <f t="shared" si="44"/>
        <v>225373.59999999998</v>
      </c>
      <c r="P124" s="7">
        <f t="shared" si="44"/>
        <v>425372.60000000003</v>
      </c>
      <c r="Q124" s="7">
        <f t="shared" si="44"/>
        <v>418283.7</v>
      </c>
      <c r="R124" s="7">
        <f t="shared" si="44"/>
        <v>227636.3</v>
      </c>
      <c r="S124" s="7">
        <f t="shared" si="44"/>
        <v>206681.3</v>
      </c>
      <c r="T124" s="7">
        <f t="shared" si="44"/>
        <v>178975.2</v>
      </c>
      <c r="U124" s="7">
        <f t="shared" si="44"/>
        <v>190891.5</v>
      </c>
      <c r="V124" s="7">
        <f t="shared" si="44"/>
        <v>108986.8</v>
      </c>
      <c r="W124" s="7">
        <f t="shared" si="44"/>
        <v>109275.50000000001</v>
      </c>
      <c r="X124" s="7">
        <f t="shared" si="44"/>
        <v>148361</v>
      </c>
      <c r="Y124" s="7">
        <f t="shared" si="44"/>
        <v>156891.19999999998</v>
      </c>
      <c r="Z124" s="7">
        <f t="shared" si="44"/>
        <v>157733.20000000001</v>
      </c>
      <c r="AA124" s="7">
        <f t="shared" si="44"/>
        <v>159425.53999999998</v>
      </c>
      <c r="AB124" s="7">
        <f t="shared" si="44"/>
        <v>156121.9</v>
      </c>
      <c r="AC124" s="7">
        <f t="shared" si="44"/>
        <v>118971.99999999999</v>
      </c>
      <c r="AD124" s="7">
        <f t="shared" si="44"/>
        <v>219570</v>
      </c>
      <c r="AE124" s="7">
        <f t="shared" si="44"/>
        <v>0</v>
      </c>
      <c r="AF124" s="43"/>
      <c r="AG124" s="15"/>
      <c r="AH124" s="15"/>
      <c r="AI124" s="15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</row>
    <row r="125" spans="1:62" ht="18.75" x14ac:dyDescent="0.3">
      <c r="A125" s="96" t="s">
        <v>26</v>
      </c>
      <c r="B125" s="98">
        <f t="shared" ref="B125:E126" si="45">B99+B75+B63+B33+B14</f>
        <v>1871950.2999999998</v>
      </c>
      <c r="C125" s="98">
        <f t="shared" si="45"/>
        <v>1689794.2</v>
      </c>
      <c r="D125" s="98">
        <f t="shared" si="45"/>
        <v>1662075.5</v>
      </c>
      <c r="E125" s="98">
        <f t="shared" si="45"/>
        <v>1662075.5</v>
      </c>
      <c r="F125" s="26">
        <f>E125/B125*100</f>
        <v>88.788441658947903</v>
      </c>
      <c r="G125" s="26">
        <f>E125/C125*100</f>
        <v>98.359640481663391</v>
      </c>
      <c r="H125" s="98">
        <f t="shared" ref="H125:AE126" si="46">H99+H75+H63+H33+H14</f>
        <v>105198.2</v>
      </c>
      <c r="I125" s="98">
        <f t="shared" si="46"/>
        <v>102974.9</v>
      </c>
      <c r="J125" s="98">
        <f t="shared" si="46"/>
        <v>178479</v>
      </c>
      <c r="K125" s="98">
        <f t="shared" si="46"/>
        <v>172257.9</v>
      </c>
      <c r="L125" s="98">
        <f t="shared" si="46"/>
        <v>158436</v>
      </c>
      <c r="M125" s="98">
        <f t="shared" si="46"/>
        <v>156907.29999999999</v>
      </c>
      <c r="N125" s="98">
        <f t="shared" si="46"/>
        <v>162082.19999999998</v>
      </c>
      <c r="O125" s="98">
        <f t="shared" si="46"/>
        <v>162728.59999999998</v>
      </c>
      <c r="P125" s="98">
        <f t="shared" si="46"/>
        <v>359709.5</v>
      </c>
      <c r="Q125" s="98">
        <f t="shared" si="46"/>
        <v>358536.3</v>
      </c>
      <c r="R125" s="98">
        <f t="shared" si="46"/>
        <v>170135.5</v>
      </c>
      <c r="S125" s="98">
        <f t="shared" si="46"/>
        <v>161676.79999999999</v>
      </c>
      <c r="T125" s="98">
        <f t="shared" si="46"/>
        <v>125710.3</v>
      </c>
      <c r="U125" s="98">
        <f t="shared" si="46"/>
        <v>127097.20000000001</v>
      </c>
      <c r="V125" s="98">
        <f t="shared" si="46"/>
        <v>82666.7</v>
      </c>
      <c r="W125" s="98">
        <f t="shared" si="46"/>
        <v>86736.7</v>
      </c>
      <c r="X125" s="98">
        <f t="shared" si="46"/>
        <v>116023.7</v>
      </c>
      <c r="Y125" s="98">
        <f t="shared" si="46"/>
        <v>114441.8</v>
      </c>
      <c r="Z125" s="98">
        <f t="shared" si="46"/>
        <v>113734.8</v>
      </c>
      <c r="AA125" s="98">
        <f t="shared" si="46"/>
        <v>117380.7</v>
      </c>
      <c r="AB125" s="98">
        <f t="shared" si="46"/>
        <v>117618.3</v>
      </c>
      <c r="AC125" s="98">
        <f t="shared" si="46"/>
        <v>101337.29999999999</v>
      </c>
      <c r="AD125" s="98">
        <f t="shared" si="46"/>
        <v>182156.1</v>
      </c>
      <c r="AE125" s="98">
        <f t="shared" si="46"/>
        <v>0</v>
      </c>
      <c r="AF125" s="43"/>
      <c r="AG125" s="15"/>
      <c r="AH125" s="15"/>
      <c r="AI125" s="15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</row>
    <row r="126" spans="1:62" ht="18.75" x14ac:dyDescent="0.3">
      <c r="A126" s="96" t="s">
        <v>27</v>
      </c>
      <c r="B126" s="98">
        <f t="shared" si="45"/>
        <v>544244.50000000012</v>
      </c>
      <c r="C126" s="98">
        <f>C100+C76+C64+C34+C15</f>
        <v>510674.3</v>
      </c>
      <c r="D126" s="98">
        <f t="shared" si="45"/>
        <v>486272.44</v>
      </c>
      <c r="E126" s="98">
        <f t="shared" si="45"/>
        <v>486272.44</v>
      </c>
      <c r="F126" s="26">
        <f>E126/B126*100</f>
        <v>89.348158777902199</v>
      </c>
      <c r="G126" s="26">
        <f>E126/C126*100</f>
        <v>95.221639311005077</v>
      </c>
      <c r="H126" s="98">
        <f t="shared" si="46"/>
        <v>68846.7</v>
      </c>
      <c r="I126" s="98">
        <f t="shared" si="46"/>
        <v>68554.7</v>
      </c>
      <c r="J126" s="98">
        <f t="shared" si="46"/>
        <v>65460.1</v>
      </c>
      <c r="K126" s="98">
        <f t="shared" si="46"/>
        <v>64261.30000000001</v>
      </c>
      <c r="L126" s="98">
        <f t="shared" si="46"/>
        <v>55957</v>
      </c>
      <c r="M126" s="98">
        <f t="shared" si="46"/>
        <v>55434.000000000007</v>
      </c>
      <c r="N126" s="98">
        <f t="shared" si="46"/>
        <v>52946.799999999996</v>
      </c>
      <c r="O126" s="98">
        <f t="shared" si="46"/>
        <v>58724.000000000007</v>
      </c>
      <c r="P126" s="98">
        <f t="shared" si="46"/>
        <v>52714.200000000004</v>
      </c>
      <c r="Q126" s="98">
        <f t="shared" si="46"/>
        <v>53205.600000000006</v>
      </c>
      <c r="R126" s="98">
        <f t="shared" si="46"/>
        <v>44198</v>
      </c>
      <c r="S126" s="98">
        <f t="shared" si="46"/>
        <v>38903.5</v>
      </c>
      <c r="T126" s="98">
        <f t="shared" si="46"/>
        <v>52260.3</v>
      </c>
      <c r="U126" s="98">
        <f t="shared" si="46"/>
        <v>51587.69999999999</v>
      </c>
      <c r="V126" s="98">
        <f t="shared" si="46"/>
        <v>24235.5</v>
      </c>
      <c r="W126" s="98">
        <f t="shared" si="46"/>
        <v>20901.100000000002</v>
      </c>
      <c r="X126" s="98">
        <f t="shared" si="46"/>
        <v>27970.7</v>
      </c>
      <c r="Y126" s="98">
        <f t="shared" si="46"/>
        <v>30876</v>
      </c>
      <c r="Z126" s="98">
        <f t="shared" si="46"/>
        <v>35405.100000000006</v>
      </c>
      <c r="AA126" s="98">
        <f t="shared" si="46"/>
        <v>34550.639999999999</v>
      </c>
      <c r="AB126" s="98">
        <f t="shared" si="46"/>
        <v>30704.1</v>
      </c>
      <c r="AC126" s="98">
        <f t="shared" si="46"/>
        <v>9273.8999999999978</v>
      </c>
      <c r="AD126" s="98">
        <f t="shared" si="46"/>
        <v>33546.000000000007</v>
      </c>
      <c r="AE126" s="98">
        <f t="shared" si="46"/>
        <v>0</v>
      </c>
      <c r="AF126" s="43"/>
      <c r="AG126" s="15"/>
      <c r="AH126" s="15"/>
      <c r="AI126" s="15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</row>
    <row r="127" spans="1:62" ht="37.5" x14ac:dyDescent="0.3">
      <c r="A127" s="96" t="s">
        <v>30</v>
      </c>
      <c r="B127" s="98">
        <f>B101</f>
        <v>2810.3</v>
      </c>
      <c r="C127" s="98">
        <f>C101</f>
        <v>2747.6</v>
      </c>
      <c r="D127" s="98">
        <f>D101</f>
        <v>2743.7000000000003</v>
      </c>
      <c r="E127" s="98">
        <f>E101</f>
        <v>2743.7000000000003</v>
      </c>
      <c r="F127" s="121">
        <f>IFERROR(E127/B127*100,0)</f>
        <v>97.63014624773156</v>
      </c>
      <c r="G127" s="121">
        <f>IFERROR(E127/C127*100,0)</f>
        <v>99.858057941476204</v>
      </c>
      <c r="H127" s="98">
        <f>H101</f>
        <v>0</v>
      </c>
      <c r="I127" s="98">
        <f t="shared" ref="I127:AE127" si="47">I101</f>
        <v>0</v>
      </c>
      <c r="J127" s="98">
        <f t="shared" si="47"/>
        <v>0</v>
      </c>
      <c r="K127" s="98">
        <f t="shared" si="47"/>
        <v>0</v>
      </c>
      <c r="L127" s="98">
        <f t="shared" si="47"/>
        <v>0</v>
      </c>
      <c r="M127" s="98">
        <f t="shared" si="47"/>
        <v>0</v>
      </c>
      <c r="N127" s="98">
        <f t="shared" si="47"/>
        <v>413.4</v>
      </c>
      <c r="O127" s="98">
        <f t="shared" si="47"/>
        <v>413.4</v>
      </c>
      <c r="P127" s="98">
        <f t="shared" si="47"/>
        <v>0</v>
      </c>
      <c r="Q127" s="98">
        <f t="shared" si="47"/>
        <v>0</v>
      </c>
      <c r="R127" s="98">
        <f t="shared" si="47"/>
        <v>1323.1</v>
      </c>
      <c r="S127" s="98">
        <f t="shared" si="47"/>
        <v>1323.1</v>
      </c>
      <c r="T127" s="98">
        <f t="shared" si="47"/>
        <v>182</v>
      </c>
      <c r="U127" s="98">
        <f t="shared" si="47"/>
        <v>182</v>
      </c>
      <c r="V127" s="98">
        <f t="shared" si="47"/>
        <v>563</v>
      </c>
      <c r="W127" s="98">
        <f t="shared" si="47"/>
        <v>376.3</v>
      </c>
      <c r="X127" s="98">
        <f t="shared" si="47"/>
        <v>0</v>
      </c>
      <c r="Y127" s="98">
        <f t="shared" si="47"/>
        <v>0</v>
      </c>
      <c r="Z127" s="98">
        <f t="shared" si="47"/>
        <v>266.10000000000002</v>
      </c>
      <c r="AA127" s="98">
        <f t="shared" si="47"/>
        <v>134</v>
      </c>
      <c r="AB127" s="98">
        <f t="shared" si="47"/>
        <v>0</v>
      </c>
      <c r="AC127" s="98">
        <f t="shared" si="47"/>
        <v>314.89999999999998</v>
      </c>
      <c r="AD127" s="98">
        <f t="shared" si="47"/>
        <v>62.700000000000159</v>
      </c>
      <c r="AE127" s="98">
        <f t="shared" si="47"/>
        <v>0</v>
      </c>
      <c r="AF127" s="43"/>
      <c r="AG127" s="15"/>
      <c r="AH127" s="15"/>
      <c r="AI127" s="15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</row>
    <row r="128" spans="1:62" ht="18.75" x14ac:dyDescent="0.3">
      <c r="A128" s="96" t="s">
        <v>28</v>
      </c>
      <c r="B128" s="98">
        <f t="shared" ref="B128:E129" si="48">B102+B77+B65+B35+B16</f>
        <v>49215.600000000006</v>
      </c>
      <c r="C128" s="98">
        <f t="shared" si="48"/>
        <v>42855.700000000004</v>
      </c>
      <c r="D128" s="98">
        <f t="shared" si="48"/>
        <v>42855.700000000004</v>
      </c>
      <c r="E128" s="98">
        <f t="shared" si="48"/>
        <v>42855.700000000004</v>
      </c>
      <c r="F128" s="26">
        <f>E128/B128*100</f>
        <v>87.077471370866149</v>
      </c>
      <c r="G128" s="26">
        <f>E128/C128*100</f>
        <v>100</v>
      </c>
      <c r="H128" s="98">
        <f t="shared" ref="H128:AE129" si="49">H102+H77+H65+H35+H16</f>
        <v>4113.3</v>
      </c>
      <c r="I128" s="98">
        <f t="shared" si="49"/>
        <v>3860.1</v>
      </c>
      <c r="J128" s="98">
        <f t="shared" si="49"/>
        <v>4113.3</v>
      </c>
      <c r="K128" s="98">
        <f t="shared" si="49"/>
        <v>3852</v>
      </c>
      <c r="L128" s="98">
        <f t="shared" si="49"/>
        <v>4113.3</v>
      </c>
      <c r="M128" s="98">
        <f t="shared" si="49"/>
        <v>3641.2</v>
      </c>
      <c r="N128" s="98">
        <f t="shared" si="49"/>
        <v>4126.6000000000004</v>
      </c>
      <c r="O128" s="98">
        <f t="shared" si="49"/>
        <v>3921</v>
      </c>
      <c r="P128" s="98">
        <f t="shared" si="49"/>
        <v>7037.5</v>
      </c>
      <c r="Q128" s="98">
        <f t="shared" si="49"/>
        <v>6541.8</v>
      </c>
      <c r="R128" s="98">
        <f t="shared" si="49"/>
        <v>7509.4</v>
      </c>
      <c r="S128" s="98">
        <f t="shared" si="49"/>
        <v>5983</v>
      </c>
      <c r="T128" s="98">
        <f t="shared" si="49"/>
        <v>1004.5999999999999</v>
      </c>
      <c r="U128" s="98">
        <f t="shared" si="49"/>
        <v>3127.4</v>
      </c>
      <c r="V128" s="98">
        <f t="shared" si="49"/>
        <v>1003</v>
      </c>
      <c r="W128" s="98">
        <f t="shared" si="49"/>
        <v>556.1</v>
      </c>
      <c r="X128" s="98">
        <f t="shared" si="49"/>
        <v>4219.8999999999996</v>
      </c>
      <c r="Y128" s="98">
        <f t="shared" si="49"/>
        <v>3402.3</v>
      </c>
      <c r="Z128" s="98">
        <f t="shared" si="49"/>
        <v>4093.3</v>
      </c>
      <c r="AA128" s="98">
        <f t="shared" si="49"/>
        <v>3451.2999999999997</v>
      </c>
      <c r="AB128" s="98">
        <f t="shared" si="49"/>
        <v>4013.5</v>
      </c>
      <c r="AC128" s="98">
        <f t="shared" si="49"/>
        <v>4637.5</v>
      </c>
      <c r="AD128" s="98">
        <f t="shared" si="49"/>
        <v>3867.8999999999996</v>
      </c>
      <c r="AE128" s="98">
        <f t="shared" si="49"/>
        <v>0</v>
      </c>
      <c r="AF128" s="43"/>
      <c r="AG128" s="15"/>
      <c r="AH128" s="15"/>
      <c r="AI128" s="15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</row>
    <row r="129" spans="1:62" ht="18.75" x14ac:dyDescent="0.3">
      <c r="A129" s="96" t="s">
        <v>29</v>
      </c>
      <c r="B129" s="98">
        <f t="shared" si="48"/>
        <v>34051.800000000003</v>
      </c>
      <c r="C129" s="98">
        <f t="shared" si="48"/>
        <v>31774.800000000003</v>
      </c>
      <c r="D129" s="98">
        <f t="shared" si="48"/>
        <v>31774.800000000003</v>
      </c>
      <c r="E129" s="98">
        <f t="shared" si="48"/>
        <v>31774.800000000003</v>
      </c>
      <c r="F129" s="121">
        <f>IFERROR(E129/B129*100,0)</f>
        <v>93.313128821383899</v>
      </c>
      <c r="G129" s="121">
        <f>IFERROR(E129/C129*100,0)</f>
        <v>100</v>
      </c>
      <c r="H129" s="98">
        <f t="shared" si="49"/>
        <v>0</v>
      </c>
      <c r="I129" s="98">
        <f t="shared" si="49"/>
        <v>0</v>
      </c>
      <c r="J129" s="98">
        <f t="shared" si="49"/>
        <v>0</v>
      </c>
      <c r="K129" s="98">
        <f t="shared" si="49"/>
        <v>0</v>
      </c>
      <c r="L129" s="98">
        <f t="shared" si="49"/>
        <v>5558.7</v>
      </c>
      <c r="M129" s="98">
        <f t="shared" si="49"/>
        <v>5558.7</v>
      </c>
      <c r="N129" s="98">
        <f t="shared" si="49"/>
        <v>7274</v>
      </c>
      <c r="O129" s="98">
        <f t="shared" si="49"/>
        <v>0</v>
      </c>
      <c r="P129" s="98">
        <f t="shared" si="49"/>
        <v>5911.4</v>
      </c>
      <c r="Q129" s="98">
        <f t="shared" si="49"/>
        <v>0</v>
      </c>
      <c r="R129" s="98">
        <f t="shared" si="49"/>
        <v>5793.4</v>
      </c>
      <c r="S129" s="98">
        <f t="shared" si="49"/>
        <v>118</v>
      </c>
      <c r="T129" s="98">
        <f t="shared" si="49"/>
        <v>0</v>
      </c>
      <c r="U129" s="98">
        <f t="shared" si="49"/>
        <v>9079.2000000000007</v>
      </c>
      <c r="V129" s="98">
        <f t="shared" si="49"/>
        <v>1081.5999999999999</v>
      </c>
      <c r="W129" s="98">
        <f t="shared" si="49"/>
        <v>1081.5999999999999</v>
      </c>
      <c r="X129" s="98">
        <f t="shared" si="49"/>
        <v>146.70000000000073</v>
      </c>
      <c r="Y129" s="98">
        <f t="shared" si="49"/>
        <v>8171.1</v>
      </c>
      <c r="Z129" s="98">
        <f t="shared" si="49"/>
        <v>4500</v>
      </c>
      <c r="AA129" s="98">
        <f t="shared" si="49"/>
        <v>4042.9</v>
      </c>
      <c r="AB129" s="98">
        <f t="shared" si="49"/>
        <v>3786</v>
      </c>
      <c r="AC129" s="98">
        <f t="shared" si="49"/>
        <v>3723.3</v>
      </c>
      <c r="AD129" s="98">
        <f t="shared" si="49"/>
        <v>0</v>
      </c>
      <c r="AE129" s="98">
        <f t="shared" si="49"/>
        <v>0</v>
      </c>
      <c r="AF129" s="43"/>
      <c r="AG129" s="15"/>
      <c r="AH129" s="15"/>
      <c r="AI129" s="15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</row>
    <row r="130" spans="1:62" ht="18.75" x14ac:dyDescent="0.3">
      <c r="A130" s="99" t="s">
        <v>117</v>
      </c>
      <c r="B130" s="100"/>
      <c r="C130" s="100"/>
      <c r="D130" s="100"/>
      <c r="E130" s="100"/>
      <c r="F130" s="101"/>
      <c r="G130" s="101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2"/>
      <c r="AE130" s="98"/>
      <c r="AF130" s="43"/>
      <c r="AG130" s="15"/>
      <c r="AH130" s="15"/>
      <c r="AI130" s="15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</row>
    <row r="131" spans="1:62" ht="18.75" x14ac:dyDescent="0.3">
      <c r="A131" s="103" t="s">
        <v>118</v>
      </c>
      <c r="B131" s="104"/>
      <c r="C131" s="104"/>
      <c r="D131" s="104"/>
      <c r="E131" s="104"/>
      <c r="F131" s="105"/>
      <c r="G131" s="105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43"/>
      <c r="AG131" s="15"/>
      <c r="AH131" s="15"/>
      <c r="AI131" s="15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</row>
    <row r="132" spans="1:62" ht="18.75" x14ac:dyDescent="0.3">
      <c r="A132" s="106" t="s">
        <v>119</v>
      </c>
      <c r="B132" s="104">
        <f>B133+B134+B135+B136</f>
        <v>58917.3</v>
      </c>
      <c r="C132" s="104">
        <f>C133+C134+C135+C136</f>
        <v>53985.4</v>
      </c>
      <c r="D132" s="104">
        <f>D133+D134+D135+D136</f>
        <v>49175.74</v>
      </c>
      <c r="E132" s="104">
        <f>E133+E134+E135+E136</f>
        <v>49175.739999999991</v>
      </c>
      <c r="F132" s="105">
        <f>E132/B132*100</f>
        <v>83.465705319150715</v>
      </c>
      <c r="G132" s="105">
        <f>E132/C132*100</f>
        <v>91.090813442152864</v>
      </c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43"/>
      <c r="AG132" s="15"/>
      <c r="AH132" s="15"/>
      <c r="AI132" s="15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</row>
    <row r="133" spans="1:62" ht="18.75" x14ac:dyDescent="0.3">
      <c r="A133" s="106" t="s">
        <v>28</v>
      </c>
      <c r="B133" s="98"/>
      <c r="C133" s="98"/>
      <c r="D133" s="98"/>
      <c r="E133" s="98"/>
      <c r="F133" s="120">
        <f>IFERROR(E133/B133*100,0)</f>
        <v>0</v>
      </c>
      <c r="G133" s="120">
        <f>IFERROR(E133/C133*100,0)</f>
        <v>0</v>
      </c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43"/>
      <c r="AG133" s="15"/>
      <c r="AH133" s="15"/>
      <c r="AI133" s="15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</row>
    <row r="134" spans="1:62" ht="18.75" x14ac:dyDescent="0.3">
      <c r="A134" s="106" t="s">
        <v>26</v>
      </c>
      <c r="B134" s="98"/>
      <c r="C134" s="98"/>
      <c r="D134" s="98"/>
      <c r="E134" s="98"/>
      <c r="F134" s="120">
        <f>IFERROR(E134/B134*100,0)</f>
        <v>0</v>
      </c>
      <c r="G134" s="120">
        <f>IFERROR(E134/C134*100,0)</f>
        <v>0</v>
      </c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43"/>
      <c r="AG134" s="15"/>
      <c r="AH134" s="15"/>
      <c r="AI134" s="15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</row>
    <row r="135" spans="1:62" ht="18.75" x14ac:dyDescent="0.3">
      <c r="A135" s="106" t="s">
        <v>27</v>
      </c>
      <c r="B135" s="98">
        <f>H135+J135+L135+N135+P135+R135+T135+V135+X135+Z135+AB135+AD135</f>
        <v>58917.3</v>
      </c>
      <c r="C135" s="98">
        <f>C15</f>
        <v>53985.4</v>
      </c>
      <c r="D135" s="98">
        <f>D15</f>
        <v>49175.74</v>
      </c>
      <c r="E135" s="98">
        <f>E15</f>
        <v>49175.739999999991</v>
      </c>
      <c r="F135" s="120">
        <f>IFERROR(E135/B135*100,0)</f>
        <v>83.465705319150715</v>
      </c>
      <c r="G135" s="120">
        <f>IFERROR(E135/C135*100,0)</f>
        <v>91.090813442152864</v>
      </c>
      <c r="H135" s="98">
        <f t="shared" ref="H135:AE135" si="50">H15</f>
        <v>6231.9</v>
      </c>
      <c r="I135" s="98">
        <f t="shared" si="50"/>
        <v>6231.9</v>
      </c>
      <c r="J135" s="98">
        <f t="shared" si="50"/>
        <v>6326.9</v>
      </c>
      <c r="K135" s="98">
        <f t="shared" si="50"/>
        <v>5325.3</v>
      </c>
      <c r="L135" s="98">
        <f t="shared" si="50"/>
        <v>6340.5999999999995</v>
      </c>
      <c r="M135" s="98">
        <f t="shared" si="50"/>
        <v>6651.3</v>
      </c>
      <c r="N135" s="98">
        <f t="shared" si="50"/>
        <v>6231.9</v>
      </c>
      <c r="O135" s="98">
        <f t="shared" si="50"/>
        <v>6231.9</v>
      </c>
      <c r="P135" s="98">
        <f t="shared" si="50"/>
        <v>6262.9</v>
      </c>
      <c r="Q135" s="98">
        <f t="shared" si="50"/>
        <v>6727</v>
      </c>
      <c r="R135" s="98">
        <f t="shared" si="50"/>
        <v>1300</v>
      </c>
      <c r="S135" s="98">
        <f t="shared" si="50"/>
        <v>1526.8</v>
      </c>
      <c r="T135" s="98">
        <f t="shared" si="50"/>
        <v>0</v>
      </c>
      <c r="U135" s="98">
        <f t="shared" si="50"/>
        <v>0</v>
      </c>
      <c r="V135" s="98">
        <f t="shared" si="50"/>
        <v>100</v>
      </c>
      <c r="W135" s="98">
        <f t="shared" si="50"/>
        <v>0</v>
      </c>
      <c r="X135" s="98">
        <f t="shared" si="50"/>
        <v>6232</v>
      </c>
      <c r="Y135" s="98">
        <f t="shared" si="50"/>
        <v>6332</v>
      </c>
      <c r="Z135" s="98">
        <f t="shared" si="50"/>
        <v>6237.2999999999993</v>
      </c>
      <c r="AA135" s="98">
        <f t="shared" si="50"/>
        <v>6231.84</v>
      </c>
      <c r="AB135" s="98">
        <f t="shared" si="50"/>
        <v>8721.9</v>
      </c>
      <c r="AC135" s="98">
        <f t="shared" si="50"/>
        <v>3917.7</v>
      </c>
      <c r="AD135" s="98">
        <f t="shared" si="50"/>
        <v>4931.8999999999996</v>
      </c>
      <c r="AE135" s="98">
        <f t="shared" si="50"/>
        <v>0</v>
      </c>
      <c r="AF135" s="43"/>
      <c r="AG135" s="15"/>
      <c r="AH135" s="15"/>
      <c r="AI135" s="15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</row>
    <row r="136" spans="1:62" ht="18.75" x14ac:dyDescent="0.3">
      <c r="A136" s="106" t="s">
        <v>120</v>
      </c>
      <c r="B136" s="98"/>
      <c r="C136" s="98"/>
      <c r="D136" s="98"/>
      <c r="E136" s="98"/>
      <c r="F136" s="120" t="s">
        <v>38</v>
      </c>
      <c r="G136" s="120">
        <f>IFERROR(E136/C136*100,0)</f>
        <v>0</v>
      </c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43"/>
      <c r="AG136" s="15"/>
      <c r="AH136" s="15"/>
      <c r="AI136" s="15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</row>
    <row r="137" spans="1:62" ht="18.75" x14ac:dyDescent="0.3">
      <c r="A137" s="107" t="s">
        <v>121</v>
      </c>
      <c r="B137" s="108"/>
      <c r="C137" s="108"/>
      <c r="D137" s="108"/>
      <c r="E137" s="108"/>
      <c r="F137" s="109"/>
      <c r="G137" s="109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10"/>
      <c r="AE137" s="111"/>
      <c r="AF137" s="43"/>
      <c r="AG137" s="15"/>
      <c r="AH137" s="15"/>
      <c r="AI137" s="15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</row>
    <row r="138" spans="1:62" ht="18.75" x14ac:dyDescent="0.3">
      <c r="A138" s="107" t="s">
        <v>119</v>
      </c>
      <c r="B138" s="111">
        <f>B139+B140+B141+B142</f>
        <v>2440544.9</v>
      </c>
      <c r="C138" s="111">
        <f>C139+C140+C141+C142</f>
        <v>2221113.5999999996</v>
      </c>
      <c r="D138" s="111">
        <f>D139+D140+D141+D142</f>
        <v>2173802.6999999997</v>
      </c>
      <c r="E138" s="111">
        <f>E139+E140+E141+E142</f>
        <v>2173802.6999999997</v>
      </c>
      <c r="F138" s="112">
        <f>E138/B138*100</f>
        <v>89.070383421341688</v>
      </c>
      <c r="G138" s="112">
        <f>E138/C138*100</f>
        <v>97.869946859089069</v>
      </c>
      <c r="H138" s="111">
        <f>H139+H140+H141+H142</f>
        <v>171926.3</v>
      </c>
      <c r="I138" s="111">
        <f t="shared" ref="I138:AE138" si="51">I139+I140+I141+I142</f>
        <v>169157.8</v>
      </c>
      <c r="J138" s="111">
        <f t="shared" si="51"/>
        <v>241725.5</v>
      </c>
      <c r="K138" s="111">
        <f t="shared" si="51"/>
        <v>235045.9</v>
      </c>
      <c r="L138" s="111">
        <f t="shared" si="51"/>
        <v>217724.4</v>
      </c>
      <c r="M138" s="111">
        <f t="shared" si="51"/>
        <v>214889.90000000002</v>
      </c>
      <c r="N138" s="111">
        <f t="shared" si="51"/>
        <v>220197.69999999998</v>
      </c>
      <c r="O138" s="111">
        <f t="shared" si="51"/>
        <v>219141.69999999998</v>
      </c>
      <c r="P138" s="111">
        <f t="shared" si="51"/>
        <v>419109.7</v>
      </c>
      <c r="Q138" s="111">
        <f t="shared" si="51"/>
        <v>411556.69999999995</v>
      </c>
      <c r="R138" s="111">
        <f t="shared" si="51"/>
        <v>226336.3</v>
      </c>
      <c r="S138" s="111">
        <f t="shared" si="51"/>
        <v>205154.5</v>
      </c>
      <c r="T138" s="111">
        <f t="shared" si="51"/>
        <v>178975.2</v>
      </c>
      <c r="U138" s="111">
        <f t="shared" si="51"/>
        <v>190891.5</v>
      </c>
      <c r="V138" s="111">
        <f t="shared" si="51"/>
        <v>108886.8</v>
      </c>
      <c r="W138" s="111">
        <f t="shared" si="51"/>
        <v>109275.50000000001</v>
      </c>
      <c r="X138" s="111">
        <f t="shared" si="51"/>
        <v>142129</v>
      </c>
      <c r="Y138" s="111">
        <f t="shared" si="51"/>
        <v>150559.20000000001</v>
      </c>
      <c r="Z138" s="111">
        <f t="shared" si="51"/>
        <v>151495.90000000002</v>
      </c>
      <c r="AA138" s="111">
        <f t="shared" si="51"/>
        <v>153193.69999999998</v>
      </c>
      <c r="AB138" s="111">
        <f t="shared" si="51"/>
        <v>147400</v>
      </c>
      <c r="AC138" s="111">
        <f t="shared" si="51"/>
        <v>115054.29999999999</v>
      </c>
      <c r="AD138" s="111">
        <f t="shared" si="51"/>
        <v>214638.1</v>
      </c>
      <c r="AE138" s="111">
        <f t="shared" si="51"/>
        <v>0</v>
      </c>
      <c r="AF138" s="43"/>
      <c r="AG138" s="15"/>
      <c r="AH138" s="15"/>
      <c r="AI138" s="15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</row>
    <row r="139" spans="1:62" ht="18.75" x14ac:dyDescent="0.3">
      <c r="A139" s="107" t="s">
        <v>28</v>
      </c>
      <c r="B139" s="98">
        <f>SUM(B35,B65,B77,B102)</f>
        <v>49215.600000000006</v>
      </c>
      <c r="C139" s="98">
        <f>SUM(C35,C65,C77,C102)</f>
        <v>42855.700000000004</v>
      </c>
      <c r="D139" s="98">
        <f>SUM(D35,D65,D77,D102)</f>
        <v>42855.700000000004</v>
      </c>
      <c r="E139" s="98">
        <f>SUM(E35,E65,E77,E102)</f>
        <v>42855.700000000004</v>
      </c>
      <c r="F139" s="26">
        <f>E139/B139*100</f>
        <v>87.077471370866149</v>
      </c>
      <c r="G139" s="26">
        <f>E139/C139*100</f>
        <v>100</v>
      </c>
      <c r="H139" s="98">
        <f>SUM(H35,H65,H77,H102)</f>
        <v>4113.3</v>
      </c>
      <c r="I139" s="98">
        <f>SUM(I35,I65,I77,I102)</f>
        <v>3860.1</v>
      </c>
      <c r="J139" s="98">
        <f t="shared" ref="J139:AE139" si="52">SUM(J35,J65,J77,J102)</f>
        <v>4113.3</v>
      </c>
      <c r="K139" s="98">
        <f t="shared" si="52"/>
        <v>3852</v>
      </c>
      <c r="L139" s="98">
        <f t="shared" si="52"/>
        <v>4113.3</v>
      </c>
      <c r="M139" s="98">
        <f t="shared" si="52"/>
        <v>3641.2</v>
      </c>
      <c r="N139" s="98">
        <f t="shared" si="52"/>
        <v>4126.6000000000004</v>
      </c>
      <c r="O139" s="98">
        <f t="shared" si="52"/>
        <v>3921</v>
      </c>
      <c r="P139" s="98">
        <f t="shared" si="52"/>
        <v>7037.5</v>
      </c>
      <c r="Q139" s="98">
        <f t="shared" si="52"/>
        <v>6541.8</v>
      </c>
      <c r="R139" s="98">
        <f t="shared" si="52"/>
        <v>7509.4</v>
      </c>
      <c r="S139" s="98">
        <f t="shared" si="52"/>
        <v>5983</v>
      </c>
      <c r="T139" s="98">
        <f t="shared" si="52"/>
        <v>1004.5999999999999</v>
      </c>
      <c r="U139" s="98">
        <f t="shared" si="52"/>
        <v>3127.4</v>
      </c>
      <c r="V139" s="98">
        <f t="shared" si="52"/>
        <v>1003</v>
      </c>
      <c r="W139" s="98">
        <f t="shared" si="52"/>
        <v>556.1</v>
      </c>
      <c r="X139" s="98">
        <f t="shared" si="52"/>
        <v>4219.8999999999996</v>
      </c>
      <c r="Y139" s="98">
        <f t="shared" si="52"/>
        <v>3402.3</v>
      </c>
      <c r="Z139" s="98">
        <f t="shared" si="52"/>
        <v>4093.3</v>
      </c>
      <c r="AA139" s="98">
        <f t="shared" si="52"/>
        <v>3451.2999999999997</v>
      </c>
      <c r="AB139" s="98">
        <f t="shared" si="52"/>
        <v>4013.5</v>
      </c>
      <c r="AC139" s="98">
        <f t="shared" si="52"/>
        <v>4637.5</v>
      </c>
      <c r="AD139" s="98">
        <f t="shared" si="52"/>
        <v>3867.8999999999996</v>
      </c>
      <c r="AE139" s="98">
        <f t="shared" si="52"/>
        <v>0</v>
      </c>
      <c r="AF139" s="43"/>
      <c r="AG139" s="15"/>
      <c r="AH139" s="15"/>
      <c r="AI139" s="15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</row>
    <row r="140" spans="1:62" ht="18.75" x14ac:dyDescent="0.3">
      <c r="A140" s="107" t="s">
        <v>26</v>
      </c>
      <c r="B140" s="98">
        <f>SUM(B33,B63,B75,B99)</f>
        <v>1871950.2999999998</v>
      </c>
      <c r="C140" s="98">
        <f t="shared" ref="C140:E141" si="53">SUM(C33,C63,C75,C99)</f>
        <v>1689794.2</v>
      </c>
      <c r="D140" s="98">
        <f t="shared" si="53"/>
        <v>1662075.5</v>
      </c>
      <c r="E140" s="98">
        <f t="shared" si="53"/>
        <v>1662075.5</v>
      </c>
      <c r="F140" s="26">
        <f>E140/B140*100</f>
        <v>88.788441658947903</v>
      </c>
      <c r="G140" s="26">
        <f>E140/C140*100</f>
        <v>98.359640481663391</v>
      </c>
      <c r="H140" s="98">
        <f>SUM(H33,H63,H75,H99)</f>
        <v>105198.2</v>
      </c>
      <c r="I140" s="98">
        <f>SUM(I33,I63,I75,I99)</f>
        <v>102974.9</v>
      </c>
      <c r="J140" s="98">
        <f t="shared" ref="J140:AE141" si="54">SUM(J33,J63,J75,J99)</f>
        <v>178479</v>
      </c>
      <c r="K140" s="98">
        <f t="shared" si="54"/>
        <v>172257.9</v>
      </c>
      <c r="L140" s="98">
        <f t="shared" si="54"/>
        <v>158436</v>
      </c>
      <c r="M140" s="98">
        <f t="shared" si="54"/>
        <v>156907.29999999999</v>
      </c>
      <c r="N140" s="98">
        <f t="shared" si="54"/>
        <v>162082.19999999998</v>
      </c>
      <c r="O140" s="98">
        <f t="shared" si="54"/>
        <v>162728.59999999998</v>
      </c>
      <c r="P140" s="98">
        <f t="shared" si="54"/>
        <v>359709.5</v>
      </c>
      <c r="Q140" s="98">
        <f t="shared" si="54"/>
        <v>358536.3</v>
      </c>
      <c r="R140" s="98">
        <f t="shared" si="54"/>
        <v>170135.5</v>
      </c>
      <c r="S140" s="98">
        <f t="shared" si="54"/>
        <v>161676.79999999999</v>
      </c>
      <c r="T140" s="98">
        <f t="shared" si="54"/>
        <v>125710.3</v>
      </c>
      <c r="U140" s="98">
        <f t="shared" si="54"/>
        <v>127097.20000000001</v>
      </c>
      <c r="V140" s="98">
        <f t="shared" si="54"/>
        <v>82666.7</v>
      </c>
      <c r="W140" s="98">
        <f t="shared" si="54"/>
        <v>86736.7</v>
      </c>
      <c r="X140" s="98">
        <f t="shared" si="54"/>
        <v>116023.7</v>
      </c>
      <c r="Y140" s="98">
        <f t="shared" si="54"/>
        <v>114441.8</v>
      </c>
      <c r="Z140" s="98">
        <f t="shared" si="54"/>
        <v>113734.8</v>
      </c>
      <c r="AA140" s="98">
        <f t="shared" si="54"/>
        <v>117380.7</v>
      </c>
      <c r="AB140" s="98">
        <f t="shared" si="54"/>
        <v>117618.3</v>
      </c>
      <c r="AC140" s="98">
        <f t="shared" si="54"/>
        <v>101337.29999999999</v>
      </c>
      <c r="AD140" s="98">
        <f t="shared" si="54"/>
        <v>182156.1</v>
      </c>
      <c r="AE140" s="98">
        <f t="shared" si="54"/>
        <v>0</v>
      </c>
      <c r="AF140" s="43"/>
      <c r="AG140" s="15"/>
      <c r="AH140" s="15"/>
      <c r="AI140" s="15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</row>
    <row r="141" spans="1:62" ht="18.75" x14ac:dyDescent="0.3">
      <c r="A141" s="107" t="s">
        <v>27</v>
      </c>
      <c r="B141" s="98">
        <f>SUM(B34,B64,B76,B100)</f>
        <v>485327.20000000007</v>
      </c>
      <c r="C141" s="98">
        <f t="shared" si="53"/>
        <v>456688.9</v>
      </c>
      <c r="D141" s="98">
        <f t="shared" si="53"/>
        <v>437096.69999999995</v>
      </c>
      <c r="E141" s="98">
        <f t="shared" si="53"/>
        <v>437096.69999999995</v>
      </c>
      <c r="F141" s="26">
        <f>E141/B141*100</f>
        <v>90.062271391341739</v>
      </c>
      <c r="G141" s="26">
        <f>E141/C141*100</f>
        <v>95.709946092405559</v>
      </c>
      <c r="H141" s="98">
        <f>SUM(H34,H64,H76,H100)</f>
        <v>62614.799999999996</v>
      </c>
      <c r="I141" s="98">
        <f>SUM(I34,I64,I76,I100)</f>
        <v>62322.8</v>
      </c>
      <c r="J141" s="98">
        <f t="shared" si="54"/>
        <v>59133.2</v>
      </c>
      <c r="K141" s="98">
        <f t="shared" si="54"/>
        <v>58936</v>
      </c>
      <c r="L141" s="98">
        <f t="shared" si="54"/>
        <v>49616.4</v>
      </c>
      <c r="M141" s="98">
        <f t="shared" si="54"/>
        <v>48782.700000000004</v>
      </c>
      <c r="N141" s="98">
        <f t="shared" si="54"/>
        <v>46714.9</v>
      </c>
      <c r="O141" s="98">
        <f t="shared" si="54"/>
        <v>52492.1</v>
      </c>
      <c r="P141" s="98">
        <f t="shared" si="54"/>
        <v>46451.3</v>
      </c>
      <c r="Q141" s="98">
        <f t="shared" si="54"/>
        <v>46478.600000000006</v>
      </c>
      <c r="R141" s="98">
        <f t="shared" si="54"/>
        <v>42898</v>
      </c>
      <c r="S141" s="98">
        <f t="shared" si="54"/>
        <v>37376.699999999997</v>
      </c>
      <c r="T141" s="98">
        <f t="shared" si="54"/>
        <v>52260.3</v>
      </c>
      <c r="U141" s="98">
        <f t="shared" si="54"/>
        <v>51587.7</v>
      </c>
      <c r="V141" s="98">
        <f t="shared" si="54"/>
        <v>24135.5</v>
      </c>
      <c r="W141" s="98">
        <f t="shared" si="54"/>
        <v>20901.100000000002</v>
      </c>
      <c r="X141" s="98">
        <f t="shared" si="54"/>
        <v>21738.7</v>
      </c>
      <c r="Y141" s="98">
        <f t="shared" si="54"/>
        <v>24544</v>
      </c>
      <c r="Z141" s="98">
        <f t="shared" si="54"/>
        <v>29167.800000000003</v>
      </c>
      <c r="AA141" s="98">
        <f t="shared" si="54"/>
        <v>28318.800000000003</v>
      </c>
      <c r="AB141" s="98">
        <f t="shared" si="54"/>
        <v>21982.2</v>
      </c>
      <c r="AC141" s="98">
        <f t="shared" si="54"/>
        <v>5356.2</v>
      </c>
      <c r="AD141" s="98">
        <f t="shared" si="54"/>
        <v>28614.100000000002</v>
      </c>
      <c r="AE141" s="98">
        <f t="shared" si="54"/>
        <v>0</v>
      </c>
      <c r="AF141" s="43"/>
      <c r="AG141" s="15"/>
      <c r="AH141" s="15"/>
      <c r="AI141" s="15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</row>
    <row r="142" spans="1:62" ht="18.75" x14ac:dyDescent="0.3">
      <c r="A142" s="107" t="s">
        <v>120</v>
      </c>
      <c r="B142" s="98">
        <f>SUM(B36,B66,B78,B103)</f>
        <v>34051.800000000003</v>
      </c>
      <c r="C142" s="98">
        <f>SUM(C36,C66,C78,C103)</f>
        <v>31774.800000000003</v>
      </c>
      <c r="D142" s="98">
        <f>SUM(D36,D66,D78,D103)</f>
        <v>31774.800000000003</v>
      </c>
      <c r="E142" s="98">
        <f>SUM(E36,E66,E78,E103)</f>
        <v>31774.800000000003</v>
      </c>
      <c r="F142" s="121">
        <f>IFERROR(E142/B142*100,0)</f>
        <v>93.313128821383899</v>
      </c>
      <c r="G142" s="121">
        <f>IFERROR(E142/C142*100,0)</f>
        <v>100</v>
      </c>
      <c r="H142" s="98">
        <f>SUM(H36,H66,H78,H103)</f>
        <v>0</v>
      </c>
      <c r="I142" s="98">
        <f>SUM(I36,I66,I78,I103)</f>
        <v>0</v>
      </c>
      <c r="J142" s="98">
        <f t="shared" ref="J142:AE142" si="55">SUM(J36,J66,J78,J103)</f>
        <v>0</v>
      </c>
      <c r="K142" s="98">
        <f t="shared" si="55"/>
        <v>0</v>
      </c>
      <c r="L142" s="98">
        <f t="shared" si="55"/>
        <v>5558.7</v>
      </c>
      <c r="M142" s="98">
        <f t="shared" si="55"/>
        <v>5558.7</v>
      </c>
      <c r="N142" s="98">
        <f t="shared" si="55"/>
        <v>7274</v>
      </c>
      <c r="O142" s="98">
        <f t="shared" si="55"/>
        <v>0</v>
      </c>
      <c r="P142" s="98">
        <f t="shared" si="55"/>
        <v>5911.4</v>
      </c>
      <c r="Q142" s="98">
        <f t="shared" si="55"/>
        <v>0</v>
      </c>
      <c r="R142" s="98">
        <f t="shared" si="55"/>
        <v>5793.4</v>
      </c>
      <c r="S142" s="98">
        <f t="shared" si="55"/>
        <v>118</v>
      </c>
      <c r="T142" s="98">
        <f t="shared" si="55"/>
        <v>0</v>
      </c>
      <c r="U142" s="98">
        <f t="shared" si="55"/>
        <v>9079.2000000000007</v>
      </c>
      <c r="V142" s="98">
        <f t="shared" si="55"/>
        <v>1081.5999999999999</v>
      </c>
      <c r="W142" s="98">
        <f t="shared" si="55"/>
        <v>1081.5999999999999</v>
      </c>
      <c r="X142" s="98">
        <f t="shared" si="55"/>
        <v>146.70000000000073</v>
      </c>
      <c r="Y142" s="98">
        <f t="shared" si="55"/>
        <v>8171.1</v>
      </c>
      <c r="Z142" s="98">
        <f t="shared" si="55"/>
        <v>4500</v>
      </c>
      <c r="AA142" s="98">
        <f t="shared" si="55"/>
        <v>4042.9</v>
      </c>
      <c r="AB142" s="98">
        <f t="shared" si="55"/>
        <v>3786</v>
      </c>
      <c r="AC142" s="98">
        <f t="shared" si="55"/>
        <v>3723.3</v>
      </c>
      <c r="AD142" s="98">
        <f t="shared" si="55"/>
        <v>0</v>
      </c>
      <c r="AE142" s="98">
        <f t="shared" si="55"/>
        <v>0</v>
      </c>
      <c r="AF142" s="43"/>
      <c r="AG142" s="15"/>
      <c r="AH142" s="15"/>
      <c r="AI142" s="15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</row>
    <row r="143" spans="1:62" ht="20.25" x14ac:dyDescent="0.25">
      <c r="A143" s="150" t="s">
        <v>32</v>
      </c>
      <c r="B143" s="151">
        <f>H143+J143+L143+N143+P143+R143+T143+V143+X143+Z143+AB143+AD143</f>
        <v>0</v>
      </c>
      <c r="C143" s="151">
        <f>C146</f>
        <v>0</v>
      </c>
      <c r="D143" s="151">
        <f>D146</f>
        <v>0</v>
      </c>
      <c r="E143" s="151">
        <f>E146</f>
        <v>0</v>
      </c>
      <c r="F143" s="151"/>
      <c r="G143" s="151"/>
      <c r="H143" s="151">
        <f>H146</f>
        <v>0</v>
      </c>
      <c r="I143" s="151">
        <f>I146</f>
        <v>0</v>
      </c>
      <c r="J143" s="151">
        <f t="shared" ref="J143:AD143" si="56">J146</f>
        <v>0</v>
      </c>
      <c r="K143" s="151">
        <f>K146</f>
        <v>0</v>
      </c>
      <c r="L143" s="151">
        <f t="shared" si="56"/>
        <v>0</v>
      </c>
      <c r="M143" s="151">
        <f>M146</f>
        <v>0</v>
      </c>
      <c r="N143" s="151">
        <f t="shared" si="56"/>
        <v>0</v>
      </c>
      <c r="O143" s="151">
        <f>O146</f>
        <v>0</v>
      </c>
      <c r="P143" s="151">
        <f t="shared" si="56"/>
        <v>0</v>
      </c>
      <c r="Q143" s="151">
        <f>Q146</f>
        <v>0</v>
      </c>
      <c r="R143" s="151">
        <f t="shared" si="56"/>
        <v>0</v>
      </c>
      <c r="S143" s="151">
        <f>S146</f>
        <v>0</v>
      </c>
      <c r="T143" s="151">
        <f t="shared" si="56"/>
        <v>0</v>
      </c>
      <c r="U143" s="151">
        <f>U146</f>
        <v>0</v>
      </c>
      <c r="V143" s="151">
        <f t="shared" si="56"/>
        <v>0</v>
      </c>
      <c r="W143" s="151">
        <f>W146</f>
        <v>0</v>
      </c>
      <c r="X143" s="151">
        <f t="shared" si="56"/>
        <v>0</v>
      </c>
      <c r="Y143" s="151">
        <f>Y146</f>
        <v>0</v>
      </c>
      <c r="Z143" s="151">
        <f t="shared" si="56"/>
        <v>0</v>
      </c>
      <c r="AA143" s="151">
        <f>AA146</f>
        <v>0</v>
      </c>
      <c r="AB143" s="151">
        <f t="shared" si="56"/>
        <v>0</v>
      </c>
      <c r="AC143" s="151">
        <f>AC146</f>
        <v>0</v>
      </c>
      <c r="AD143" s="152">
        <f t="shared" si="56"/>
        <v>0</v>
      </c>
      <c r="AE143" s="122"/>
      <c r="AF143" s="36"/>
      <c r="AG143" s="15"/>
      <c r="AH143" s="15"/>
      <c r="AI143" s="15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</row>
    <row r="144" spans="1:62" ht="20.25" x14ac:dyDescent="0.25">
      <c r="A144" s="90" t="s">
        <v>122</v>
      </c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95"/>
      <c r="AF144" s="36"/>
      <c r="AG144" s="15"/>
      <c r="AH144" s="15"/>
      <c r="AI144" s="15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</row>
    <row r="145" spans="1:62" ht="20.25" x14ac:dyDescent="0.25">
      <c r="A145" s="141" t="s">
        <v>74</v>
      </c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3"/>
      <c r="AF145" s="36"/>
      <c r="AG145" s="15"/>
      <c r="AH145" s="15"/>
      <c r="AI145" s="15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</row>
    <row r="146" spans="1:62" ht="18.75" x14ac:dyDescent="0.3">
      <c r="A146" s="19" t="s">
        <v>25</v>
      </c>
      <c r="B146" s="13">
        <f>H146+J146+L146+N146+P146+R146+T146+V146+X146+Z146+AB146+AD146</f>
        <v>0</v>
      </c>
      <c r="C146" s="13">
        <f>SUM(C147:C150)</f>
        <v>0</v>
      </c>
      <c r="D146" s="13">
        <f>SUM(D147:D150)</f>
        <v>0</v>
      </c>
      <c r="E146" s="13">
        <f>SUM(E147:E150)</f>
        <v>0</v>
      </c>
      <c r="F146" s="121">
        <f>IFERROR(E146/B146*100,0)</f>
        <v>0</v>
      </c>
      <c r="G146" s="121">
        <f>IFERROR(E146/C146*100,0)</f>
        <v>0</v>
      </c>
      <c r="H146" s="13">
        <f>SUM(H147:H150)</f>
        <v>0</v>
      </c>
      <c r="I146" s="13">
        <f t="shared" ref="I146:AE146" si="57">SUM(I147:I150)</f>
        <v>0</v>
      </c>
      <c r="J146" s="13">
        <f t="shared" si="57"/>
        <v>0</v>
      </c>
      <c r="K146" s="13">
        <f t="shared" si="57"/>
        <v>0</v>
      </c>
      <c r="L146" s="13">
        <f t="shared" si="57"/>
        <v>0</v>
      </c>
      <c r="M146" s="13">
        <f t="shared" si="57"/>
        <v>0</v>
      </c>
      <c r="N146" s="13">
        <f t="shared" si="57"/>
        <v>0</v>
      </c>
      <c r="O146" s="13">
        <f t="shared" si="57"/>
        <v>0</v>
      </c>
      <c r="P146" s="13">
        <f t="shared" si="57"/>
        <v>0</v>
      </c>
      <c r="Q146" s="13">
        <f t="shared" si="57"/>
        <v>0</v>
      </c>
      <c r="R146" s="13">
        <f t="shared" si="57"/>
        <v>0</v>
      </c>
      <c r="S146" s="13">
        <f t="shared" si="57"/>
        <v>0</v>
      </c>
      <c r="T146" s="13">
        <f t="shared" si="57"/>
        <v>0</v>
      </c>
      <c r="U146" s="13">
        <f t="shared" si="57"/>
        <v>0</v>
      </c>
      <c r="V146" s="13">
        <f t="shared" si="57"/>
        <v>0</v>
      </c>
      <c r="W146" s="13">
        <f t="shared" si="57"/>
        <v>0</v>
      </c>
      <c r="X146" s="13">
        <f t="shared" si="57"/>
        <v>0</v>
      </c>
      <c r="Y146" s="13">
        <f t="shared" si="57"/>
        <v>0</v>
      </c>
      <c r="Z146" s="13">
        <f t="shared" si="57"/>
        <v>0</v>
      </c>
      <c r="AA146" s="13">
        <f t="shared" si="57"/>
        <v>0</v>
      </c>
      <c r="AB146" s="13">
        <f t="shared" si="57"/>
        <v>0</v>
      </c>
      <c r="AC146" s="13">
        <f t="shared" si="57"/>
        <v>0</v>
      </c>
      <c r="AD146" s="13">
        <f t="shared" si="57"/>
        <v>0</v>
      </c>
      <c r="AE146" s="13">
        <f t="shared" si="57"/>
        <v>0</v>
      </c>
      <c r="AF146" s="36"/>
      <c r="AG146" s="15"/>
      <c r="AH146" s="15"/>
      <c r="AI146" s="15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</row>
    <row r="147" spans="1:62" ht="18.75" x14ac:dyDescent="0.3">
      <c r="A147" s="22" t="s">
        <v>26</v>
      </c>
      <c r="B147" s="23">
        <f>H147+J147+L147+N147+P147+R147+T147+V147+X147+Z147+AB147+AD147</f>
        <v>0</v>
      </c>
      <c r="C147" s="23">
        <f>H147</f>
        <v>0</v>
      </c>
      <c r="D147" s="23">
        <f>D153</f>
        <v>0</v>
      </c>
      <c r="E147" s="23">
        <f>I147+K147+M147+O147+Q147+S147+U147+W147+Y147+AA147+AC147+AE147</f>
        <v>0</v>
      </c>
      <c r="F147" s="120">
        <f>IFERROR(E147/B147*100,0)</f>
        <v>0</v>
      </c>
      <c r="G147" s="120">
        <f>IFERROR(E147/C147*100,0)</f>
        <v>0</v>
      </c>
      <c r="H147" s="23">
        <f>H153</f>
        <v>0</v>
      </c>
      <c r="I147" s="23">
        <f t="shared" ref="I147:AE150" si="58">I153</f>
        <v>0</v>
      </c>
      <c r="J147" s="23">
        <f t="shared" si="58"/>
        <v>0</v>
      </c>
      <c r="K147" s="23">
        <f t="shared" si="58"/>
        <v>0</v>
      </c>
      <c r="L147" s="23">
        <f t="shared" si="58"/>
        <v>0</v>
      </c>
      <c r="M147" s="23">
        <f t="shared" si="58"/>
        <v>0</v>
      </c>
      <c r="N147" s="23">
        <f t="shared" si="58"/>
        <v>0</v>
      </c>
      <c r="O147" s="23">
        <f t="shared" si="58"/>
        <v>0</v>
      </c>
      <c r="P147" s="23">
        <f t="shared" si="58"/>
        <v>0</v>
      </c>
      <c r="Q147" s="23">
        <f t="shared" si="58"/>
        <v>0</v>
      </c>
      <c r="R147" s="23">
        <f t="shared" si="58"/>
        <v>0</v>
      </c>
      <c r="S147" s="23">
        <f t="shared" si="58"/>
        <v>0</v>
      </c>
      <c r="T147" s="23">
        <f t="shared" si="58"/>
        <v>0</v>
      </c>
      <c r="U147" s="23">
        <f t="shared" si="58"/>
        <v>0</v>
      </c>
      <c r="V147" s="23">
        <f t="shared" si="58"/>
        <v>0</v>
      </c>
      <c r="W147" s="23">
        <f t="shared" si="58"/>
        <v>0</v>
      </c>
      <c r="X147" s="23">
        <f t="shared" si="58"/>
        <v>0</v>
      </c>
      <c r="Y147" s="23">
        <f t="shared" si="58"/>
        <v>0</v>
      </c>
      <c r="Z147" s="23">
        <f t="shared" si="58"/>
        <v>0</v>
      </c>
      <c r="AA147" s="23">
        <f t="shared" si="58"/>
        <v>0</v>
      </c>
      <c r="AB147" s="23">
        <f t="shared" si="58"/>
        <v>0</v>
      </c>
      <c r="AC147" s="23">
        <f t="shared" si="58"/>
        <v>0</v>
      </c>
      <c r="AD147" s="23">
        <f t="shared" si="58"/>
        <v>0</v>
      </c>
      <c r="AE147" s="23">
        <f t="shared" si="58"/>
        <v>0</v>
      </c>
      <c r="AF147" s="36"/>
      <c r="AG147" s="15"/>
      <c r="AH147" s="15"/>
      <c r="AI147" s="15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</row>
    <row r="148" spans="1:62" ht="18.75" x14ac:dyDescent="0.3">
      <c r="A148" s="22" t="s">
        <v>27</v>
      </c>
      <c r="B148" s="23">
        <f>H148+J148+L148+N148+P148+R148+T148+V148+X148+Z148+AB148+AD148</f>
        <v>0</v>
      </c>
      <c r="C148" s="23">
        <f>H148</f>
        <v>0</v>
      </c>
      <c r="D148" s="23">
        <f>D154</f>
        <v>0</v>
      </c>
      <c r="E148" s="23">
        <f>I148+K148+M148+O148+Q148+S148+U148+W148+Y148+AA148+AC148+AE148</f>
        <v>0</v>
      </c>
      <c r="F148" s="120">
        <f>IFERROR(E148/B148*100,0)</f>
        <v>0</v>
      </c>
      <c r="G148" s="120">
        <f>IFERROR(E148/C148*100,0)</f>
        <v>0</v>
      </c>
      <c r="H148" s="23">
        <f>H154</f>
        <v>0</v>
      </c>
      <c r="I148" s="23">
        <f t="shared" si="58"/>
        <v>0</v>
      </c>
      <c r="J148" s="23">
        <f t="shared" si="58"/>
        <v>0</v>
      </c>
      <c r="K148" s="23">
        <f t="shared" si="58"/>
        <v>0</v>
      </c>
      <c r="L148" s="23">
        <f t="shared" si="58"/>
        <v>0</v>
      </c>
      <c r="M148" s="23">
        <f t="shared" si="58"/>
        <v>0</v>
      </c>
      <c r="N148" s="23">
        <f t="shared" si="58"/>
        <v>0</v>
      </c>
      <c r="O148" s="23">
        <f t="shared" si="58"/>
        <v>0</v>
      </c>
      <c r="P148" s="23">
        <f t="shared" si="58"/>
        <v>0</v>
      </c>
      <c r="Q148" s="23">
        <f t="shared" si="58"/>
        <v>0</v>
      </c>
      <c r="R148" s="23">
        <f t="shared" si="58"/>
        <v>0</v>
      </c>
      <c r="S148" s="23">
        <f t="shared" si="58"/>
        <v>0</v>
      </c>
      <c r="T148" s="23">
        <f t="shared" si="58"/>
        <v>0</v>
      </c>
      <c r="U148" s="23">
        <f t="shared" si="58"/>
        <v>0</v>
      </c>
      <c r="V148" s="23">
        <f t="shared" si="58"/>
        <v>0</v>
      </c>
      <c r="W148" s="23">
        <f t="shared" si="58"/>
        <v>0</v>
      </c>
      <c r="X148" s="23">
        <f t="shared" si="58"/>
        <v>0</v>
      </c>
      <c r="Y148" s="23">
        <f t="shared" si="58"/>
        <v>0</v>
      </c>
      <c r="Z148" s="23">
        <f t="shared" si="58"/>
        <v>0</v>
      </c>
      <c r="AA148" s="23">
        <f t="shared" si="58"/>
        <v>0</v>
      </c>
      <c r="AB148" s="23">
        <f t="shared" si="58"/>
        <v>0</v>
      </c>
      <c r="AC148" s="23">
        <f t="shared" si="58"/>
        <v>0</v>
      </c>
      <c r="AD148" s="23">
        <f t="shared" si="58"/>
        <v>0</v>
      </c>
      <c r="AE148" s="23">
        <f t="shared" si="58"/>
        <v>0</v>
      </c>
      <c r="AF148" s="36"/>
      <c r="AG148" s="15"/>
      <c r="AH148" s="15"/>
      <c r="AI148" s="15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</row>
    <row r="149" spans="1:62" ht="18.75" x14ac:dyDescent="0.3">
      <c r="A149" s="22" t="s">
        <v>28</v>
      </c>
      <c r="B149" s="23">
        <f>H149+J149+L149+N149+P149+R149+T149+V149+X149+Z149+AB149+AD149</f>
        <v>0</v>
      </c>
      <c r="C149" s="23">
        <f>H149</f>
        <v>0</v>
      </c>
      <c r="D149" s="23">
        <f>D155</f>
        <v>0</v>
      </c>
      <c r="E149" s="23">
        <f>I149+K149+M149+O149+Q149+S149+U149+W149+Y149+AA149+AC149+AE149</f>
        <v>0</v>
      </c>
      <c r="F149" s="120">
        <f>IFERROR(E149/B149*100,0)</f>
        <v>0</v>
      </c>
      <c r="G149" s="120">
        <f>IFERROR(E149/C149*100,0)</f>
        <v>0</v>
      </c>
      <c r="H149" s="23">
        <f>H155</f>
        <v>0</v>
      </c>
      <c r="I149" s="23">
        <f t="shared" si="58"/>
        <v>0</v>
      </c>
      <c r="J149" s="23">
        <f t="shared" si="58"/>
        <v>0</v>
      </c>
      <c r="K149" s="23">
        <f t="shared" si="58"/>
        <v>0</v>
      </c>
      <c r="L149" s="23">
        <f t="shared" si="58"/>
        <v>0</v>
      </c>
      <c r="M149" s="23">
        <f t="shared" si="58"/>
        <v>0</v>
      </c>
      <c r="N149" s="23">
        <f t="shared" si="58"/>
        <v>0</v>
      </c>
      <c r="O149" s="23">
        <f t="shared" si="58"/>
        <v>0</v>
      </c>
      <c r="P149" s="23">
        <f t="shared" si="58"/>
        <v>0</v>
      </c>
      <c r="Q149" s="23">
        <f t="shared" si="58"/>
        <v>0</v>
      </c>
      <c r="R149" s="23">
        <f t="shared" si="58"/>
        <v>0</v>
      </c>
      <c r="S149" s="23">
        <f t="shared" si="58"/>
        <v>0</v>
      </c>
      <c r="T149" s="23">
        <f t="shared" si="58"/>
        <v>0</v>
      </c>
      <c r="U149" s="23">
        <f t="shared" si="58"/>
        <v>0</v>
      </c>
      <c r="V149" s="23">
        <f t="shared" si="58"/>
        <v>0</v>
      </c>
      <c r="W149" s="23">
        <f t="shared" si="58"/>
        <v>0</v>
      </c>
      <c r="X149" s="23">
        <f t="shared" si="58"/>
        <v>0</v>
      </c>
      <c r="Y149" s="23">
        <f t="shared" si="58"/>
        <v>0</v>
      </c>
      <c r="Z149" s="23">
        <f t="shared" si="58"/>
        <v>0</v>
      </c>
      <c r="AA149" s="23">
        <f t="shared" si="58"/>
        <v>0</v>
      </c>
      <c r="AB149" s="23">
        <f t="shared" si="58"/>
        <v>0</v>
      </c>
      <c r="AC149" s="23">
        <f t="shared" si="58"/>
        <v>0</v>
      </c>
      <c r="AD149" s="23">
        <f t="shared" si="58"/>
        <v>0</v>
      </c>
      <c r="AE149" s="23">
        <f t="shared" si="58"/>
        <v>0</v>
      </c>
      <c r="AF149" s="36"/>
      <c r="AG149" s="15"/>
      <c r="AH149" s="15"/>
      <c r="AI149" s="15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</row>
    <row r="150" spans="1:62" ht="18.75" x14ac:dyDescent="0.3">
      <c r="A150" s="22" t="s">
        <v>29</v>
      </c>
      <c r="B150" s="23">
        <f>H150+J150+L150+N150+P150+R150+T150+V150+X150+Z150+AB150+AD150</f>
        <v>0</v>
      </c>
      <c r="C150" s="23">
        <f>H150</f>
        <v>0</v>
      </c>
      <c r="D150" s="23">
        <f>D156</f>
        <v>0</v>
      </c>
      <c r="E150" s="23">
        <f>I150+K150+M150+O150+Q150+S150+U150+W150+Y150+AA150+AC150+AE150</f>
        <v>0</v>
      </c>
      <c r="F150" s="120">
        <f>IFERROR(E150/B150*100,0)</f>
        <v>0</v>
      </c>
      <c r="G150" s="120">
        <f>IFERROR(E150/C150*100,0)</f>
        <v>0</v>
      </c>
      <c r="H150" s="23">
        <f>H156</f>
        <v>0</v>
      </c>
      <c r="I150" s="23">
        <f t="shared" si="58"/>
        <v>0</v>
      </c>
      <c r="J150" s="23">
        <f t="shared" si="58"/>
        <v>0</v>
      </c>
      <c r="K150" s="23">
        <f t="shared" si="58"/>
        <v>0</v>
      </c>
      <c r="L150" s="23">
        <f t="shared" si="58"/>
        <v>0</v>
      </c>
      <c r="M150" s="23">
        <f t="shared" si="58"/>
        <v>0</v>
      </c>
      <c r="N150" s="23">
        <f t="shared" si="58"/>
        <v>0</v>
      </c>
      <c r="O150" s="23">
        <f t="shared" si="58"/>
        <v>0</v>
      </c>
      <c r="P150" s="23">
        <f t="shared" si="58"/>
        <v>0</v>
      </c>
      <c r="Q150" s="23">
        <f t="shared" si="58"/>
        <v>0</v>
      </c>
      <c r="R150" s="23">
        <f t="shared" si="58"/>
        <v>0</v>
      </c>
      <c r="S150" s="23">
        <f t="shared" si="58"/>
        <v>0</v>
      </c>
      <c r="T150" s="23">
        <f t="shared" si="58"/>
        <v>0</v>
      </c>
      <c r="U150" s="23">
        <f t="shared" si="58"/>
        <v>0</v>
      </c>
      <c r="V150" s="23">
        <f t="shared" si="58"/>
        <v>0</v>
      </c>
      <c r="W150" s="23">
        <f t="shared" si="58"/>
        <v>0</v>
      </c>
      <c r="X150" s="23">
        <f t="shared" si="58"/>
        <v>0</v>
      </c>
      <c r="Y150" s="23">
        <f t="shared" si="58"/>
        <v>0</v>
      </c>
      <c r="Z150" s="23">
        <f t="shared" si="58"/>
        <v>0</v>
      </c>
      <c r="AA150" s="23">
        <f t="shared" si="58"/>
        <v>0</v>
      </c>
      <c r="AB150" s="23">
        <f t="shared" si="58"/>
        <v>0</v>
      </c>
      <c r="AC150" s="23">
        <f t="shared" si="58"/>
        <v>0</v>
      </c>
      <c r="AD150" s="23">
        <f t="shared" si="58"/>
        <v>0</v>
      </c>
      <c r="AE150" s="23">
        <f t="shared" si="58"/>
        <v>0</v>
      </c>
      <c r="AF150" s="36"/>
      <c r="AG150" s="15"/>
      <c r="AH150" s="15"/>
      <c r="AI150" s="15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</row>
    <row r="151" spans="1:62" ht="18.75" x14ac:dyDescent="0.25">
      <c r="A151" s="156" t="s">
        <v>33</v>
      </c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8"/>
      <c r="AF151" s="36"/>
      <c r="AG151" s="15"/>
      <c r="AH151" s="15"/>
      <c r="AI151" s="15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</row>
    <row r="152" spans="1:62" ht="18.75" x14ac:dyDescent="0.3">
      <c r="A152" s="19" t="s">
        <v>25</v>
      </c>
      <c r="B152" s="27">
        <f t="shared" ref="B152:B157" si="59">H152+J152+L152+N152+P152+R152+T152+V152+X152+Z152+AB152+AD152</f>
        <v>0</v>
      </c>
      <c r="C152" s="20">
        <f>SUM(C153:C156)</f>
        <v>0</v>
      </c>
      <c r="D152" s="20">
        <f>SUM(D153:D156)</f>
        <v>0</v>
      </c>
      <c r="E152" s="20">
        <f>SUM(E153:E156)</f>
        <v>0</v>
      </c>
      <c r="F152" s="121">
        <f t="shared" ref="F152:F161" si="60">IFERROR(E152/B152*100,0)</f>
        <v>0</v>
      </c>
      <c r="G152" s="121">
        <f t="shared" ref="G152:G161" si="61">IFERROR(E152/C152*100,0)</f>
        <v>0</v>
      </c>
      <c r="H152" s="13">
        <f t="shared" ref="H152:AE152" si="62">H153+H154+H155+H156</f>
        <v>0</v>
      </c>
      <c r="I152" s="13">
        <f t="shared" si="62"/>
        <v>0</v>
      </c>
      <c r="J152" s="13">
        <f t="shared" si="62"/>
        <v>0</v>
      </c>
      <c r="K152" s="13">
        <f t="shared" si="62"/>
        <v>0</v>
      </c>
      <c r="L152" s="13">
        <f t="shared" si="62"/>
        <v>0</v>
      </c>
      <c r="M152" s="13">
        <f t="shared" si="62"/>
        <v>0</v>
      </c>
      <c r="N152" s="13">
        <f t="shared" si="62"/>
        <v>0</v>
      </c>
      <c r="O152" s="13">
        <f t="shared" si="62"/>
        <v>0</v>
      </c>
      <c r="P152" s="13">
        <f t="shared" si="62"/>
        <v>0</v>
      </c>
      <c r="Q152" s="13">
        <f t="shared" si="62"/>
        <v>0</v>
      </c>
      <c r="R152" s="13">
        <f t="shared" si="62"/>
        <v>0</v>
      </c>
      <c r="S152" s="13">
        <f t="shared" si="62"/>
        <v>0</v>
      </c>
      <c r="T152" s="13">
        <f t="shared" si="62"/>
        <v>0</v>
      </c>
      <c r="U152" s="13">
        <f t="shared" si="62"/>
        <v>0</v>
      </c>
      <c r="V152" s="13">
        <f t="shared" si="62"/>
        <v>0</v>
      </c>
      <c r="W152" s="13">
        <f t="shared" si="62"/>
        <v>0</v>
      </c>
      <c r="X152" s="13">
        <f t="shared" si="62"/>
        <v>0</v>
      </c>
      <c r="Y152" s="13">
        <f t="shared" si="62"/>
        <v>0</v>
      </c>
      <c r="Z152" s="13">
        <f t="shared" si="62"/>
        <v>0</v>
      </c>
      <c r="AA152" s="13">
        <f t="shared" si="62"/>
        <v>0</v>
      </c>
      <c r="AB152" s="13">
        <f t="shared" si="62"/>
        <v>0</v>
      </c>
      <c r="AC152" s="13">
        <f t="shared" si="62"/>
        <v>0</v>
      </c>
      <c r="AD152" s="13">
        <f t="shared" si="62"/>
        <v>0</v>
      </c>
      <c r="AE152" s="13">
        <f t="shared" si="62"/>
        <v>0</v>
      </c>
      <c r="AF152" s="36"/>
      <c r="AG152" s="15"/>
      <c r="AH152" s="15"/>
      <c r="AI152" s="15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</row>
    <row r="153" spans="1:62" ht="18.75" x14ac:dyDescent="0.3">
      <c r="A153" s="22" t="s">
        <v>26</v>
      </c>
      <c r="B153" s="28">
        <f t="shared" si="59"/>
        <v>0</v>
      </c>
      <c r="C153" s="28">
        <f>H153</f>
        <v>0</v>
      </c>
      <c r="D153" s="29"/>
      <c r="E153" s="29">
        <f>I153+K153+M153+O153+Q153+S153+U153+W153+Y153+AA153+AC153+AE153</f>
        <v>0</v>
      </c>
      <c r="F153" s="120">
        <f t="shared" si="60"/>
        <v>0</v>
      </c>
      <c r="G153" s="120">
        <f t="shared" si="61"/>
        <v>0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36"/>
      <c r="AG153" s="15"/>
      <c r="AH153" s="15"/>
      <c r="AI153" s="15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</row>
    <row r="154" spans="1:62" ht="18.75" x14ac:dyDescent="0.3">
      <c r="A154" s="22" t="s">
        <v>27</v>
      </c>
      <c r="B154" s="28">
        <f t="shared" si="59"/>
        <v>0</v>
      </c>
      <c r="C154" s="28">
        <f>H154</f>
        <v>0</v>
      </c>
      <c r="D154" s="28"/>
      <c r="E154" s="29">
        <f>I154+K154+M154+O154+Q154+S154+U154+W154+Y154+AA154+AC154+AE154</f>
        <v>0</v>
      </c>
      <c r="F154" s="120">
        <f t="shared" si="60"/>
        <v>0</v>
      </c>
      <c r="G154" s="120">
        <f t="shared" si="61"/>
        <v>0</v>
      </c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36"/>
      <c r="AG154" s="15"/>
      <c r="AH154" s="15"/>
      <c r="AI154" s="15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</row>
    <row r="155" spans="1:62" ht="18.75" x14ac:dyDescent="0.3">
      <c r="A155" s="22" t="s">
        <v>28</v>
      </c>
      <c r="B155" s="28">
        <f t="shared" si="59"/>
        <v>0</v>
      </c>
      <c r="C155" s="28">
        <f>H155</f>
        <v>0</v>
      </c>
      <c r="D155" s="29"/>
      <c r="E155" s="29">
        <f>I155+K155+M155+O155+Q155+S155+U155+W155+Y155+AA155+AC155+AE155</f>
        <v>0</v>
      </c>
      <c r="F155" s="120">
        <f t="shared" si="60"/>
        <v>0</v>
      </c>
      <c r="G155" s="120">
        <f t="shared" si="61"/>
        <v>0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36"/>
      <c r="AG155" s="15"/>
      <c r="AH155" s="15"/>
      <c r="AI155" s="15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</row>
    <row r="156" spans="1:62" ht="18.75" x14ac:dyDescent="0.3">
      <c r="A156" s="22" t="s">
        <v>29</v>
      </c>
      <c r="B156" s="28">
        <f t="shared" si="59"/>
        <v>0</v>
      </c>
      <c r="C156" s="28">
        <f>H156</f>
        <v>0</v>
      </c>
      <c r="D156" s="29"/>
      <c r="E156" s="29">
        <f>I156+K156+M156+O156+Q156+S156+U156+W156+Y156+AA156+AC156+AE156</f>
        <v>0</v>
      </c>
      <c r="F156" s="120">
        <f t="shared" si="60"/>
        <v>0</v>
      </c>
      <c r="G156" s="120">
        <f t="shared" si="61"/>
        <v>0</v>
      </c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36"/>
      <c r="AG156" s="15"/>
      <c r="AH156" s="15"/>
      <c r="AI156" s="15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</row>
    <row r="157" spans="1:62" ht="101.25" customHeight="1" x14ac:dyDescent="0.3">
      <c r="A157" s="96" t="s">
        <v>123</v>
      </c>
      <c r="B157" s="97">
        <f t="shared" si="59"/>
        <v>0</v>
      </c>
      <c r="C157" s="7">
        <f>C163+C164+C166+C167</f>
        <v>0</v>
      </c>
      <c r="D157" s="7">
        <f>D163+D164+D166+D167</f>
        <v>0</v>
      </c>
      <c r="E157" s="7">
        <f>E163+E164+E166+E167</f>
        <v>0</v>
      </c>
      <c r="F157" s="121">
        <f t="shared" si="60"/>
        <v>0</v>
      </c>
      <c r="G157" s="121">
        <f t="shared" si="61"/>
        <v>0</v>
      </c>
      <c r="H157" s="7">
        <f>H163+H164+H166+H167</f>
        <v>0</v>
      </c>
      <c r="I157" s="7">
        <f t="shared" ref="I157:AE157" si="63">I163+I164+I166+I167</f>
        <v>0</v>
      </c>
      <c r="J157" s="7">
        <f t="shared" si="63"/>
        <v>0</v>
      </c>
      <c r="K157" s="7">
        <f t="shared" si="63"/>
        <v>0</v>
      </c>
      <c r="L157" s="7">
        <f t="shared" si="63"/>
        <v>0</v>
      </c>
      <c r="M157" s="7">
        <f t="shared" si="63"/>
        <v>0</v>
      </c>
      <c r="N157" s="7">
        <f t="shared" si="63"/>
        <v>0</v>
      </c>
      <c r="O157" s="7">
        <f t="shared" si="63"/>
        <v>0</v>
      </c>
      <c r="P157" s="7">
        <f t="shared" si="63"/>
        <v>0</v>
      </c>
      <c r="Q157" s="7">
        <f t="shared" si="63"/>
        <v>0</v>
      </c>
      <c r="R157" s="7">
        <f t="shared" si="63"/>
        <v>0</v>
      </c>
      <c r="S157" s="7">
        <f t="shared" si="63"/>
        <v>0</v>
      </c>
      <c r="T157" s="7">
        <f t="shared" si="63"/>
        <v>0</v>
      </c>
      <c r="U157" s="7">
        <f t="shared" si="63"/>
        <v>0</v>
      </c>
      <c r="V157" s="7">
        <f t="shared" si="63"/>
        <v>0</v>
      </c>
      <c r="W157" s="7">
        <f t="shared" si="63"/>
        <v>0</v>
      </c>
      <c r="X157" s="7">
        <f t="shared" si="63"/>
        <v>0</v>
      </c>
      <c r="Y157" s="7">
        <f t="shared" si="63"/>
        <v>0</v>
      </c>
      <c r="Z157" s="7">
        <f t="shared" si="63"/>
        <v>0</v>
      </c>
      <c r="AA157" s="7">
        <f t="shared" si="63"/>
        <v>0</v>
      </c>
      <c r="AB157" s="7">
        <f t="shared" si="63"/>
        <v>0</v>
      </c>
      <c r="AC157" s="7">
        <f t="shared" si="63"/>
        <v>0</v>
      </c>
      <c r="AD157" s="7">
        <f t="shared" si="63"/>
        <v>0</v>
      </c>
      <c r="AE157" s="7">
        <f t="shared" si="63"/>
        <v>0</v>
      </c>
      <c r="AF157" s="43"/>
      <c r="AG157" s="15"/>
      <c r="AH157" s="15"/>
      <c r="AI157" s="15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</row>
    <row r="158" spans="1:62" ht="18.75" x14ac:dyDescent="0.3">
      <c r="A158" s="96" t="s">
        <v>26</v>
      </c>
      <c r="B158" s="98">
        <f>B133+B109+B97+B67+B48</f>
        <v>0</v>
      </c>
      <c r="C158" s="98">
        <f>C133+C109+C97+C67+C48</f>
        <v>0</v>
      </c>
      <c r="D158" s="98">
        <f>D133+D109+D97+D67+D48</f>
        <v>0</v>
      </c>
      <c r="E158" s="98">
        <f>E133+E109+E97+E67+E48</f>
        <v>0</v>
      </c>
      <c r="F158" s="120">
        <f t="shared" si="60"/>
        <v>0</v>
      </c>
      <c r="G158" s="120">
        <f t="shared" si="61"/>
        <v>0</v>
      </c>
      <c r="H158" s="98">
        <f t="shared" ref="H158:AE158" si="64">H133+H109+H97+H67+H48</f>
        <v>0</v>
      </c>
      <c r="I158" s="98">
        <f t="shared" si="64"/>
        <v>0</v>
      </c>
      <c r="J158" s="98">
        <f t="shared" si="64"/>
        <v>0</v>
      </c>
      <c r="K158" s="98">
        <f t="shared" si="64"/>
        <v>0</v>
      </c>
      <c r="L158" s="98">
        <f t="shared" si="64"/>
        <v>0</v>
      </c>
      <c r="M158" s="98">
        <f t="shared" si="64"/>
        <v>0</v>
      </c>
      <c r="N158" s="98">
        <f t="shared" si="64"/>
        <v>0</v>
      </c>
      <c r="O158" s="98">
        <f t="shared" si="64"/>
        <v>0</v>
      </c>
      <c r="P158" s="98">
        <f t="shared" si="64"/>
        <v>0</v>
      </c>
      <c r="Q158" s="98">
        <f t="shared" si="64"/>
        <v>0</v>
      </c>
      <c r="R158" s="98">
        <f t="shared" si="64"/>
        <v>0</v>
      </c>
      <c r="S158" s="98">
        <f t="shared" si="64"/>
        <v>0</v>
      </c>
      <c r="T158" s="98">
        <f t="shared" si="64"/>
        <v>0</v>
      </c>
      <c r="U158" s="98">
        <f t="shared" si="64"/>
        <v>0</v>
      </c>
      <c r="V158" s="98">
        <f t="shared" si="64"/>
        <v>0</v>
      </c>
      <c r="W158" s="98">
        <f t="shared" si="64"/>
        <v>0</v>
      </c>
      <c r="X158" s="98">
        <f t="shared" si="64"/>
        <v>0</v>
      </c>
      <c r="Y158" s="98">
        <f t="shared" si="64"/>
        <v>0</v>
      </c>
      <c r="Z158" s="98">
        <f t="shared" si="64"/>
        <v>0</v>
      </c>
      <c r="AA158" s="98">
        <f t="shared" si="64"/>
        <v>0</v>
      </c>
      <c r="AB158" s="98">
        <f t="shared" si="64"/>
        <v>0</v>
      </c>
      <c r="AC158" s="98">
        <f t="shared" si="64"/>
        <v>0</v>
      </c>
      <c r="AD158" s="98">
        <f t="shared" si="64"/>
        <v>0</v>
      </c>
      <c r="AE158" s="98">
        <f t="shared" si="64"/>
        <v>0</v>
      </c>
      <c r="AF158" s="43"/>
      <c r="AG158" s="15"/>
      <c r="AH158" s="15"/>
      <c r="AI158" s="15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</row>
    <row r="159" spans="1:62" ht="18.75" x14ac:dyDescent="0.3">
      <c r="A159" s="96" t="s">
        <v>27</v>
      </c>
      <c r="B159" s="98"/>
      <c r="C159" s="98"/>
      <c r="D159" s="98"/>
      <c r="E159" s="98"/>
      <c r="F159" s="120">
        <f t="shared" si="60"/>
        <v>0</v>
      </c>
      <c r="G159" s="120">
        <f t="shared" si="61"/>
        <v>0</v>
      </c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43"/>
      <c r="AG159" s="15"/>
      <c r="AH159" s="15"/>
      <c r="AI159" s="15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</row>
    <row r="160" spans="1:62" ht="18.75" x14ac:dyDescent="0.3">
      <c r="A160" s="96" t="s">
        <v>28</v>
      </c>
      <c r="B160" s="98"/>
      <c r="C160" s="98"/>
      <c r="D160" s="98"/>
      <c r="E160" s="98"/>
      <c r="F160" s="120">
        <f t="shared" si="60"/>
        <v>0</v>
      </c>
      <c r="G160" s="120">
        <f t="shared" si="61"/>
        <v>0</v>
      </c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43"/>
      <c r="AG160" s="15"/>
      <c r="AH160" s="15"/>
      <c r="AI160" s="15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</row>
    <row r="161" spans="1:62" ht="18.75" x14ac:dyDescent="0.3">
      <c r="A161" s="96" t="s">
        <v>29</v>
      </c>
      <c r="B161" s="98"/>
      <c r="C161" s="98"/>
      <c r="D161" s="98"/>
      <c r="E161" s="98"/>
      <c r="F161" s="120">
        <f t="shared" si="60"/>
        <v>0</v>
      </c>
      <c r="G161" s="120">
        <f t="shared" si="61"/>
        <v>0</v>
      </c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43"/>
      <c r="AG161" s="15"/>
      <c r="AH161" s="15"/>
      <c r="AI161" s="15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</row>
    <row r="162" spans="1:62" ht="18.75" x14ac:dyDescent="0.3">
      <c r="A162" s="99" t="s">
        <v>124</v>
      </c>
      <c r="B162" s="100"/>
      <c r="C162" s="100"/>
      <c r="D162" s="100"/>
      <c r="E162" s="100"/>
      <c r="F162" s="101"/>
      <c r="G162" s="101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2"/>
      <c r="AE162" s="98"/>
      <c r="AF162" s="43"/>
      <c r="AG162" s="15"/>
      <c r="AH162" s="15"/>
      <c r="AI162" s="15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</row>
    <row r="163" spans="1:62" ht="18.75" x14ac:dyDescent="0.3">
      <c r="A163" s="107" t="s">
        <v>125</v>
      </c>
      <c r="B163" s="108"/>
      <c r="C163" s="108"/>
      <c r="D163" s="108"/>
      <c r="E163" s="108"/>
      <c r="F163" s="109"/>
      <c r="G163" s="109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10"/>
      <c r="AE163" s="111"/>
      <c r="AF163" s="43"/>
      <c r="AG163" s="15"/>
      <c r="AH163" s="15"/>
      <c r="AI163" s="15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</row>
    <row r="164" spans="1:62" ht="18.75" x14ac:dyDescent="0.3">
      <c r="A164" s="107" t="s">
        <v>119</v>
      </c>
      <c r="B164" s="111">
        <f>B165+B166+B167+B168</f>
        <v>0</v>
      </c>
      <c r="C164" s="111">
        <f>C165+C166+C167+C168</f>
        <v>0</v>
      </c>
      <c r="D164" s="111">
        <f>D165+D166+D167+D168</f>
        <v>0</v>
      </c>
      <c r="E164" s="111">
        <f>E165+E166+E167+E168</f>
        <v>0</v>
      </c>
      <c r="F164" s="111">
        <f>IFERROR(E164/B164*100,0)</f>
        <v>0</v>
      </c>
      <c r="G164" s="111">
        <f>IFERROR(E164/C164*100,0)</f>
        <v>0</v>
      </c>
      <c r="H164" s="111">
        <f t="shared" ref="H164:AE164" si="65">H165+H166+H167+H168</f>
        <v>0</v>
      </c>
      <c r="I164" s="111">
        <f t="shared" si="65"/>
        <v>0</v>
      </c>
      <c r="J164" s="111">
        <f t="shared" si="65"/>
        <v>0</v>
      </c>
      <c r="K164" s="111">
        <f t="shared" si="65"/>
        <v>0</v>
      </c>
      <c r="L164" s="111">
        <f t="shared" si="65"/>
        <v>0</v>
      </c>
      <c r="M164" s="111">
        <f t="shared" si="65"/>
        <v>0</v>
      </c>
      <c r="N164" s="111">
        <f t="shared" si="65"/>
        <v>0</v>
      </c>
      <c r="O164" s="111">
        <f t="shared" si="65"/>
        <v>0</v>
      </c>
      <c r="P164" s="111">
        <f t="shared" si="65"/>
        <v>0</v>
      </c>
      <c r="Q164" s="111">
        <f t="shared" si="65"/>
        <v>0</v>
      </c>
      <c r="R164" s="111">
        <f t="shared" si="65"/>
        <v>0</v>
      </c>
      <c r="S164" s="111">
        <f t="shared" si="65"/>
        <v>0</v>
      </c>
      <c r="T164" s="111">
        <f t="shared" si="65"/>
        <v>0</v>
      </c>
      <c r="U164" s="111">
        <f t="shared" si="65"/>
        <v>0</v>
      </c>
      <c r="V164" s="111">
        <f t="shared" si="65"/>
        <v>0</v>
      </c>
      <c r="W164" s="111">
        <f t="shared" si="65"/>
        <v>0</v>
      </c>
      <c r="X164" s="111">
        <f t="shared" si="65"/>
        <v>0</v>
      </c>
      <c r="Y164" s="111">
        <f t="shared" si="65"/>
        <v>0</v>
      </c>
      <c r="Z164" s="111">
        <f t="shared" si="65"/>
        <v>0</v>
      </c>
      <c r="AA164" s="111">
        <f t="shared" si="65"/>
        <v>0</v>
      </c>
      <c r="AB164" s="111">
        <f t="shared" si="65"/>
        <v>0</v>
      </c>
      <c r="AC164" s="111">
        <f t="shared" si="65"/>
        <v>0</v>
      </c>
      <c r="AD164" s="111">
        <f t="shared" si="65"/>
        <v>0</v>
      </c>
      <c r="AE164" s="111">
        <f t="shared" si="65"/>
        <v>0</v>
      </c>
      <c r="AF164" s="43"/>
      <c r="AG164" s="15"/>
      <c r="AH164" s="15"/>
      <c r="AI164" s="15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</row>
    <row r="165" spans="1:62" ht="18.75" x14ac:dyDescent="0.3">
      <c r="A165" s="107" t="s">
        <v>28</v>
      </c>
      <c r="B165" s="98">
        <f>B149</f>
        <v>0</v>
      </c>
      <c r="C165" s="98">
        <f>C149</f>
        <v>0</v>
      </c>
      <c r="D165" s="98">
        <f>D149</f>
        <v>0</v>
      </c>
      <c r="E165" s="98">
        <f>E149</f>
        <v>0</v>
      </c>
      <c r="F165" s="120">
        <f>IFERROR(E165/B165*100,0)</f>
        <v>0</v>
      </c>
      <c r="G165" s="120">
        <f>IFERROR(E165/C165*100,0)</f>
        <v>0</v>
      </c>
      <c r="H165" s="98">
        <f t="shared" ref="H165:AE165" si="66">H149</f>
        <v>0</v>
      </c>
      <c r="I165" s="98">
        <f t="shared" si="66"/>
        <v>0</v>
      </c>
      <c r="J165" s="98">
        <f t="shared" si="66"/>
        <v>0</v>
      </c>
      <c r="K165" s="98">
        <f t="shared" si="66"/>
        <v>0</v>
      </c>
      <c r="L165" s="98">
        <f t="shared" si="66"/>
        <v>0</v>
      </c>
      <c r="M165" s="98">
        <f t="shared" si="66"/>
        <v>0</v>
      </c>
      <c r="N165" s="98">
        <f t="shared" si="66"/>
        <v>0</v>
      </c>
      <c r="O165" s="98">
        <f t="shared" si="66"/>
        <v>0</v>
      </c>
      <c r="P165" s="98">
        <f t="shared" si="66"/>
        <v>0</v>
      </c>
      <c r="Q165" s="98">
        <f t="shared" si="66"/>
        <v>0</v>
      </c>
      <c r="R165" s="98">
        <f t="shared" si="66"/>
        <v>0</v>
      </c>
      <c r="S165" s="98">
        <f t="shared" si="66"/>
        <v>0</v>
      </c>
      <c r="T165" s="98">
        <f t="shared" si="66"/>
        <v>0</v>
      </c>
      <c r="U165" s="98">
        <f t="shared" si="66"/>
        <v>0</v>
      </c>
      <c r="V165" s="98">
        <f t="shared" si="66"/>
        <v>0</v>
      </c>
      <c r="W165" s="98">
        <f t="shared" si="66"/>
        <v>0</v>
      </c>
      <c r="X165" s="98">
        <f t="shared" si="66"/>
        <v>0</v>
      </c>
      <c r="Y165" s="98">
        <f t="shared" si="66"/>
        <v>0</v>
      </c>
      <c r="Z165" s="98">
        <f t="shared" si="66"/>
        <v>0</v>
      </c>
      <c r="AA165" s="98">
        <f t="shared" si="66"/>
        <v>0</v>
      </c>
      <c r="AB165" s="98">
        <f t="shared" si="66"/>
        <v>0</v>
      </c>
      <c r="AC165" s="98">
        <f t="shared" si="66"/>
        <v>0</v>
      </c>
      <c r="AD165" s="98">
        <f t="shared" si="66"/>
        <v>0</v>
      </c>
      <c r="AE165" s="98">
        <f t="shared" si="66"/>
        <v>0</v>
      </c>
      <c r="AF165" s="43"/>
      <c r="AG165" s="15"/>
      <c r="AH165" s="15"/>
      <c r="AI165" s="15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</row>
    <row r="166" spans="1:62" ht="18.75" x14ac:dyDescent="0.3">
      <c r="A166" s="107" t="s">
        <v>26</v>
      </c>
      <c r="B166" s="98">
        <f>B147</f>
        <v>0</v>
      </c>
      <c r="C166" s="98">
        <f t="shared" ref="C166:E167" si="67">C147</f>
        <v>0</v>
      </c>
      <c r="D166" s="98">
        <f t="shared" si="67"/>
        <v>0</v>
      </c>
      <c r="E166" s="98">
        <f t="shared" si="67"/>
        <v>0</v>
      </c>
      <c r="F166" s="120">
        <f>IFERROR(E166/B166*100,0)</f>
        <v>0</v>
      </c>
      <c r="G166" s="120">
        <f>IFERROR(E166/C166*100,0)</f>
        <v>0</v>
      </c>
      <c r="H166" s="98">
        <f t="shared" ref="H166:AE167" si="68">H147</f>
        <v>0</v>
      </c>
      <c r="I166" s="98">
        <f t="shared" si="68"/>
        <v>0</v>
      </c>
      <c r="J166" s="98">
        <f t="shared" si="68"/>
        <v>0</v>
      </c>
      <c r="K166" s="98">
        <f t="shared" si="68"/>
        <v>0</v>
      </c>
      <c r="L166" s="98">
        <f t="shared" si="68"/>
        <v>0</v>
      </c>
      <c r="M166" s="98">
        <f t="shared" si="68"/>
        <v>0</v>
      </c>
      <c r="N166" s="98">
        <f t="shared" si="68"/>
        <v>0</v>
      </c>
      <c r="O166" s="98">
        <f t="shared" si="68"/>
        <v>0</v>
      </c>
      <c r="P166" s="98">
        <f t="shared" si="68"/>
        <v>0</v>
      </c>
      <c r="Q166" s="98">
        <f t="shared" si="68"/>
        <v>0</v>
      </c>
      <c r="R166" s="98">
        <f t="shared" si="68"/>
        <v>0</v>
      </c>
      <c r="S166" s="98">
        <f t="shared" si="68"/>
        <v>0</v>
      </c>
      <c r="T166" s="98">
        <f t="shared" si="68"/>
        <v>0</v>
      </c>
      <c r="U166" s="98">
        <f t="shared" si="68"/>
        <v>0</v>
      </c>
      <c r="V166" s="98">
        <f t="shared" si="68"/>
        <v>0</v>
      </c>
      <c r="W166" s="98">
        <f t="shared" si="68"/>
        <v>0</v>
      </c>
      <c r="X166" s="98">
        <f t="shared" si="68"/>
        <v>0</v>
      </c>
      <c r="Y166" s="98">
        <f t="shared" si="68"/>
        <v>0</v>
      </c>
      <c r="Z166" s="98">
        <f t="shared" si="68"/>
        <v>0</v>
      </c>
      <c r="AA166" s="98">
        <f t="shared" si="68"/>
        <v>0</v>
      </c>
      <c r="AB166" s="98">
        <f t="shared" si="68"/>
        <v>0</v>
      </c>
      <c r="AC166" s="98">
        <f t="shared" si="68"/>
        <v>0</v>
      </c>
      <c r="AD166" s="98">
        <f t="shared" si="68"/>
        <v>0</v>
      </c>
      <c r="AE166" s="98">
        <f t="shared" si="68"/>
        <v>0</v>
      </c>
      <c r="AF166" s="43"/>
      <c r="AG166" s="15"/>
      <c r="AH166" s="15"/>
      <c r="AI166" s="15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</row>
    <row r="167" spans="1:62" ht="18.75" x14ac:dyDescent="0.3">
      <c r="A167" s="107" t="s">
        <v>27</v>
      </c>
      <c r="B167" s="98">
        <f>B148</f>
        <v>0</v>
      </c>
      <c r="C167" s="98">
        <f t="shared" si="67"/>
        <v>0</v>
      </c>
      <c r="D167" s="98">
        <f t="shared" si="67"/>
        <v>0</v>
      </c>
      <c r="E167" s="98">
        <f t="shared" si="67"/>
        <v>0</v>
      </c>
      <c r="F167" s="120">
        <f>IFERROR(E167/B167*100,0)</f>
        <v>0</v>
      </c>
      <c r="G167" s="120">
        <f>IFERROR(E167/C167*100,0)</f>
        <v>0</v>
      </c>
      <c r="H167" s="98">
        <f t="shared" si="68"/>
        <v>0</v>
      </c>
      <c r="I167" s="98">
        <f t="shared" si="68"/>
        <v>0</v>
      </c>
      <c r="J167" s="98">
        <f t="shared" si="68"/>
        <v>0</v>
      </c>
      <c r="K167" s="98">
        <f t="shared" si="68"/>
        <v>0</v>
      </c>
      <c r="L167" s="98">
        <f t="shared" si="68"/>
        <v>0</v>
      </c>
      <c r="M167" s="98">
        <f t="shared" si="68"/>
        <v>0</v>
      </c>
      <c r="N167" s="98">
        <f t="shared" si="68"/>
        <v>0</v>
      </c>
      <c r="O167" s="98">
        <f t="shared" si="68"/>
        <v>0</v>
      </c>
      <c r="P167" s="98">
        <f t="shared" si="68"/>
        <v>0</v>
      </c>
      <c r="Q167" s="98">
        <f t="shared" si="68"/>
        <v>0</v>
      </c>
      <c r="R167" s="98">
        <f t="shared" si="68"/>
        <v>0</v>
      </c>
      <c r="S167" s="98">
        <f t="shared" si="68"/>
        <v>0</v>
      </c>
      <c r="T167" s="98">
        <f t="shared" si="68"/>
        <v>0</v>
      </c>
      <c r="U167" s="98">
        <f t="shared" si="68"/>
        <v>0</v>
      </c>
      <c r="V167" s="98">
        <f t="shared" si="68"/>
        <v>0</v>
      </c>
      <c r="W167" s="98">
        <f t="shared" si="68"/>
        <v>0</v>
      </c>
      <c r="X167" s="98">
        <f t="shared" si="68"/>
        <v>0</v>
      </c>
      <c r="Y167" s="98">
        <f t="shared" si="68"/>
        <v>0</v>
      </c>
      <c r="Z167" s="98">
        <f t="shared" si="68"/>
        <v>0</v>
      </c>
      <c r="AA167" s="98">
        <f t="shared" si="68"/>
        <v>0</v>
      </c>
      <c r="AB167" s="98">
        <f t="shared" si="68"/>
        <v>0</v>
      </c>
      <c r="AC167" s="98">
        <f t="shared" si="68"/>
        <v>0</v>
      </c>
      <c r="AD167" s="98">
        <f t="shared" si="68"/>
        <v>0</v>
      </c>
      <c r="AE167" s="98">
        <f t="shared" si="68"/>
        <v>0</v>
      </c>
      <c r="AF167" s="43"/>
      <c r="AG167" s="15"/>
      <c r="AH167" s="15"/>
      <c r="AI167" s="15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</row>
    <row r="168" spans="1:62" ht="18.75" x14ac:dyDescent="0.3">
      <c r="A168" s="107" t="s">
        <v>120</v>
      </c>
      <c r="B168" s="98">
        <f>B150</f>
        <v>0</v>
      </c>
      <c r="C168" s="98">
        <f>C150</f>
        <v>0</v>
      </c>
      <c r="D168" s="98">
        <f>D150</f>
        <v>0</v>
      </c>
      <c r="E168" s="98">
        <f>E150</f>
        <v>0</v>
      </c>
      <c r="F168" s="120">
        <f>IFERROR(E168/B168*100,0)</f>
        <v>0</v>
      </c>
      <c r="G168" s="120">
        <f>IFERROR(E168/C168*100,0)</f>
        <v>0</v>
      </c>
      <c r="H168" s="98">
        <f t="shared" ref="H168:AE168" si="69">H150</f>
        <v>0</v>
      </c>
      <c r="I168" s="98">
        <f t="shared" si="69"/>
        <v>0</v>
      </c>
      <c r="J168" s="98">
        <f t="shared" si="69"/>
        <v>0</v>
      </c>
      <c r="K168" s="98">
        <f t="shared" si="69"/>
        <v>0</v>
      </c>
      <c r="L168" s="98">
        <f t="shared" si="69"/>
        <v>0</v>
      </c>
      <c r="M168" s="98">
        <f t="shared" si="69"/>
        <v>0</v>
      </c>
      <c r="N168" s="98">
        <f t="shared" si="69"/>
        <v>0</v>
      </c>
      <c r="O168" s="98">
        <f t="shared" si="69"/>
        <v>0</v>
      </c>
      <c r="P168" s="98">
        <f t="shared" si="69"/>
        <v>0</v>
      </c>
      <c r="Q168" s="98">
        <f t="shared" si="69"/>
        <v>0</v>
      </c>
      <c r="R168" s="98">
        <f t="shared" si="69"/>
        <v>0</v>
      </c>
      <c r="S168" s="98">
        <f t="shared" si="69"/>
        <v>0</v>
      </c>
      <c r="T168" s="98">
        <f t="shared" si="69"/>
        <v>0</v>
      </c>
      <c r="U168" s="98">
        <f t="shared" si="69"/>
        <v>0</v>
      </c>
      <c r="V168" s="98">
        <f t="shared" si="69"/>
        <v>0</v>
      </c>
      <c r="W168" s="98">
        <f t="shared" si="69"/>
        <v>0</v>
      </c>
      <c r="X168" s="98">
        <f t="shared" si="69"/>
        <v>0</v>
      </c>
      <c r="Y168" s="98">
        <f t="shared" si="69"/>
        <v>0</v>
      </c>
      <c r="Z168" s="98">
        <f t="shared" si="69"/>
        <v>0</v>
      </c>
      <c r="AA168" s="98">
        <f t="shared" si="69"/>
        <v>0</v>
      </c>
      <c r="AB168" s="98">
        <f t="shared" si="69"/>
        <v>0</v>
      </c>
      <c r="AC168" s="98">
        <f t="shared" si="69"/>
        <v>0</v>
      </c>
      <c r="AD168" s="98">
        <f t="shared" si="69"/>
        <v>0</v>
      </c>
      <c r="AE168" s="98">
        <f t="shared" si="69"/>
        <v>0</v>
      </c>
      <c r="AF168" s="43"/>
      <c r="AG168" s="15"/>
      <c r="AH168" s="15"/>
      <c r="AI168" s="15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</row>
    <row r="169" spans="1:62" ht="20.25" x14ac:dyDescent="0.25">
      <c r="A169" s="150" t="s">
        <v>34</v>
      </c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2"/>
      <c r="AE169" s="122"/>
      <c r="AF169" s="36"/>
      <c r="AG169" s="15"/>
      <c r="AH169" s="15"/>
      <c r="AI169" s="15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</row>
    <row r="170" spans="1:62" ht="20.25" x14ac:dyDescent="0.25">
      <c r="A170" s="87" t="s">
        <v>115</v>
      </c>
      <c r="B170" s="104"/>
      <c r="C170" s="104"/>
      <c r="D170" s="104"/>
      <c r="E170" s="104"/>
      <c r="F170" s="105"/>
      <c r="G170" s="105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43"/>
      <c r="AG170" s="15"/>
      <c r="AH170" s="15"/>
      <c r="AI170" s="15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</row>
    <row r="171" spans="1:62" ht="20.25" x14ac:dyDescent="0.25">
      <c r="A171" s="141" t="s">
        <v>75</v>
      </c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3"/>
      <c r="AF171" s="36"/>
      <c r="AG171" s="15"/>
      <c r="AH171" s="15"/>
      <c r="AI171" s="15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</row>
    <row r="172" spans="1:62" ht="18.75" x14ac:dyDescent="0.3">
      <c r="A172" s="19" t="s">
        <v>25</v>
      </c>
      <c r="B172" s="47">
        <f>B173</f>
        <v>11</v>
      </c>
      <c r="C172" s="47">
        <f t="shared" ref="C172:AE172" si="70">C173</f>
        <v>9</v>
      </c>
      <c r="D172" s="47">
        <f t="shared" si="70"/>
        <v>9</v>
      </c>
      <c r="E172" s="47">
        <f t="shared" si="70"/>
        <v>9</v>
      </c>
      <c r="F172" s="118">
        <f>E172/B172*100</f>
        <v>81.818181818181827</v>
      </c>
      <c r="G172" s="118">
        <f>E172/C172*100</f>
        <v>100</v>
      </c>
      <c r="H172" s="48">
        <f t="shared" si="70"/>
        <v>2</v>
      </c>
      <c r="I172" s="48">
        <f t="shared" si="70"/>
        <v>2</v>
      </c>
      <c r="J172" s="48">
        <f t="shared" si="70"/>
        <v>2</v>
      </c>
      <c r="K172" s="48">
        <f t="shared" si="70"/>
        <v>2</v>
      </c>
      <c r="L172" s="48">
        <f t="shared" si="70"/>
        <v>0</v>
      </c>
      <c r="M172" s="48">
        <f t="shared" si="70"/>
        <v>0</v>
      </c>
      <c r="N172" s="48">
        <f t="shared" si="70"/>
        <v>3</v>
      </c>
      <c r="O172" s="48">
        <f t="shared" si="70"/>
        <v>3</v>
      </c>
      <c r="P172" s="48">
        <f t="shared" si="70"/>
        <v>0</v>
      </c>
      <c r="Q172" s="48">
        <f t="shared" si="70"/>
        <v>0</v>
      </c>
      <c r="R172" s="48">
        <f t="shared" si="70"/>
        <v>0</v>
      </c>
      <c r="S172" s="48">
        <f t="shared" si="70"/>
        <v>0</v>
      </c>
      <c r="T172" s="48">
        <f t="shared" si="70"/>
        <v>0</v>
      </c>
      <c r="U172" s="48">
        <f t="shared" si="70"/>
        <v>0</v>
      </c>
      <c r="V172" s="48">
        <f t="shared" si="70"/>
        <v>2</v>
      </c>
      <c r="W172" s="48">
        <f t="shared" si="70"/>
        <v>2</v>
      </c>
      <c r="X172" s="48">
        <f t="shared" si="70"/>
        <v>0</v>
      </c>
      <c r="Y172" s="48">
        <f t="shared" si="70"/>
        <v>0</v>
      </c>
      <c r="Z172" s="48">
        <f t="shared" si="70"/>
        <v>0</v>
      </c>
      <c r="AA172" s="48">
        <f t="shared" si="70"/>
        <v>0</v>
      </c>
      <c r="AB172" s="48">
        <f t="shared" si="70"/>
        <v>2</v>
      </c>
      <c r="AC172" s="48">
        <f t="shared" si="70"/>
        <v>0</v>
      </c>
      <c r="AD172" s="48">
        <f t="shared" si="70"/>
        <v>0</v>
      </c>
      <c r="AE172" s="48">
        <f t="shared" si="70"/>
        <v>0</v>
      </c>
      <c r="AF172" s="49"/>
      <c r="AG172" s="15"/>
      <c r="AH172" s="15"/>
      <c r="AI172" s="15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</row>
    <row r="173" spans="1:62" ht="18.75" x14ac:dyDescent="0.3">
      <c r="A173" s="22" t="s">
        <v>27</v>
      </c>
      <c r="B173" s="23">
        <f>B176</f>
        <v>11</v>
      </c>
      <c r="C173" s="23">
        <f>C176</f>
        <v>9</v>
      </c>
      <c r="D173" s="23">
        <f>D176</f>
        <v>9</v>
      </c>
      <c r="E173" s="23">
        <f>E176</f>
        <v>9</v>
      </c>
      <c r="F173" s="123">
        <f>E173/B173*100</f>
        <v>81.818181818181827</v>
      </c>
      <c r="G173" s="123">
        <f>E173/C173*100</f>
        <v>100</v>
      </c>
      <c r="H173" s="23">
        <f>H176</f>
        <v>2</v>
      </c>
      <c r="I173" s="23">
        <f t="shared" ref="I173:AE173" si="71">I176</f>
        <v>2</v>
      </c>
      <c r="J173" s="23">
        <f t="shared" si="71"/>
        <v>2</v>
      </c>
      <c r="K173" s="23">
        <f t="shared" si="71"/>
        <v>2</v>
      </c>
      <c r="L173" s="23">
        <f t="shared" si="71"/>
        <v>0</v>
      </c>
      <c r="M173" s="23">
        <f t="shared" si="71"/>
        <v>0</v>
      </c>
      <c r="N173" s="23">
        <f t="shared" si="71"/>
        <v>3</v>
      </c>
      <c r="O173" s="23">
        <f t="shared" si="71"/>
        <v>3</v>
      </c>
      <c r="P173" s="23">
        <f t="shared" si="71"/>
        <v>0</v>
      </c>
      <c r="Q173" s="23">
        <f t="shared" si="71"/>
        <v>0</v>
      </c>
      <c r="R173" s="23">
        <f t="shared" si="71"/>
        <v>0</v>
      </c>
      <c r="S173" s="23">
        <f t="shared" si="71"/>
        <v>0</v>
      </c>
      <c r="T173" s="23">
        <f t="shared" si="71"/>
        <v>0</v>
      </c>
      <c r="U173" s="23">
        <f t="shared" si="71"/>
        <v>0</v>
      </c>
      <c r="V173" s="23">
        <f t="shared" si="71"/>
        <v>2</v>
      </c>
      <c r="W173" s="23">
        <f t="shared" si="71"/>
        <v>2</v>
      </c>
      <c r="X173" s="23">
        <f t="shared" si="71"/>
        <v>0</v>
      </c>
      <c r="Y173" s="23">
        <f t="shared" si="71"/>
        <v>0</v>
      </c>
      <c r="Z173" s="23">
        <f t="shared" si="71"/>
        <v>0</v>
      </c>
      <c r="AA173" s="23">
        <f t="shared" si="71"/>
        <v>0</v>
      </c>
      <c r="AB173" s="23">
        <f t="shared" si="71"/>
        <v>2</v>
      </c>
      <c r="AC173" s="23">
        <f t="shared" si="71"/>
        <v>0</v>
      </c>
      <c r="AD173" s="23">
        <f t="shared" si="71"/>
        <v>0</v>
      </c>
      <c r="AE173" s="23">
        <f t="shared" si="71"/>
        <v>0</v>
      </c>
      <c r="AF173" s="36"/>
      <c r="AG173" s="15"/>
      <c r="AH173" s="15"/>
      <c r="AI173" s="15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</row>
    <row r="174" spans="1:62" ht="18.75" x14ac:dyDescent="0.25">
      <c r="A174" s="156" t="s">
        <v>76</v>
      </c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8"/>
      <c r="AF174" s="36"/>
      <c r="AG174" s="15"/>
      <c r="AH174" s="15"/>
      <c r="AI174" s="15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</row>
    <row r="175" spans="1:62" ht="18.75" x14ac:dyDescent="0.3">
      <c r="A175" s="19" t="s">
        <v>25</v>
      </c>
      <c r="B175" s="47">
        <f>B176</f>
        <v>11</v>
      </c>
      <c r="C175" s="47">
        <f t="shared" ref="C175:AE175" si="72">C176</f>
        <v>9</v>
      </c>
      <c r="D175" s="47">
        <f t="shared" si="72"/>
        <v>9</v>
      </c>
      <c r="E175" s="47">
        <f t="shared" si="72"/>
        <v>9</v>
      </c>
      <c r="F175" s="124">
        <f>E175/B175*100</f>
        <v>81.818181818181827</v>
      </c>
      <c r="G175" s="124">
        <f>E175/C175*100</f>
        <v>100</v>
      </c>
      <c r="H175" s="48">
        <f t="shared" si="72"/>
        <v>2</v>
      </c>
      <c r="I175" s="48">
        <f t="shared" si="72"/>
        <v>2</v>
      </c>
      <c r="J175" s="48">
        <f t="shared" si="72"/>
        <v>2</v>
      </c>
      <c r="K175" s="48">
        <f t="shared" si="72"/>
        <v>2</v>
      </c>
      <c r="L175" s="48">
        <f t="shared" si="72"/>
        <v>0</v>
      </c>
      <c r="M175" s="48">
        <f t="shared" si="72"/>
        <v>0</v>
      </c>
      <c r="N175" s="48">
        <f t="shared" si="72"/>
        <v>3</v>
      </c>
      <c r="O175" s="48">
        <f t="shared" si="72"/>
        <v>3</v>
      </c>
      <c r="P175" s="48">
        <f t="shared" si="72"/>
        <v>0</v>
      </c>
      <c r="Q175" s="48">
        <f t="shared" si="72"/>
        <v>0</v>
      </c>
      <c r="R175" s="48">
        <f t="shared" si="72"/>
        <v>0</v>
      </c>
      <c r="S175" s="48">
        <f t="shared" si="72"/>
        <v>0</v>
      </c>
      <c r="T175" s="48">
        <f t="shared" si="72"/>
        <v>0</v>
      </c>
      <c r="U175" s="48">
        <f t="shared" si="72"/>
        <v>0</v>
      </c>
      <c r="V175" s="48">
        <f t="shared" si="72"/>
        <v>2</v>
      </c>
      <c r="W175" s="48">
        <f t="shared" si="72"/>
        <v>2</v>
      </c>
      <c r="X175" s="48">
        <f t="shared" si="72"/>
        <v>0</v>
      </c>
      <c r="Y175" s="48">
        <f t="shared" si="72"/>
        <v>0</v>
      </c>
      <c r="Z175" s="48">
        <f t="shared" si="72"/>
        <v>0</v>
      </c>
      <c r="AA175" s="48">
        <f t="shared" si="72"/>
        <v>0</v>
      </c>
      <c r="AB175" s="48">
        <f t="shared" si="72"/>
        <v>2</v>
      </c>
      <c r="AC175" s="48">
        <f t="shared" si="72"/>
        <v>0</v>
      </c>
      <c r="AD175" s="48">
        <f t="shared" si="72"/>
        <v>0</v>
      </c>
      <c r="AE175" s="48">
        <f t="shared" si="72"/>
        <v>0</v>
      </c>
      <c r="AF175" s="49"/>
      <c r="AG175" s="15"/>
      <c r="AH175" s="15"/>
      <c r="AI175" s="15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</row>
    <row r="176" spans="1:62" ht="76.5" customHeight="1" x14ac:dyDescent="0.3">
      <c r="A176" s="22" t="s">
        <v>27</v>
      </c>
      <c r="B176" s="23">
        <f>H176+J176+L176+N176+P176+R176+T176+V176+X176+Z176+AB176+AD176</f>
        <v>11</v>
      </c>
      <c r="C176" s="29">
        <f>H176+J176+L176+N176+P176+R176+T176+V176</f>
        <v>9</v>
      </c>
      <c r="D176" s="23">
        <f>E176</f>
        <v>9</v>
      </c>
      <c r="E176" s="28">
        <f>I176+K176+M176+O176+Q176+S176+U176+W176+Y176+AA176+AC176+AE176</f>
        <v>9</v>
      </c>
      <c r="F176" s="125">
        <f>E176/B176*100</f>
        <v>81.818181818181827</v>
      </c>
      <c r="G176" s="125">
        <f>E176/C176*100</f>
        <v>100</v>
      </c>
      <c r="H176" s="13">
        <v>2</v>
      </c>
      <c r="I176" s="13">
        <v>2</v>
      </c>
      <c r="J176" s="13">
        <v>2</v>
      </c>
      <c r="K176" s="13">
        <v>2</v>
      </c>
      <c r="L176" s="13"/>
      <c r="M176" s="13"/>
      <c r="N176" s="13">
        <v>3</v>
      </c>
      <c r="O176" s="13">
        <v>3</v>
      </c>
      <c r="P176" s="13"/>
      <c r="Q176" s="13"/>
      <c r="R176" s="13"/>
      <c r="S176" s="13"/>
      <c r="T176" s="13"/>
      <c r="U176" s="13"/>
      <c r="V176" s="13">
        <v>2</v>
      </c>
      <c r="W176" s="13">
        <v>2</v>
      </c>
      <c r="X176" s="13"/>
      <c r="Y176" s="13"/>
      <c r="Z176" s="13"/>
      <c r="AA176" s="13"/>
      <c r="AB176" s="13">
        <v>2</v>
      </c>
      <c r="AC176" s="13"/>
      <c r="AD176" s="13"/>
      <c r="AE176" s="13"/>
      <c r="AF176" s="36" t="s">
        <v>99</v>
      </c>
      <c r="AG176" s="15"/>
      <c r="AH176" s="15"/>
      <c r="AI176" s="15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</row>
    <row r="177" spans="1:62" ht="20.25" x14ac:dyDescent="0.25">
      <c r="A177" s="90" t="s">
        <v>116</v>
      </c>
      <c r="B177" s="91"/>
      <c r="C177" s="92"/>
      <c r="D177" s="92"/>
      <c r="E177" s="91"/>
      <c r="F177" s="93"/>
      <c r="G177" s="93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5"/>
      <c r="AF177" s="133"/>
      <c r="AG177" s="15"/>
      <c r="AH177" s="15"/>
      <c r="AI177" s="15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</row>
    <row r="178" spans="1:62" ht="20.25" x14ac:dyDescent="0.25">
      <c r="A178" s="141" t="s">
        <v>79</v>
      </c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3"/>
      <c r="AF178" s="36"/>
      <c r="AG178" s="15"/>
      <c r="AH178" s="15"/>
      <c r="AI178" s="15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</row>
    <row r="179" spans="1:62" ht="18.75" x14ac:dyDescent="0.3">
      <c r="A179" s="19" t="s">
        <v>25</v>
      </c>
      <c r="B179" s="27">
        <f>H179+J179+L179+N179+P179+R179+T179+V179+X179+Z179+AB179+AD179</f>
        <v>936.90000000000009</v>
      </c>
      <c r="C179" s="27">
        <f>SUM(C180:C183)</f>
        <v>936.90000000000009</v>
      </c>
      <c r="D179" s="27">
        <f>SUM(D180:D183)</f>
        <v>888.2</v>
      </c>
      <c r="E179" s="27">
        <f>SUM(E180:E183)</f>
        <v>888.2</v>
      </c>
      <c r="F179" s="26">
        <f>E179/B179*100</f>
        <v>94.802006617568566</v>
      </c>
      <c r="G179" s="26">
        <f>E179/C179*100</f>
        <v>94.802006617568566</v>
      </c>
      <c r="H179" s="13">
        <f>SUM(H180:H183)</f>
        <v>0</v>
      </c>
      <c r="I179" s="13">
        <f t="shared" ref="I179:AE179" si="73">SUM(I180:I183)</f>
        <v>0</v>
      </c>
      <c r="J179" s="13">
        <f t="shared" si="73"/>
        <v>69.099999999999994</v>
      </c>
      <c r="K179" s="13">
        <f t="shared" si="73"/>
        <v>69.099999999999994</v>
      </c>
      <c r="L179" s="13">
        <f t="shared" si="73"/>
        <v>418.4</v>
      </c>
      <c r="M179" s="13">
        <f t="shared" si="73"/>
        <v>135.19999999999999</v>
      </c>
      <c r="N179" s="13">
        <f t="shared" si="73"/>
        <v>138.19999999999999</v>
      </c>
      <c r="O179" s="13">
        <f t="shared" si="73"/>
        <v>158.9</v>
      </c>
      <c r="P179" s="13">
        <f t="shared" si="73"/>
        <v>11.6</v>
      </c>
      <c r="Q179" s="13">
        <f t="shared" si="73"/>
        <v>0</v>
      </c>
      <c r="R179" s="13">
        <f t="shared" si="73"/>
        <v>0</v>
      </c>
      <c r="S179" s="13">
        <f t="shared" si="73"/>
        <v>20</v>
      </c>
      <c r="T179" s="13">
        <f t="shared" si="73"/>
        <v>0</v>
      </c>
      <c r="U179" s="13">
        <f t="shared" si="73"/>
        <v>0</v>
      </c>
      <c r="V179" s="13">
        <f t="shared" si="73"/>
        <v>18.100000000000001</v>
      </c>
      <c r="W179" s="13">
        <f t="shared" si="73"/>
        <v>140</v>
      </c>
      <c r="X179" s="13">
        <f t="shared" si="73"/>
        <v>271.5</v>
      </c>
      <c r="Y179" s="13">
        <f t="shared" si="73"/>
        <v>120</v>
      </c>
      <c r="Z179" s="13">
        <f t="shared" si="73"/>
        <v>10</v>
      </c>
      <c r="AA179" s="13">
        <f t="shared" si="73"/>
        <v>245</v>
      </c>
      <c r="AB179" s="13">
        <f t="shared" si="73"/>
        <v>0</v>
      </c>
      <c r="AC179" s="13">
        <f t="shared" si="73"/>
        <v>0</v>
      </c>
      <c r="AD179" s="13">
        <f t="shared" si="73"/>
        <v>0</v>
      </c>
      <c r="AE179" s="13">
        <f t="shared" si="73"/>
        <v>0</v>
      </c>
      <c r="AF179" s="36"/>
      <c r="AG179" s="15"/>
      <c r="AH179" s="15"/>
      <c r="AI179" s="15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</row>
    <row r="180" spans="1:62" ht="18.75" x14ac:dyDescent="0.3">
      <c r="A180" s="22" t="s">
        <v>26</v>
      </c>
      <c r="B180" s="28">
        <f>H180+J180+L180+N180+P180+R180+T180+V180+X180+Z180+AB180+AD180</f>
        <v>0</v>
      </c>
      <c r="C180" s="29">
        <f t="shared" ref="C180:E183" si="74">C186+C192</f>
        <v>0</v>
      </c>
      <c r="D180" s="29">
        <f t="shared" si="74"/>
        <v>0</v>
      </c>
      <c r="E180" s="29">
        <f t="shared" si="74"/>
        <v>0</v>
      </c>
      <c r="F180" s="120">
        <f>IFERROR(E180/B180*100,0)</f>
        <v>0</v>
      </c>
      <c r="G180" s="120">
        <f>IFERROR(E180/C180*100,0)</f>
        <v>0</v>
      </c>
      <c r="H180" s="23">
        <f>H186+H192</f>
        <v>0</v>
      </c>
      <c r="I180" s="23">
        <f t="shared" ref="I180:AE183" si="75">I186+I192</f>
        <v>0</v>
      </c>
      <c r="J180" s="23">
        <f t="shared" si="75"/>
        <v>0</v>
      </c>
      <c r="K180" s="23">
        <f t="shared" si="75"/>
        <v>0</v>
      </c>
      <c r="L180" s="23">
        <f t="shared" si="75"/>
        <v>0</v>
      </c>
      <c r="M180" s="23">
        <f t="shared" si="75"/>
        <v>0</v>
      </c>
      <c r="N180" s="23">
        <f t="shared" si="75"/>
        <v>0</v>
      </c>
      <c r="O180" s="23">
        <f t="shared" si="75"/>
        <v>0</v>
      </c>
      <c r="P180" s="23">
        <f t="shared" si="75"/>
        <v>0</v>
      </c>
      <c r="Q180" s="23">
        <f t="shared" si="75"/>
        <v>0</v>
      </c>
      <c r="R180" s="23">
        <f t="shared" si="75"/>
        <v>0</v>
      </c>
      <c r="S180" s="23">
        <f t="shared" si="75"/>
        <v>0</v>
      </c>
      <c r="T180" s="23">
        <f t="shared" si="75"/>
        <v>0</v>
      </c>
      <c r="U180" s="23">
        <f t="shared" si="75"/>
        <v>0</v>
      </c>
      <c r="V180" s="23">
        <f t="shared" si="75"/>
        <v>0</v>
      </c>
      <c r="W180" s="23">
        <f t="shared" si="75"/>
        <v>0</v>
      </c>
      <c r="X180" s="23">
        <f t="shared" si="75"/>
        <v>0</v>
      </c>
      <c r="Y180" s="23">
        <f t="shared" si="75"/>
        <v>0</v>
      </c>
      <c r="Z180" s="23">
        <f t="shared" si="75"/>
        <v>0</v>
      </c>
      <c r="AA180" s="23">
        <f t="shared" si="75"/>
        <v>0</v>
      </c>
      <c r="AB180" s="23">
        <f t="shared" si="75"/>
        <v>0</v>
      </c>
      <c r="AC180" s="23">
        <f t="shared" si="75"/>
        <v>0</v>
      </c>
      <c r="AD180" s="23">
        <f t="shared" si="75"/>
        <v>0</v>
      </c>
      <c r="AE180" s="23">
        <f t="shared" si="75"/>
        <v>0</v>
      </c>
      <c r="AF180" s="36"/>
      <c r="AG180" s="15"/>
      <c r="AH180" s="15"/>
      <c r="AI180" s="15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</row>
    <row r="181" spans="1:62" ht="18.75" x14ac:dyDescent="0.3">
      <c r="A181" s="22" t="s">
        <v>27</v>
      </c>
      <c r="B181" s="28">
        <f>H181+J181+L181+N181+P181+R181+T181+V181+X181+Z181+AB181+AD181</f>
        <v>936.90000000000009</v>
      </c>
      <c r="C181" s="29">
        <f t="shared" si="74"/>
        <v>936.90000000000009</v>
      </c>
      <c r="D181" s="29">
        <f t="shared" si="74"/>
        <v>888.2</v>
      </c>
      <c r="E181" s="29">
        <f t="shared" si="74"/>
        <v>888.2</v>
      </c>
      <c r="F181" s="120">
        <f>IFERROR(E181/B181*100,0)</f>
        <v>94.802006617568566</v>
      </c>
      <c r="G181" s="120">
        <f>IFERROR(E181/C181*100,0)</f>
        <v>94.802006617568566</v>
      </c>
      <c r="H181" s="23">
        <f>H187+H193</f>
        <v>0</v>
      </c>
      <c r="I181" s="23">
        <f t="shared" si="75"/>
        <v>0</v>
      </c>
      <c r="J181" s="23">
        <f t="shared" si="75"/>
        <v>69.099999999999994</v>
      </c>
      <c r="K181" s="23">
        <f t="shared" si="75"/>
        <v>69.099999999999994</v>
      </c>
      <c r="L181" s="23">
        <f t="shared" si="75"/>
        <v>418.4</v>
      </c>
      <c r="M181" s="23">
        <f t="shared" si="75"/>
        <v>135.19999999999999</v>
      </c>
      <c r="N181" s="23">
        <f t="shared" si="75"/>
        <v>138.19999999999999</v>
      </c>
      <c r="O181" s="23">
        <f t="shared" si="75"/>
        <v>158.9</v>
      </c>
      <c r="P181" s="23">
        <f t="shared" si="75"/>
        <v>11.6</v>
      </c>
      <c r="Q181" s="23">
        <f t="shared" si="75"/>
        <v>0</v>
      </c>
      <c r="R181" s="23">
        <f t="shared" si="75"/>
        <v>0</v>
      </c>
      <c r="S181" s="23">
        <f t="shared" si="75"/>
        <v>20</v>
      </c>
      <c r="T181" s="23">
        <f t="shared" si="75"/>
        <v>0</v>
      </c>
      <c r="U181" s="23">
        <f t="shared" si="75"/>
        <v>0</v>
      </c>
      <c r="V181" s="23">
        <f t="shared" si="75"/>
        <v>18.100000000000001</v>
      </c>
      <c r="W181" s="23">
        <f t="shared" si="75"/>
        <v>140</v>
      </c>
      <c r="X181" s="23">
        <f t="shared" si="75"/>
        <v>271.5</v>
      </c>
      <c r="Y181" s="23">
        <f t="shared" si="75"/>
        <v>120</v>
      </c>
      <c r="Z181" s="23">
        <f t="shared" si="75"/>
        <v>10</v>
      </c>
      <c r="AA181" s="23">
        <f t="shared" si="75"/>
        <v>245</v>
      </c>
      <c r="AB181" s="23">
        <f t="shared" si="75"/>
        <v>0</v>
      </c>
      <c r="AC181" s="23">
        <f t="shared" si="75"/>
        <v>0</v>
      </c>
      <c r="AD181" s="23">
        <f t="shared" si="75"/>
        <v>0</v>
      </c>
      <c r="AE181" s="23">
        <f t="shared" si="75"/>
        <v>0</v>
      </c>
      <c r="AF181" s="36"/>
      <c r="AG181" s="15"/>
      <c r="AH181" s="15"/>
      <c r="AI181" s="15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</row>
    <row r="182" spans="1:62" ht="18.75" x14ac:dyDescent="0.3">
      <c r="A182" s="22" t="s">
        <v>28</v>
      </c>
      <c r="B182" s="28">
        <f>H182+J182+L182+N182+P182+R182+T182+V182+X182+Z182+AB182+AD182</f>
        <v>0</v>
      </c>
      <c r="C182" s="29">
        <f t="shared" si="74"/>
        <v>0</v>
      </c>
      <c r="D182" s="29">
        <f t="shared" si="74"/>
        <v>0</v>
      </c>
      <c r="E182" s="29">
        <f t="shared" si="74"/>
        <v>0</v>
      </c>
      <c r="F182" s="120">
        <f>IFERROR(E182/B182*100,0)</f>
        <v>0</v>
      </c>
      <c r="G182" s="120">
        <f>IFERROR(E182/C182*100,0)</f>
        <v>0</v>
      </c>
      <c r="H182" s="23">
        <f t="shared" ref="H182:W183" si="76">H188+H194</f>
        <v>0</v>
      </c>
      <c r="I182" s="23">
        <f t="shared" si="76"/>
        <v>0</v>
      </c>
      <c r="J182" s="23">
        <f t="shared" si="76"/>
        <v>0</v>
      </c>
      <c r="K182" s="23">
        <f t="shared" si="76"/>
        <v>0</v>
      </c>
      <c r="L182" s="23">
        <f t="shared" si="76"/>
        <v>0</v>
      </c>
      <c r="M182" s="23">
        <f t="shared" si="76"/>
        <v>0</v>
      </c>
      <c r="N182" s="23">
        <f t="shared" si="76"/>
        <v>0</v>
      </c>
      <c r="O182" s="23">
        <f t="shared" si="76"/>
        <v>0</v>
      </c>
      <c r="P182" s="23">
        <f t="shared" si="76"/>
        <v>0</v>
      </c>
      <c r="Q182" s="23">
        <f t="shared" si="76"/>
        <v>0</v>
      </c>
      <c r="R182" s="23">
        <f t="shared" si="76"/>
        <v>0</v>
      </c>
      <c r="S182" s="23">
        <f t="shared" si="76"/>
        <v>0</v>
      </c>
      <c r="T182" s="23">
        <f t="shared" si="76"/>
        <v>0</v>
      </c>
      <c r="U182" s="23">
        <f t="shared" si="76"/>
        <v>0</v>
      </c>
      <c r="V182" s="23">
        <f t="shared" si="76"/>
        <v>0</v>
      </c>
      <c r="W182" s="23">
        <f t="shared" si="76"/>
        <v>0</v>
      </c>
      <c r="X182" s="23">
        <f t="shared" si="75"/>
        <v>0</v>
      </c>
      <c r="Y182" s="23">
        <f t="shared" si="75"/>
        <v>0</v>
      </c>
      <c r="Z182" s="23">
        <f t="shared" si="75"/>
        <v>0</v>
      </c>
      <c r="AA182" s="23">
        <f t="shared" si="75"/>
        <v>0</v>
      </c>
      <c r="AB182" s="23">
        <f t="shared" si="75"/>
        <v>0</v>
      </c>
      <c r="AC182" s="23">
        <f t="shared" si="75"/>
        <v>0</v>
      </c>
      <c r="AD182" s="23">
        <f t="shared" si="75"/>
        <v>0</v>
      </c>
      <c r="AE182" s="23">
        <f t="shared" si="75"/>
        <v>0</v>
      </c>
      <c r="AF182" s="36"/>
      <c r="AG182" s="15"/>
      <c r="AH182" s="15"/>
      <c r="AI182" s="15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</row>
    <row r="183" spans="1:62" ht="18.75" x14ac:dyDescent="0.3">
      <c r="A183" s="22" t="s">
        <v>29</v>
      </c>
      <c r="B183" s="28">
        <f>H183+J183+L183+N183+P183+R183+T183+V183+X183+Z183+AB183+AD183</f>
        <v>0</v>
      </c>
      <c r="C183" s="29">
        <f t="shared" si="74"/>
        <v>0</v>
      </c>
      <c r="D183" s="29">
        <f t="shared" si="74"/>
        <v>0</v>
      </c>
      <c r="E183" s="29">
        <f t="shared" si="74"/>
        <v>0</v>
      </c>
      <c r="F183" s="120">
        <f>IFERROR(E183/B183*100,0)</f>
        <v>0</v>
      </c>
      <c r="G183" s="120">
        <f>IFERROR(E183/C183*100,0)</f>
        <v>0</v>
      </c>
      <c r="H183" s="23">
        <f t="shared" si="76"/>
        <v>0</v>
      </c>
      <c r="I183" s="23">
        <f t="shared" si="75"/>
        <v>0</v>
      </c>
      <c r="J183" s="23">
        <f t="shared" si="75"/>
        <v>0</v>
      </c>
      <c r="K183" s="23">
        <f t="shared" si="75"/>
        <v>0</v>
      </c>
      <c r="L183" s="23">
        <f t="shared" si="75"/>
        <v>0</v>
      </c>
      <c r="M183" s="23">
        <f t="shared" si="75"/>
        <v>0</v>
      </c>
      <c r="N183" s="23">
        <f t="shared" si="75"/>
        <v>0</v>
      </c>
      <c r="O183" s="23">
        <f t="shared" si="75"/>
        <v>0</v>
      </c>
      <c r="P183" s="23">
        <f t="shared" si="75"/>
        <v>0</v>
      </c>
      <c r="Q183" s="23">
        <f t="shared" si="75"/>
        <v>0</v>
      </c>
      <c r="R183" s="23">
        <f t="shared" si="75"/>
        <v>0</v>
      </c>
      <c r="S183" s="23">
        <f t="shared" si="75"/>
        <v>0</v>
      </c>
      <c r="T183" s="23">
        <f t="shared" si="75"/>
        <v>0</v>
      </c>
      <c r="U183" s="23">
        <f t="shared" si="75"/>
        <v>0</v>
      </c>
      <c r="V183" s="23">
        <f t="shared" si="75"/>
        <v>0</v>
      </c>
      <c r="W183" s="23">
        <f t="shared" si="75"/>
        <v>0</v>
      </c>
      <c r="X183" s="23">
        <f t="shared" si="75"/>
        <v>0</v>
      </c>
      <c r="Y183" s="23">
        <f t="shared" si="75"/>
        <v>0</v>
      </c>
      <c r="Z183" s="23">
        <f t="shared" si="75"/>
        <v>0</v>
      </c>
      <c r="AA183" s="23">
        <f t="shared" si="75"/>
        <v>0</v>
      </c>
      <c r="AB183" s="23">
        <f t="shared" si="75"/>
        <v>0</v>
      </c>
      <c r="AC183" s="23">
        <f t="shared" si="75"/>
        <v>0</v>
      </c>
      <c r="AD183" s="23">
        <f t="shared" si="75"/>
        <v>0</v>
      </c>
      <c r="AE183" s="23">
        <f t="shared" si="75"/>
        <v>0</v>
      </c>
      <c r="AF183" s="36"/>
      <c r="AG183" s="15"/>
      <c r="AH183" s="15"/>
      <c r="AI183" s="15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</row>
    <row r="184" spans="1:62" ht="18.75" customHeight="1" x14ac:dyDescent="0.25">
      <c r="A184" s="156" t="s">
        <v>80</v>
      </c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8"/>
      <c r="AF184" s="153" t="s">
        <v>114</v>
      </c>
      <c r="AG184" s="15"/>
      <c r="AH184" s="15"/>
      <c r="AI184" s="15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</row>
    <row r="185" spans="1:62" ht="18.75" x14ac:dyDescent="0.3">
      <c r="A185" s="19" t="s">
        <v>25</v>
      </c>
      <c r="B185" s="27">
        <f>H185+J185+L185+N185+P185+R185+T185+V185+X185+Z185+AB185+AD185</f>
        <v>836.90000000000009</v>
      </c>
      <c r="C185" s="27">
        <f>C186+C187+C188+C189</f>
        <v>836.90000000000009</v>
      </c>
      <c r="D185" s="27">
        <f>D186+D187+D188+D189</f>
        <v>788.2</v>
      </c>
      <c r="E185" s="27">
        <f>E186+E187+E188+E189</f>
        <v>788.2</v>
      </c>
      <c r="F185" s="121">
        <f>IFERROR(E185/B185*100,0)</f>
        <v>94.1809057235034</v>
      </c>
      <c r="G185" s="121">
        <f>IFERROR(E185/C185*100,0)</f>
        <v>94.1809057235034</v>
      </c>
      <c r="H185" s="13">
        <f>SUM(H186:H189)</f>
        <v>0</v>
      </c>
      <c r="I185" s="13">
        <f t="shared" ref="I185:AE185" si="77">SUM(I186:I189)</f>
        <v>0</v>
      </c>
      <c r="J185" s="13">
        <f t="shared" si="77"/>
        <v>69.099999999999994</v>
      </c>
      <c r="K185" s="13">
        <f t="shared" si="77"/>
        <v>69.099999999999994</v>
      </c>
      <c r="L185" s="13">
        <f t="shared" si="77"/>
        <v>418.4</v>
      </c>
      <c r="M185" s="13">
        <f t="shared" si="77"/>
        <v>135.19999999999999</v>
      </c>
      <c r="N185" s="13">
        <f t="shared" si="77"/>
        <v>38.200000000000003</v>
      </c>
      <c r="O185" s="13">
        <f t="shared" si="77"/>
        <v>58.9</v>
      </c>
      <c r="P185" s="13">
        <f t="shared" si="77"/>
        <v>11.6</v>
      </c>
      <c r="Q185" s="13">
        <f t="shared" si="77"/>
        <v>0</v>
      </c>
      <c r="R185" s="13">
        <f t="shared" si="77"/>
        <v>0</v>
      </c>
      <c r="S185" s="13">
        <f t="shared" si="77"/>
        <v>20</v>
      </c>
      <c r="T185" s="13">
        <f t="shared" si="77"/>
        <v>0</v>
      </c>
      <c r="U185" s="13">
        <f t="shared" si="77"/>
        <v>0</v>
      </c>
      <c r="V185" s="13">
        <f t="shared" si="77"/>
        <v>18.100000000000001</v>
      </c>
      <c r="W185" s="13">
        <f t="shared" si="77"/>
        <v>140</v>
      </c>
      <c r="X185" s="13">
        <f t="shared" si="77"/>
        <v>271.5</v>
      </c>
      <c r="Y185" s="13">
        <f t="shared" si="77"/>
        <v>120</v>
      </c>
      <c r="Z185" s="13">
        <f t="shared" si="77"/>
        <v>10</v>
      </c>
      <c r="AA185" s="13">
        <f t="shared" si="77"/>
        <v>245</v>
      </c>
      <c r="AB185" s="13">
        <f t="shared" si="77"/>
        <v>0</v>
      </c>
      <c r="AC185" s="13">
        <f t="shared" si="77"/>
        <v>0</v>
      </c>
      <c r="AD185" s="13">
        <f t="shared" si="77"/>
        <v>0</v>
      </c>
      <c r="AE185" s="13">
        <f t="shared" si="77"/>
        <v>0</v>
      </c>
      <c r="AF185" s="154"/>
      <c r="AG185" s="15"/>
      <c r="AH185" s="15"/>
      <c r="AI185" s="15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</row>
    <row r="186" spans="1:62" ht="18.75" x14ac:dyDescent="0.3">
      <c r="A186" s="22" t="s">
        <v>26</v>
      </c>
      <c r="B186" s="28">
        <f>H186+J186+L186+N186+P186+R186+T186+V186+X186+Z186+AB186+AD186</f>
        <v>0</v>
      </c>
      <c r="C186" s="29">
        <f>H186</f>
        <v>0</v>
      </c>
      <c r="D186" s="29"/>
      <c r="E186" s="28">
        <f>I186+K186+M186+O186+Q186+S186+U186+W186+Y186+AA186+AC186+AE186</f>
        <v>0</v>
      </c>
      <c r="F186" s="120">
        <f>IFERROR(E186/B186*100,0)</f>
        <v>0</v>
      </c>
      <c r="G186" s="120">
        <f>IFERROR(E186/C186*100,0)</f>
        <v>0</v>
      </c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54"/>
      <c r="AG186" s="15"/>
      <c r="AH186" s="15"/>
      <c r="AI186" s="15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</row>
    <row r="187" spans="1:62" ht="18.75" x14ac:dyDescent="0.3">
      <c r="A187" s="22" t="s">
        <v>27</v>
      </c>
      <c r="B187" s="28">
        <f>H187+J187+L187+N187+P187+R187+T187+V187+X187+Z187+AB187+AD187</f>
        <v>836.90000000000009</v>
      </c>
      <c r="C187" s="29">
        <f>H187+J187+L187+N187+P187+V187+X187+Z187</f>
        <v>836.90000000000009</v>
      </c>
      <c r="D187" s="29">
        <f>E187</f>
        <v>788.2</v>
      </c>
      <c r="E187" s="28">
        <f>I187+K187+M187+O187+Q187+S187+U187+W187+Y187+AA187+AC187+AE187</f>
        <v>788.2</v>
      </c>
      <c r="F187" s="120">
        <f>IFERROR(E187/B187*100,0)</f>
        <v>94.1809057235034</v>
      </c>
      <c r="G187" s="120">
        <f>IFERROR(E187/C187*100,0)</f>
        <v>94.1809057235034</v>
      </c>
      <c r="H187" s="13"/>
      <c r="I187" s="13"/>
      <c r="J187" s="13">
        <v>69.099999999999994</v>
      </c>
      <c r="K187" s="13">
        <v>69.099999999999994</v>
      </c>
      <c r="L187" s="13">
        <v>418.4</v>
      </c>
      <c r="M187" s="13">
        <v>135.19999999999999</v>
      </c>
      <c r="N187" s="13">
        <v>38.200000000000003</v>
      </c>
      <c r="O187" s="13">
        <v>58.9</v>
      </c>
      <c r="P187" s="13">
        <v>11.6</v>
      </c>
      <c r="Q187" s="13"/>
      <c r="R187" s="13"/>
      <c r="S187" s="13">
        <v>20</v>
      </c>
      <c r="T187" s="13"/>
      <c r="U187" s="13"/>
      <c r="V187" s="13">
        <f>40-21.9</f>
        <v>18.100000000000001</v>
      </c>
      <c r="W187" s="13">
        <v>140</v>
      </c>
      <c r="X187" s="13">
        <f>226.5+45</f>
        <v>271.5</v>
      </c>
      <c r="Y187" s="13">
        <v>120</v>
      </c>
      <c r="Z187" s="13">
        <f>10</f>
        <v>10</v>
      </c>
      <c r="AA187" s="13">
        <v>245</v>
      </c>
      <c r="AB187" s="13"/>
      <c r="AC187" s="13"/>
      <c r="AD187" s="13"/>
      <c r="AE187" s="13"/>
      <c r="AF187" s="154"/>
      <c r="AG187" s="15"/>
      <c r="AH187" s="15"/>
      <c r="AI187" s="15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</row>
    <row r="188" spans="1:62" ht="18.75" x14ac:dyDescent="0.3">
      <c r="A188" s="22" t="s">
        <v>28</v>
      </c>
      <c r="B188" s="28">
        <f>H188+J188+L188+N188+P188+R188+T188+V188+X188+Z188+AB188+AD188</f>
        <v>0</v>
      </c>
      <c r="C188" s="29">
        <f>H188</f>
        <v>0</v>
      </c>
      <c r="D188" s="29"/>
      <c r="E188" s="28">
        <f>I188+K188+M188+O188+Q188+S188+U188+W188+Y188+AA188+AC188+AE188</f>
        <v>0</v>
      </c>
      <c r="F188" s="120">
        <f>IFERROR(E188/B188*100,0)</f>
        <v>0</v>
      </c>
      <c r="G188" s="120">
        <f>IFERROR(E188/C188*100,0)</f>
        <v>0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54"/>
      <c r="AG188" s="15"/>
      <c r="AH188" s="15"/>
      <c r="AI188" s="15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</row>
    <row r="189" spans="1:62" ht="18.75" x14ac:dyDescent="0.3">
      <c r="A189" s="22" t="s">
        <v>29</v>
      </c>
      <c r="B189" s="28">
        <f>H189+J189+L189+N189+P189+R189+T189+V189+X189+Z189+AB189+AD189</f>
        <v>0</v>
      </c>
      <c r="C189" s="29">
        <f>H189</f>
        <v>0</v>
      </c>
      <c r="D189" s="29"/>
      <c r="E189" s="28">
        <f>I189+K189+M189+O189+Q189+S189+U189+W189+Y189+AA189+AC189+AE189</f>
        <v>0</v>
      </c>
      <c r="F189" s="120">
        <f>IFERROR(E189/B189*100,0)</f>
        <v>0</v>
      </c>
      <c r="G189" s="120">
        <f>IFERROR(E189/C189*100,0)</f>
        <v>0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55"/>
      <c r="AG189" s="15"/>
      <c r="AH189" s="15"/>
      <c r="AI189" s="15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</row>
    <row r="190" spans="1:62" ht="18.75" x14ac:dyDescent="0.25">
      <c r="A190" s="156" t="s">
        <v>77</v>
      </c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8"/>
      <c r="AF190" s="153" t="s">
        <v>35</v>
      </c>
      <c r="AG190" s="15"/>
      <c r="AH190" s="15"/>
      <c r="AI190" s="15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</row>
    <row r="191" spans="1:62" ht="18.75" x14ac:dyDescent="0.3">
      <c r="A191" s="19" t="s">
        <v>25</v>
      </c>
      <c r="B191" s="27">
        <f>H191+J191+L191+N191+P191+R191+T191+V191+X191+Z191+AB191+AD191</f>
        <v>100</v>
      </c>
      <c r="C191" s="27">
        <f>C192+C193+C194+C195</f>
        <v>100</v>
      </c>
      <c r="D191" s="27">
        <f>D192+D193+D194+D195</f>
        <v>100</v>
      </c>
      <c r="E191" s="27">
        <f>E192+E193+E194+E195</f>
        <v>100</v>
      </c>
      <c r="F191" s="121">
        <f>IFERROR(E191/B191*100,0)</f>
        <v>100</v>
      </c>
      <c r="G191" s="121">
        <f>IFERROR(E191/C191*100,0)</f>
        <v>100</v>
      </c>
      <c r="H191" s="13">
        <f>SUM(H192:H195)</f>
        <v>0</v>
      </c>
      <c r="I191" s="13">
        <f t="shared" ref="I191:AE191" si="78">SUM(I192:I195)</f>
        <v>0</v>
      </c>
      <c r="J191" s="13">
        <f t="shared" si="78"/>
        <v>0</v>
      </c>
      <c r="K191" s="13">
        <f t="shared" si="78"/>
        <v>0</v>
      </c>
      <c r="L191" s="13">
        <f t="shared" si="78"/>
        <v>0</v>
      </c>
      <c r="M191" s="13">
        <f t="shared" si="78"/>
        <v>0</v>
      </c>
      <c r="N191" s="13">
        <f t="shared" si="78"/>
        <v>100</v>
      </c>
      <c r="O191" s="13">
        <f t="shared" si="78"/>
        <v>100</v>
      </c>
      <c r="P191" s="13">
        <f t="shared" si="78"/>
        <v>0</v>
      </c>
      <c r="Q191" s="13">
        <f t="shared" si="78"/>
        <v>0</v>
      </c>
      <c r="R191" s="13">
        <f t="shared" si="78"/>
        <v>0</v>
      </c>
      <c r="S191" s="13">
        <f t="shared" si="78"/>
        <v>0</v>
      </c>
      <c r="T191" s="13">
        <f t="shared" si="78"/>
        <v>0</v>
      </c>
      <c r="U191" s="13">
        <f t="shared" si="78"/>
        <v>0</v>
      </c>
      <c r="V191" s="13">
        <f t="shared" si="78"/>
        <v>0</v>
      </c>
      <c r="W191" s="13">
        <f t="shared" si="78"/>
        <v>0</v>
      </c>
      <c r="X191" s="13">
        <f t="shared" si="78"/>
        <v>0</v>
      </c>
      <c r="Y191" s="13">
        <f t="shared" si="78"/>
        <v>0</v>
      </c>
      <c r="Z191" s="13">
        <f t="shared" si="78"/>
        <v>0</v>
      </c>
      <c r="AA191" s="13">
        <f t="shared" si="78"/>
        <v>0</v>
      </c>
      <c r="AB191" s="13">
        <f t="shared" si="78"/>
        <v>0</v>
      </c>
      <c r="AC191" s="13">
        <f t="shared" si="78"/>
        <v>0</v>
      </c>
      <c r="AD191" s="13">
        <f t="shared" si="78"/>
        <v>0</v>
      </c>
      <c r="AE191" s="13">
        <f t="shared" si="78"/>
        <v>0</v>
      </c>
      <c r="AF191" s="154"/>
      <c r="AG191" s="15"/>
      <c r="AH191" s="15"/>
      <c r="AI191" s="15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</row>
    <row r="192" spans="1:62" ht="18.75" x14ac:dyDescent="0.3">
      <c r="A192" s="22" t="s">
        <v>26</v>
      </c>
      <c r="B192" s="28">
        <f>H192+J192+L192+N192+P192+R192+T192+V192+X192+Z192+AB192+AD192</f>
        <v>0</v>
      </c>
      <c r="C192" s="29">
        <f>H192</f>
        <v>0</v>
      </c>
      <c r="D192" s="29"/>
      <c r="E192" s="28">
        <f>I192+K192+M192+O192+Q192+S192+U192+W192+Y192+AA192+AC192+AE192</f>
        <v>0</v>
      </c>
      <c r="F192" s="120">
        <f>IFERROR(E192/B192*100,0)</f>
        <v>0</v>
      </c>
      <c r="G192" s="120">
        <f>IFERROR(E192/C192*100,0)</f>
        <v>0</v>
      </c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54"/>
      <c r="AG192" s="15"/>
      <c r="AH192" s="15"/>
      <c r="AI192" s="15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</row>
    <row r="193" spans="1:62" ht="18.75" x14ac:dyDescent="0.3">
      <c r="A193" s="22" t="s">
        <v>27</v>
      </c>
      <c r="B193" s="28">
        <f>H193+J193+L193+N193+P193+R193+T193+V193+X193+Z193+AB193+AD193</f>
        <v>100</v>
      </c>
      <c r="C193" s="29">
        <f>H193+N193</f>
        <v>100</v>
      </c>
      <c r="D193" s="29">
        <f>E193</f>
        <v>100</v>
      </c>
      <c r="E193" s="28">
        <f>I193+K193+M193+O193+Q193+S193+U193+W193+Y193+AA193+AC193+AE193</f>
        <v>100</v>
      </c>
      <c r="F193" s="120">
        <f>IFERROR(E193/B193*100,0)</f>
        <v>100</v>
      </c>
      <c r="G193" s="120">
        <f>IFERROR(E193/C193*100,0)</f>
        <v>100</v>
      </c>
      <c r="H193" s="13"/>
      <c r="I193" s="13"/>
      <c r="J193" s="23"/>
      <c r="K193" s="23"/>
      <c r="L193" s="13"/>
      <c r="M193" s="13"/>
      <c r="N193" s="13">
        <v>100</v>
      </c>
      <c r="O193" s="13">
        <v>100</v>
      </c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55"/>
      <c r="AG193" s="15"/>
      <c r="AH193" s="15"/>
      <c r="AI193" s="15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</row>
    <row r="194" spans="1:62" ht="18.75" x14ac:dyDescent="0.3">
      <c r="A194" s="22" t="s">
        <v>28</v>
      </c>
      <c r="B194" s="28">
        <f>H194+J194+L194+N194+P194+R194+T194+V194+X194+Z194+AB194+AD194</f>
        <v>0</v>
      </c>
      <c r="C194" s="29">
        <f>H194</f>
        <v>0</v>
      </c>
      <c r="D194" s="29"/>
      <c r="E194" s="28">
        <f>I194+K194+M194+O194+Q194+S194+U194+W194+Y194+AA194+AC194+AE194</f>
        <v>0</v>
      </c>
      <c r="F194" s="120">
        <f>IFERROR(E194/B194*100,0)</f>
        <v>0</v>
      </c>
      <c r="G194" s="120">
        <f>IFERROR(E194/C194*100,0)</f>
        <v>0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36"/>
      <c r="AG194" s="15"/>
      <c r="AH194" s="15"/>
      <c r="AI194" s="15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</row>
    <row r="195" spans="1:62" ht="18.75" x14ac:dyDescent="0.3">
      <c r="A195" s="22" t="s">
        <v>29</v>
      </c>
      <c r="B195" s="28">
        <f>H195+J195+L195+N195+P195+R195+T195+V195+X195+Z195+AB195+AD195</f>
        <v>0</v>
      </c>
      <c r="C195" s="29">
        <f>H195</f>
        <v>0</v>
      </c>
      <c r="D195" s="29"/>
      <c r="E195" s="28">
        <f>I195+K195+M195+O195+Q195+S195+U195+W195+Y195+AA195+AC195+AE195</f>
        <v>0</v>
      </c>
      <c r="F195" s="120">
        <f>IFERROR(E195/B195*100,0)</f>
        <v>0</v>
      </c>
      <c r="G195" s="120">
        <f>IFERROR(E195/C195*100,0)</f>
        <v>0</v>
      </c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36"/>
      <c r="AG195" s="15"/>
      <c r="AH195" s="15"/>
      <c r="AI195" s="15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</row>
    <row r="196" spans="1:62" ht="20.25" x14ac:dyDescent="0.25">
      <c r="A196" s="141" t="s">
        <v>78</v>
      </c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3"/>
      <c r="AF196" s="36"/>
      <c r="AG196" s="15"/>
      <c r="AH196" s="15"/>
      <c r="AI196" s="15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</row>
    <row r="197" spans="1:62" ht="18.75" x14ac:dyDescent="0.3">
      <c r="A197" s="19" t="s">
        <v>25</v>
      </c>
      <c r="B197" s="13">
        <f>H197+J197+L197+N197+P197+R197+T197+V197+X197+Z197+AB197+AD197</f>
        <v>4042.1000000000004</v>
      </c>
      <c r="C197" s="13">
        <f>C198+C199+C200+C201</f>
        <v>4007.1000000000004</v>
      </c>
      <c r="D197" s="13">
        <f>D198+D199+D200+D201</f>
        <v>3929.3999999999996</v>
      </c>
      <c r="E197" s="13">
        <f>E198+E199+E200+E201</f>
        <v>3929.3999999999996</v>
      </c>
      <c r="F197" s="26">
        <f>E197/B197*100</f>
        <v>97.211845327923584</v>
      </c>
      <c r="G197" s="26">
        <f>E197/C197*100</f>
        <v>98.060941828254826</v>
      </c>
      <c r="H197" s="13">
        <f>H198+H199+H200+H201</f>
        <v>0</v>
      </c>
      <c r="I197" s="13">
        <f t="shared" ref="I197:AE197" si="79">I198+I199+I200+I201</f>
        <v>0</v>
      </c>
      <c r="J197" s="13">
        <f t="shared" si="79"/>
        <v>378.1</v>
      </c>
      <c r="K197" s="13">
        <f t="shared" si="79"/>
        <v>260.60000000000002</v>
      </c>
      <c r="L197" s="13">
        <f t="shared" si="79"/>
        <v>112.30000000000001</v>
      </c>
      <c r="M197" s="13">
        <f t="shared" si="79"/>
        <v>57.199999999999996</v>
      </c>
      <c r="N197" s="13">
        <f t="shared" si="79"/>
        <v>80</v>
      </c>
      <c r="O197" s="13">
        <f t="shared" si="79"/>
        <v>307.5</v>
      </c>
      <c r="P197" s="13">
        <f t="shared" si="79"/>
        <v>500</v>
      </c>
      <c r="Q197" s="13">
        <f t="shared" si="79"/>
        <v>0</v>
      </c>
      <c r="R197" s="13">
        <f t="shared" si="79"/>
        <v>0</v>
      </c>
      <c r="S197" s="13">
        <f t="shared" si="79"/>
        <v>75</v>
      </c>
      <c r="T197" s="13">
        <f t="shared" si="79"/>
        <v>0</v>
      </c>
      <c r="U197" s="13">
        <f t="shared" si="79"/>
        <v>0</v>
      </c>
      <c r="V197" s="13">
        <f t="shared" si="79"/>
        <v>0</v>
      </c>
      <c r="W197" s="13">
        <f t="shared" si="79"/>
        <v>0</v>
      </c>
      <c r="X197" s="13">
        <f t="shared" si="79"/>
        <v>90.6</v>
      </c>
      <c r="Y197" s="13">
        <f t="shared" si="79"/>
        <v>250</v>
      </c>
      <c r="Z197" s="13">
        <f t="shared" si="79"/>
        <v>145.80000000000001</v>
      </c>
      <c r="AA197" s="13">
        <f t="shared" si="79"/>
        <v>2964.1</v>
      </c>
      <c r="AB197" s="13">
        <f t="shared" si="79"/>
        <v>2700.3</v>
      </c>
      <c r="AC197" s="13">
        <f t="shared" si="79"/>
        <v>15</v>
      </c>
      <c r="AD197" s="13">
        <f t="shared" si="79"/>
        <v>35</v>
      </c>
      <c r="AE197" s="13">
        <f t="shared" si="79"/>
        <v>0</v>
      </c>
      <c r="AF197" s="36"/>
      <c r="AG197" s="15"/>
      <c r="AH197" s="15"/>
      <c r="AI197" s="15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</row>
    <row r="198" spans="1:62" ht="18.75" x14ac:dyDescent="0.3">
      <c r="A198" s="22" t="s">
        <v>26</v>
      </c>
      <c r="B198" s="29">
        <f t="shared" ref="B198:E201" si="80">B204+B210+B216+B222</f>
        <v>0</v>
      </c>
      <c r="C198" s="29">
        <f t="shared" si="80"/>
        <v>0</v>
      </c>
      <c r="D198" s="29">
        <f t="shared" si="80"/>
        <v>0</v>
      </c>
      <c r="E198" s="29">
        <f t="shared" si="80"/>
        <v>0</v>
      </c>
      <c r="F198" s="120">
        <f>IFERROR(E198/B198*100,0)</f>
        <v>0</v>
      </c>
      <c r="G198" s="120">
        <f>IFERROR(E198/C198*100,0)</f>
        <v>0</v>
      </c>
      <c r="H198" s="29">
        <f>H204+H210+H216+H222</f>
        <v>0</v>
      </c>
      <c r="I198" s="29">
        <f t="shared" ref="I198:AE201" si="81">I204+I210+I216+I222</f>
        <v>0</v>
      </c>
      <c r="J198" s="29">
        <f t="shared" si="81"/>
        <v>0</v>
      </c>
      <c r="K198" s="29">
        <f t="shared" si="81"/>
        <v>0</v>
      </c>
      <c r="L198" s="29">
        <f t="shared" si="81"/>
        <v>0</v>
      </c>
      <c r="M198" s="29">
        <f t="shared" si="81"/>
        <v>0</v>
      </c>
      <c r="N198" s="29">
        <f t="shared" si="81"/>
        <v>0</v>
      </c>
      <c r="O198" s="29">
        <f t="shared" si="81"/>
        <v>0</v>
      </c>
      <c r="P198" s="29">
        <f t="shared" si="81"/>
        <v>0</v>
      </c>
      <c r="Q198" s="29">
        <f t="shared" si="81"/>
        <v>0</v>
      </c>
      <c r="R198" s="29">
        <f t="shared" si="81"/>
        <v>0</v>
      </c>
      <c r="S198" s="29">
        <f t="shared" si="81"/>
        <v>0</v>
      </c>
      <c r="T198" s="29">
        <f t="shared" si="81"/>
        <v>0</v>
      </c>
      <c r="U198" s="29">
        <f t="shared" si="81"/>
        <v>0</v>
      </c>
      <c r="V198" s="29">
        <f t="shared" si="81"/>
        <v>0</v>
      </c>
      <c r="W198" s="29">
        <f t="shared" si="81"/>
        <v>0</v>
      </c>
      <c r="X198" s="29">
        <f t="shared" si="81"/>
        <v>0</v>
      </c>
      <c r="Y198" s="29">
        <f t="shared" si="81"/>
        <v>0</v>
      </c>
      <c r="Z198" s="29">
        <f t="shared" si="81"/>
        <v>0</v>
      </c>
      <c r="AA198" s="29">
        <f t="shared" si="81"/>
        <v>0</v>
      </c>
      <c r="AB198" s="29">
        <f t="shared" si="81"/>
        <v>0</v>
      </c>
      <c r="AC198" s="29">
        <f t="shared" si="81"/>
        <v>0</v>
      </c>
      <c r="AD198" s="29">
        <f t="shared" si="81"/>
        <v>0</v>
      </c>
      <c r="AE198" s="29">
        <f t="shared" si="81"/>
        <v>0</v>
      </c>
      <c r="AF198" s="36"/>
      <c r="AG198" s="15"/>
      <c r="AH198" s="15"/>
      <c r="AI198" s="15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</row>
    <row r="199" spans="1:62" ht="18.75" x14ac:dyDescent="0.3">
      <c r="A199" s="22" t="s">
        <v>27</v>
      </c>
      <c r="B199" s="29">
        <f t="shared" si="80"/>
        <v>4042.1000000000004</v>
      </c>
      <c r="C199" s="29">
        <f t="shared" si="80"/>
        <v>4007.1000000000004</v>
      </c>
      <c r="D199" s="29">
        <f t="shared" si="80"/>
        <v>3929.3999999999996</v>
      </c>
      <c r="E199" s="29">
        <f t="shared" si="80"/>
        <v>3929.3999999999996</v>
      </c>
      <c r="F199" s="25">
        <f>E199/B199*100</f>
        <v>97.211845327923584</v>
      </c>
      <c r="G199" s="25">
        <f>E199/C199*100</f>
        <v>98.060941828254826</v>
      </c>
      <c r="H199" s="29">
        <f>H205+H211+H217+H223</f>
        <v>0</v>
      </c>
      <c r="I199" s="29">
        <f t="shared" si="81"/>
        <v>0</v>
      </c>
      <c r="J199" s="29">
        <f t="shared" si="81"/>
        <v>378.1</v>
      </c>
      <c r="K199" s="29">
        <f t="shared" si="81"/>
        <v>260.60000000000002</v>
      </c>
      <c r="L199" s="29">
        <f t="shared" si="81"/>
        <v>112.30000000000001</v>
      </c>
      <c r="M199" s="29">
        <f t="shared" si="81"/>
        <v>57.199999999999996</v>
      </c>
      <c r="N199" s="29">
        <f t="shared" si="81"/>
        <v>80</v>
      </c>
      <c r="O199" s="29">
        <f t="shared" si="81"/>
        <v>307.5</v>
      </c>
      <c r="P199" s="29">
        <f t="shared" si="81"/>
        <v>500</v>
      </c>
      <c r="Q199" s="29">
        <f t="shared" si="81"/>
        <v>0</v>
      </c>
      <c r="R199" s="29">
        <f t="shared" si="81"/>
        <v>0</v>
      </c>
      <c r="S199" s="29">
        <f t="shared" si="81"/>
        <v>75</v>
      </c>
      <c r="T199" s="29">
        <f t="shared" si="81"/>
        <v>0</v>
      </c>
      <c r="U199" s="29">
        <f t="shared" si="81"/>
        <v>0</v>
      </c>
      <c r="V199" s="29">
        <f t="shared" si="81"/>
        <v>0</v>
      </c>
      <c r="W199" s="29">
        <f t="shared" si="81"/>
        <v>0</v>
      </c>
      <c r="X199" s="29">
        <f t="shared" si="81"/>
        <v>90.6</v>
      </c>
      <c r="Y199" s="29">
        <f t="shared" si="81"/>
        <v>250</v>
      </c>
      <c r="Z199" s="29">
        <f t="shared" si="81"/>
        <v>145.80000000000001</v>
      </c>
      <c r="AA199" s="29">
        <f t="shared" si="81"/>
        <v>2964.1</v>
      </c>
      <c r="AB199" s="29">
        <f t="shared" si="81"/>
        <v>2700.3</v>
      </c>
      <c r="AC199" s="29">
        <f t="shared" si="81"/>
        <v>15</v>
      </c>
      <c r="AD199" s="29">
        <f t="shared" si="81"/>
        <v>35</v>
      </c>
      <c r="AE199" s="29">
        <f t="shared" si="81"/>
        <v>0</v>
      </c>
      <c r="AF199" s="36"/>
      <c r="AG199" s="15"/>
      <c r="AH199" s="15"/>
      <c r="AI199" s="15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</row>
    <row r="200" spans="1:62" ht="18.75" x14ac:dyDescent="0.3">
      <c r="A200" s="22" t="s">
        <v>28</v>
      </c>
      <c r="B200" s="29">
        <f t="shared" si="80"/>
        <v>0</v>
      </c>
      <c r="C200" s="29">
        <f t="shared" si="80"/>
        <v>0</v>
      </c>
      <c r="D200" s="29">
        <f t="shared" si="80"/>
        <v>0</v>
      </c>
      <c r="E200" s="29">
        <f t="shared" si="80"/>
        <v>0</v>
      </c>
      <c r="F200" s="126"/>
      <c r="G200" s="126"/>
      <c r="H200" s="29">
        <f>H206+H212+H218+H224</f>
        <v>0</v>
      </c>
      <c r="I200" s="29">
        <f t="shared" si="81"/>
        <v>0</v>
      </c>
      <c r="J200" s="29">
        <f t="shared" si="81"/>
        <v>0</v>
      </c>
      <c r="K200" s="29">
        <f t="shared" si="81"/>
        <v>0</v>
      </c>
      <c r="L200" s="29">
        <f t="shared" si="81"/>
        <v>0</v>
      </c>
      <c r="M200" s="29">
        <f t="shared" si="81"/>
        <v>0</v>
      </c>
      <c r="N200" s="29">
        <f t="shared" si="81"/>
        <v>0</v>
      </c>
      <c r="O200" s="29">
        <f t="shared" si="81"/>
        <v>0</v>
      </c>
      <c r="P200" s="29">
        <f t="shared" si="81"/>
        <v>0</v>
      </c>
      <c r="Q200" s="29">
        <f t="shared" si="81"/>
        <v>0</v>
      </c>
      <c r="R200" s="29">
        <f t="shared" si="81"/>
        <v>0</v>
      </c>
      <c r="S200" s="29">
        <f t="shared" si="81"/>
        <v>0</v>
      </c>
      <c r="T200" s="29">
        <f t="shared" si="81"/>
        <v>0</v>
      </c>
      <c r="U200" s="29">
        <f t="shared" si="81"/>
        <v>0</v>
      </c>
      <c r="V200" s="29">
        <f t="shared" si="81"/>
        <v>0</v>
      </c>
      <c r="W200" s="29">
        <f t="shared" si="81"/>
        <v>0</v>
      </c>
      <c r="X200" s="29">
        <f t="shared" si="81"/>
        <v>0</v>
      </c>
      <c r="Y200" s="29">
        <f t="shared" si="81"/>
        <v>0</v>
      </c>
      <c r="Z200" s="29">
        <f t="shared" si="81"/>
        <v>0</v>
      </c>
      <c r="AA200" s="29">
        <f t="shared" si="81"/>
        <v>0</v>
      </c>
      <c r="AB200" s="29">
        <f t="shared" si="81"/>
        <v>0</v>
      </c>
      <c r="AC200" s="29">
        <f t="shared" si="81"/>
        <v>0</v>
      </c>
      <c r="AD200" s="29">
        <f t="shared" si="81"/>
        <v>0</v>
      </c>
      <c r="AE200" s="29">
        <f t="shared" si="81"/>
        <v>0</v>
      </c>
      <c r="AF200" s="36"/>
      <c r="AG200" s="15"/>
      <c r="AH200" s="15"/>
      <c r="AI200" s="15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</row>
    <row r="201" spans="1:62" ht="18.75" x14ac:dyDescent="0.3">
      <c r="A201" s="22" t="s">
        <v>29</v>
      </c>
      <c r="B201" s="29">
        <f t="shared" si="80"/>
        <v>0</v>
      </c>
      <c r="C201" s="29">
        <f t="shared" si="80"/>
        <v>0</v>
      </c>
      <c r="D201" s="29">
        <f t="shared" si="80"/>
        <v>0</v>
      </c>
      <c r="E201" s="29">
        <f t="shared" si="80"/>
        <v>0</v>
      </c>
      <c r="F201" s="44"/>
      <c r="G201" s="44"/>
      <c r="H201" s="29">
        <f>H207+H213+H219+H225</f>
        <v>0</v>
      </c>
      <c r="I201" s="29">
        <f t="shared" si="81"/>
        <v>0</v>
      </c>
      <c r="J201" s="29">
        <f t="shared" si="81"/>
        <v>0</v>
      </c>
      <c r="K201" s="29">
        <f t="shared" si="81"/>
        <v>0</v>
      </c>
      <c r="L201" s="29">
        <f t="shared" si="81"/>
        <v>0</v>
      </c>
      <c r="M201" s="29">
        <f t="shared" si="81"/>
        <v>0</v>
      </c>
      <c r="N201" s="29">
        <f t="shared" si="81"/>
        <v>0</v>
      </c>
      <c r="O201" s="29">
        <f t="shared" si="81"/>
        <v>0</v>
      </c>
      <c r="P201" s="29">
        <f t="shared" si="81"/>
        <v>0</v>
      </c>
      <c r="Q201" s="29">
        <f t="shared" si="81"/>
        <v>0</v>
      </c>
      <c r="R201" s="29">
        <f t="shared" si="81"/>
        <v>0</v>
      </c>
      <c r="S201" s="29">
        <f t="shared" si="81"/>
        <v>0</v>
      </c>
      <c r="T201" s="29">
        <f t="shared" si="81"/>
        <v>0</v>
      </c>
      <c r="U201" s="29">
        <f t="shared" si="81"/>
        <v>0</v>
      </c>
      <c r="V201" s="29">
        <f t="shared" si="81"/>
        <v>0</v>
      </c>
      <c r="W201" s="29">
        <f t="shared" si="81"/>
        <v>0</v>
      </c>
      <c r="X201" s="29">
        <f t="shared" si="81"/>
        <v>0</v>
      </c>
      <c r="Y201" s="29">
        <f t="shared" si="81"/>
        <v>0</v>
      </c>
      <c r="Z201" s="29">
        <f t="shared" si="81"/>
        <v>0</v>
      </c>
      <c r="AA201" s="29">
        <f t="shared" si="81"/>
        <v>0</v>
      </c>
      <c r="AB201" s="29">
        <f t="shared" si="81"/>
        <v>0</v>
      </c>
      <c r="AC201" s="29">
        <f t="shared" si="81"/>
        <v>0</v>
      </c>
      <c r="AD201" s="29">
        <f t="shared" si="81"/>
        <v>0</v>
      </c>
      <c r="AE201" s="29">
        <f t="shared" si="81"/>
        <v>0</v>
      </c>
      <c r="AF201" s="36"/>
      <c r="AG201" s="15"/>
      <c r="AH201" s="15"/>
      <c r="AI201" s="15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</row>
    <row r="202" spans="1:62" ht="18.75" x14ac:dyDescent="0.25">
      <c r="A202" s="156" t="s">
        <v>81</v>
      </c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8"/>
      <c r="AF202" s="153" t="s">
        <v>114</v>
      </c>
      <c r="AG202" s="15"/>
      <c r="AH202" s="15"/>
      <c r="AI202" s="15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</row>
    <row r="203" spans="1:62" ht="18.75" x14ac:dyDescent="0.3">
      <c r="A203" s="19" t="s">
        <v>25</v>
      </c>
      <c r="B203" s="27">
        <f>H203+J203+L203+N203+P203+R203+T203+V203+X203+Z203+AB203+AD203</f>
        <v>1158.1000000000001</v>
      </c>
      <c r="C203" s="27">
        <f>C204+C205+C206+C207</f>
        <v>1158.1000000000001</v>
      </c>
      <c r="D203" s="27">
        <f>D204+D205+D206+D207</f>
        <v>1083.5999999999999</v>
      </c>
      <c r="E203" s="27">
        <f>E204+E205+E206+E207</f>
        <v>1083.5999999999999</v>
      </c>
      <c r="F203" s="26">
        <f>E203/B203*100</f>
        <v>93.56704947759259</v>
      </c>
      <c r="G203" s="26">
        <f>E203/C203*100</f>
        <v>93.56704947759259</v>
      </c>
      <c r="H203" s="13">
        <f t="shared" ref="H203:AE203" si="82">H204+H205+H206+H207</f>
        <v>0</v>
      </c>
      <c r="I203" s="13">
        <f t="shared" si="82"/>
        <v>0</v>
      </c>
      <c r="J203" s="13">
        <f t="shared" si="82"/>
        <v>377.1</v>
      </c>
      <c r="K203" s="13">
        <f t="shared" si="82"/>
        <v>259.60000000000002</v>
      </c>
      <c r="L203" s="13">
        <f t="shared" si="82"/>
        <v>44.6</v>
      </c>
      <c r="M203" s="13">
        <f t="shared" si="82"/>
        <v>8.4</v>
      </c>
      <c r="N203" s="13">
        <f t="shared" si="82"/>
        <v>0</v>
      </c>
      <c r="O203" s="13">
        <f t="shared" si="82"/>
        <v>307.5</v>
      </c>
      <c r="P203" s="13">
        <f t="shared" si="82"/>
        <v>500</v>
      </c>
      <c r="Q203" s="13">
        <f t="shared" si="82"/>
        <v>0</v>
      </c>
      <c r="R203" s="13">
        <f t="shared" si="82"/>
        <v>0</v>
      </c>
      <c r="S203" s="13">
        <f t="shared" si="82"/>
        <v>75</v>
      </c>
      <c r="T203" s="13">
        <f t="shared" si="82"/>
        <v>0</v>
      </c>
      <c r="U203" s="13">
        <f t="shared" si="82"/>
        <v>0</v>
      </c>
      <c r="V203" s="13">
        <f t="shared" si="82"/>
        <v>0</v>
      </c>
      <c r="W203" s="13">
        <f t="shared" si="82"/>
        <v>0</v>
      </c>
      <c r="X203" s="13">
        <f t="shared" si="82"/>
        <v>90.6</v>
      </c>
      <c r="Y203" s="13">
        <f t="shared" si="82"/>
        <v>250</v>
      </c>
      <c r="Z203" s="13">
        <f t="shared" si="82"/>
        <v>145.80000000000001</v>
      </c>
      <c r="AA203" s="13">
        <f t="shared" si="82"/>
        <v>183.1</v>
      </c>
      <c r="AB203" s="13">
        <f t="shared" si="82"/>
        <v>0</v>
      </c>
      <c r="AC203" s="13">
        <f t="shared" si="82"/>
        <v>0</v>
      </c>
      <c r="AD203" s="13">
        <f t="shared" si="82"/>
        <v>0</v>
      </c>
      <c r="AE203" s="13">
        <f t="shared" si="82"/>
        <v>0</v>
      </c>
      <c r="AF203" s="154"/>
      <c r="AG203" s="15"/>
      <c r="AH203" s="15"/>
      <c r="AI203" s="15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</row>
    <row r="204" spans="1:62" ht="18.75" x14ac:dyDescent="0.3">
      <c r="A204" s="22" t="s">
        <v>26</v>
      </c>
      <c r="B204" s="28">
        <f>H204+J204+L204+N204+P204+R204+T204+V204+X204+Z204+AB204+AD204</f>
        <v>0</v>
      </c>
      <c r="C204" s="29">
        <f>H204</f>
        <v>0</v>
      </c>
      <c r="D204" s="29"/>
      <c r="E204" s="28">
        <f>I204+K204+M204+O204+Q204+S204+U204+W204+Y204+AA204+AC204+AE204</f>
        <v>0</v>
      </c>
      <c r="F204" s="120">
        <f>IFERROR(E204/B204*100,0)</f>
        <v>0</v>
      </c>
      <c r="G204" s="120">
        <f>IFERROR(E204/C204*100,0)</f>
        <v>0</v>
      </c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54"/>
      <c r="AG204" s="15"/>
      <c r="AH204" s="15"/>
      <c r="AI204" s="15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</row>
    <row r="205" spans="1:62" ht="18.75" x14ac:dyDescent="0.3">
      <c r="A205" s="22" t="s">
        <v>27</v>
      </c>
      <c r="B205" s="28">
        <f>H205+J205+L205+N205+P205+R205+T205+V205+X205+Z205+AB205+AD205</f>
        <v>1158.1000000000001</v>
      </c>
      <c r="C205" s="29">
        <f>H205+J205+L205+N205+P205+R205+T205+X205+Z205</f>
        <v>1158.1000000000001</v>
      </c>
      <c r="D205" s="29">
        <f>E205</f>
        <v>1083.5999999999999</v>
      </c>
      <c r="E205" s="28">
        <f>I205+K205+M205+O205+Q205+S205+U205+W205+Y205+AA205+AC205+AE205</f>
        <v>1083.5999999999999</v>
      </c>
      <c r="F205" s="120">
        <f>IFERROR(E205/B205*100,0)</f>
        <v>93.56704947759259</v>
      </c>
      <c r="G205" s="120">
        <f>IFERROR(E205/C205*100,0)</f>
        <v>93.56704947759259</v>
      </c>
      <c r="H205" s="13"/>
      <c r="I205" s="13"/>
      <c r="J205" s="23">
        <v>377.1</v>
      </c>
      <c r="K205" s="23">
        <v>259.60000000000002</v>
      </c>
      <c r="L205" s="23">
        <v>44.6</v>
      </c>
      <c r="M205" s="23">
        <v>8.4</v>
      </c>
      <c r="N205" s="23"/>
      <c r="O205" s="23">
        <v>307.5</v>
      </c>
      <c r="P205" s="23">
        <v>500</v>
      </c>
      <c r="Q205" s="23"/>
      <c r="R205" s="23"/>
      <c r="S205" s="23">
        <v>75</v>
      </c>
      <c r="T205" s="23"/>
      <c r="U205" s="23"/>
      <c r="V205" s="23"/>
      <c r="W205" s="23"/>
      <c r="X205" s="23">
        <v>90.6</v>
      </c>
      <c r="Y205" s="23">
        <v>250</v>
      </c>
      <c r="Z205" s="23">
        <f>212.8-82.4+15.4</f>
        <v>145.80000000000001</v>
      </c>
      <c r="AA205" s="23">
        <v>183.1</v>
      </c>
      <c r="AB205" s="23"/>
      <c r="AC205" s="23"/>
      <c r="AD205" s="23"/>
      <c r="AE205" s="23"/>
      <c r="AF205" s="154"/>
      <c r="AG205" s="15"/>
      <c r="AH205" s="15"/>
      <c r="AI205" s="15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</row>
    <row r="206" spans="1:62" ht="18.75" x14ac:dyDescent="0.3">
      <c r="A206" s="22" t="s">
        <v>28</v>
      </c>
      <c r="B206" s="28">
        <f>H206+J206+L206+N206+P206+R206+T206+V206+X206+Z206+AB206+AD206</f>
        <v>0</v>
      </c>
      <c r="C206" s="29">
        <f>H206</f>
        <v>0</v>
      </c>
      <c r="D206" s="29"/>
      <c r="E206" s="28">
        <f>I206+K206+M206+O206+Q206+S206+U206+W206+Y206+AA206+AC206+AE206</f>
        <v>0</v>
      </c>
      <c r="F206" s="120">
        <f>IFERROR(E206/B206*100,0)</f>
        <v>0</v>
      </c>
      <c r="G206" s="120">
        <f>IFERROR(E206/C206*100,0)</f>
        <v>0</v>
      </c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54"/>
      <c r="AG206" s="15"/>
      <c r="AH206" s="15"/>
      <c r="AI206" s="15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</row>
    <row r="207" spans="1:62" ht="18.75" x14ac:dyDescent="0.3">
      <c r="A207" s="22" t="s">
        <v>29</v>
      </c>
      <c r="B207" s="28">
        <f>H207+J207+L207+N207+P207+R207+T207+V207+X207+Z207+AB207+AD207</f>
        <v>0</v>
      </c>
      <c r="C207" s="29">
        <f>H207</f>
        <v>0</v>
      </c>
      <c r="D207" s="29"/>
      <c r="E207" s="28">
        <f>I207+K207+M207+O207+Q207+S207+U207+W207+Y207+AA207+AC207+AE207</f>
        <v>0</v>
      </c>
      <c r="F207" s="120">
        <f>IFERROR(E207/B207*100,0)</f>
        <v>0</v>
      </c>
      <c r="G207" s="120">
        <f>IFERROR(E207/C207*100,0)</f>
        <v>0</v>
      </c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55"/>
      <c r="AG207" s="15"/>
      <c r="AH207" s="15"/>
      <c r="AI207" s="15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</row>
    <row r="208" spans="1:62" ht="18.75" x14ac:dyDescent="0.25">
      <c r="A208" s="156" t="s">
        <v>82</v>
      </c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8"/>
      <c r="AF208" s="36"/>
      <c r="AG208" s="15"/>
      <c r="AH208" s="15"/>
      <c r="AI208" s="15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</row>
    <row r="209" spans="1:62" ht="18.75" x14ac:dyDescent="0.3">
      <c r="A209" s="19" t="s">
        <v>25</v>
      </c>
      <c r="B209" s="27">
        <f>H209+J209+L209+N209+P209+R209+T209+V209+X209+Z209+AB209+AD209</f>
        <v>151</v>
      </c>
      <c r="C209" s="27">
        <f>C210+C211+C212+C213</f>
        <v>151</v>
      </c>
      <c r="D209" s="27">
        <f>D210+D211+D212+D213</f>
        <v>147.80000000000001</v>
      </c>
      <c r="E209" s="27">
        <f>E210+E211+E212+E213</f>
        <v>147.80000000000001</v>
      </c>
      <c r="F209" s="26">
        <f>E209/B209*100</f>
        <v>97.880794701986758</v>
      </c>
      <c r="G209" s="26">
        <f>E209/C209*100</f>
        <v>97.880794701986758</v>
      </c>
      <c r="H209" s="13">
        <f>H210+H211+H212+H213</f>
        <v>0</v>
      </c>
      <c r="I209" s="13">
        <f t="shared" ref="I209:AE209" si="83">I210+I211+I212+I213</f>
        <v>0</v>
      </c>
      <c r="J209" s="13">
        <f t="shared" si="83"/>
        <v>1</v>
      </c>
      <c r="K209" s="13">
        <f t="shared" si="83"/>
        <v>1</v>
      </c>
      <c r="L209" s="13">
        <f t="shared" si="83"/>
        <v>67.7</v>
      </c>
      <c r="M209" s="13">
        <f t="shared" si="83"/>
        <v>48.8</v>
      </c>
      <c r="N209" s="13">
        <f t="shared" si="83"/>
        <v>80</v>
      </c>
      <c r="O209" s="13">
        <f t="shared" si="83"/>
        <v>0</v>
      </c>
      <c r="P209" s="13">
        <f t="shared" si="83"/>
        <v>0</v>
      </c>
      <c r="Q209" s="13">
        <f t="shared" si="83"/>
        <v>0</v>
      </c>
      <c r="R209" s="13">
        <f t="shared" si="83"/>
        <v>0</v>
      </c>
      <c r="S209" s="13">
        <f t="shared" si="83"/>
        <v>0</v>
      </c>
      <c r="T209" s="13">
        <f t="shared" si="83"/>
        <v>0</v>
      </c>
      <c r="U209" s="13">
        <f t="shared" si="83"/>
        <v>0</v>
      </c>
      <c r="V209" s="13">
        <f t="shared" si="83"/>
        <v>0</v>
      </c>
      <c r="W209" s="13">
        <f t="shared" si="83"/>
        <v>0</v>
      </c>
      <c r="X209" s="13">
        <f t="shared" si="83"/>
        <v>0</v>
      </c>
      <c r="Y209" s="13">
        <f t="shared" si="83"/>
        <v>0</v>
      </c>
      <c r="Z209" s="13">
        <f t="shared" si="83"/>
        <v>0</v>
      </c>
      <c r="AA209" s="13">
        <f t="shared" si="83"/>
        <v>98</v>
      </c>
      <c r="AB209" s="13">
        <f t="shared" si="83"/>
        <v>2.2999999999999998</v>
      </c>
      <c r="AC209" s="13">
        <f t="shared" si="83"/>
        <v>0</v>
      </c>
      <c r="AD209" s="13">
        <f t="shared" si="83"/>
        <v>0</v>
      </c>
      <c r="AE209" s="13">
        <f t="shared" si="83"/>
        <v>0</v>
      </c>
      <c r="AF209" s="36"/>
      <c r="AG209" s="15"/>
      <c r="AH209" s="15"/>
      <c r="AI209" s="15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</row>
    <row r="210" spans="1:62" ht="18.75" x14ac:dyDescent="0.3">
      <c r="A210" s="22" t="s">
        <v>26</v>
      </c>
      <c r="B210" s="28">
        <f>H210+J210+L210+N210+P210+R210+T210+V210+X210+Z210+AB210+AD210</f>
        <v>0</v>
      </c>
      <c r="C210" s="29">
        <f>H210</f>
        <v>0</v>
      </c>
      <c r="D210" s="29">
        <f>E210</f>
        <v>0</v>
      </c>
      <c r="E210" s="28">
        <f>I210+K210+M210+O210+Q210+S210+U210+W210+Y210+AA210+AC210+AE210</f>
        <v>0</v>
      </c>
      <c r="F210" s="120">
        <f>IFERROR(E210/B210*100,0)</f>
        <v>0</v>
      </c>
      <c r="G210" s="120">
        <f>IFERROR(E210/C210*100,0)</f>
        <v>0</v>
      </c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36"/>
      <c r="AG210" s="15"/>
      <c r="AH210" s="15"/>
      <c r="AI210" s="15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</row>
    <row r="211" spans="1:62" ht="18.75" x14ac:dyDescent="0.3">
      <c r="A211" s="22" t="s">
        <v>27</v>
      </c>
      <c r="B211" s="28">
        <f>H211+J211+L211+N211+P211+R211+T211+V211+X211+Z211+AB211+AD211</f>
        <v>151</v>
      </c>
      <c r="C211" s="29">
        <f>H211+J211+L211+N211+AB211</f>
        <v>151</v>
      </c>
      <c r="D211" s="29">
        <f>E211</f>
        <v>147.80000000000001</v>
      </c>
      <c r="E211" s="28">
        <f>I211+K211+M211+O211+Q211+S211+U211+W211+Y211+AA211+AC211+AE211</f>
        <v>147.80000000000001</v>
      </c>
      <c r="F211" s="120">
        <f>IFERROR(E211/B211*100,0)</f>
        <v>97.880794701986758</v>
      </c>
      <c r="G211" s="120">
        <f>IFERROR(E211/C211*100,0)</f>
        <v>97.880794701986758</v>
      </c>
      <c r="H211" s="13"/>
      <c r="I211" s="13"/>
      <c r="J211" s="13">
        <v>1</v>
      </c>
      <c r="K211" s="13">
        <v>1</v>
      </c>
      <c r="L211" s="23">
        <v>67.7</v>
      </c>
      <c r="M211" s="13">
        <v>48.8</v>
      </c>
      <c r="N211" s="13">
        <v>80</v>
      </c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>
        <v>98</v>
      </c>
      <c r="AB211" s="23">
        <v>2.2999999999999998</v>
      </c>
      <c r="AC211" s="13"/>
      <c r="AD211" s="13"/>
      <c r="AE211" s="13"/>
      <c r="AF211" s="36"/>
      <c r="AG211" s="15"/>
      <c r="AH211" s="15"/>
      <c r="AI211" s="15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</row>
    <row r="212" spans="1:62" ht="18.75" x14ac:dyDescent="0.3">
      <c r="A212" s="22" t="s">
        <v>28</v>
      </c>
      <c r="B212" s="28">
        <f>H212+J212+L212+N212+P212+R212+T212+V212+X212+Z212+AB212+AD212</f>
        <v>0</v>
      </c>
      <c r="C212" s="29">
        <f>H212</f>
        <v>0</v>
      </c>
      <c r="D212" s="29"/>
      <c r="E212" s="28">
        <f>I212+K212+M212+O212+Q212+S212+U212+W212+Y212+AA212+AC212+AE212</f>
        <v>0</v>
      </c>
      <c r="F212" s="120">
        <f>IFERROR(E212/B212*100,0)</f>
        <v>0</v>
      </c>
      <c r="G212" s="120">
        <f>IFERROR(E212/C212*100,0)</f>
        <v>0</v>
      </c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36"/>
      <c r="AG212" s="15"/>
      <c r="AH212" s="15"/>
      <c r="AI212" s="15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</row>
    <row r="213" spans="1:62" ht="18.75" x14ac:dyDescent="0.3">
      <c r="A213" s="22" t="s">
        <v>29</v>
      </c>
      <c r="B213" s="28">
        <f>H213+J213+L213+N213+P213+R213+T213+V213+X213+Z213+AB213+AD213</f>
        <v>0</v>
      </c>
      <c r="C213" s="29">
        <f>H213</f>
        <v>0</v>
      </c>
      <c r="D213" s="29"/>
      <c r="E213" s="28">
        <f>I213+K213+M213+O213+Q213+S213+U213+W213+Y213+AA213+AC213+AE213</f>
        <v>0</v>
      </c>
      <c r="F213" s="120">
        <f>IFERROR(E213/B213*100,0)</f>
        <v>0</v>
      </c>
      <c r="G213" s="120">
        <f>IFERROR(E213/C213*100,0)</f>
        <v>0</v>
      </c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36"/>
      <c r="AG213" s="15"/>
      <c r="AH213" s="15"/>
      <c r="AI213" s="15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</row>
    <row r="214" spans="1:62" ht="18.75" x14ac:dyDescent="0.25">
      <c r="A214" s="156" t="s">
        <v>83</v>
      </c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8"/>
      <c r="AF214" s="36"/>
      <c r="AG214" s="15"/>
      <c r="AH214" s="15"/>
      <c r="AI214" s="15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</row>
    <row r="215" spans="1:62" ht="18.75" x14ac:dyDescent="0.3">
      <c r="A215" s="19" t="s">
        <v>25</v>
      </c>
      <c r="B215" s="27">
        <f>H215+J215+L215+N215+P215+R215+T215+V215+X215+Z215+AB215+AD215</f>
        <v>50</v>
      </c>
      <c r="C215" s="27">
        <f>C216+C217+C218+C219</f>
        <v>15</v>
      </c>
      <c r="D215" s="27">
        <f>D216+D217+D218+D219</f>
        <v>15</v>
      </c>
      <c r="E215" s="27">
        <f>E216+E217+E218+E219</f>
        <v>15</v>
      </c>
      <c r="F215" s="121">
        <f>IFERROR(E215/B215*100,0)</f>
        <v>30</v>
      </c>
      <c r="G215" s="121">
        <f>IFERROR(E215/C215*100,0)</f>
        <v>100</v>
      </c>
      <c r="H215" s="13">
        <f>H216+H217+H218+H219</f>
        <v>0</v>
      </c>
      <c r="I215" s="13">
        <f t="shared" ref="I215:AE215" si="84">I216+I217+I218+I219</f>
        <v>0</v>
      </c>
      <c r="J215" s="13">
        <f t="shared" si="84"/>
        <v>0</v>
      </c>
      <c r="K215" s="13">
        <f t="shared" si="84"/>
        <v>0</v>
      </c>
      <c r="L215" s="13">
        <f t="shared" si="84"/>
        <v>0</v>
      </c>
      <c r="M215" s="13">
        <f t="shared" si="84"/>
        <v>0</v>
      </c>
      <c r="N215" s="13">
        <f t="shared" si="84"/>
        <v>0</v>
      </c>
      <c r="O215" s="13">
        <f t="shared" si="84"/>
        <v>0</v>
      </c>
      <c r="P215" s="13">
        <f t="shared" si="84"/>
        <v>0</v>
      </c>
      <c r="Q215" s="13">
        <f t="shared" si="84"/>
        <v>0</v>
      </c>
      <c r="R215" s="13">
        <f t="shared" si="84"/>
        <v>0</v>
      </c>
      <c r="S215" s="13">
        <f t="shared" si="84"/>
        <v>0</v>
      </c>
      <c r="T215" s="13">
        <f t="shared" si="84"/>
        <v>0</v>
      </c>
      <c r="U215" s="13">
        <f t="shared" si="84"/>
        <v>0</v>
      </c>
      <c r="V215" s="13">
        <f t="shared" si="84"/>
        <v>0</v>
      </c>
      <c r="W215" s="13">
        <f t="shared" si="84"/>
        <v>0</v>
      </c>
      <c r="X215" s="13">
        <f t="shared" si="84"/>
        <v>0</v>
      </c>
      <c r="Y215" s="13">
        <f t="shared" si="84"/>
        <v>0</v>
      </c>
      <c r="Z215" s="13">
        <f t="shared" si="84"/>
        <v>0</v>
      </c>
      <c r="AA215" s="13">
        <f t="shared" si="84"/>
        <v>0</v>
      </c>
      <c r="AB215" s="13">
        <f t="shared" si="84"/>
        <v>15</v>
      </c>
      <c r="AC215" s="13">
        <f t="shared" si="84"/>
        <v>15</v>
      </c>
      <c r="AD215" s="13">
        <f t="shared" si="84"/>
        <v>35</v>
      </c>
      <c r="AE215" s="13">
        <f t="shared" si="84"/>
        <v>0</v>
      </c>
      <c r="AF215" s="36"/>
      <c r="AG215" s="15"/>
      <c r="AH215" s="15"/>
      <c r="AI215" s="15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</row>
    <row r="216" spans="1:62" ht="18.75" x14ac:dyDescent="0.3">
      <c r="A216" s="22" t="s">
        <v>26</v>
      </c>
      <c r="B216" s="28">
        <f>H216+J216+L216+N216+P216+R216+T216+V216+X216+Z216+AB216+AD216</f>
        <v>0</v>
      </c>
      <c r="C216" s="29">
        <f>H216</f>
        <v>0</v>
      </c>
      <c r="D216" s="29"/>
      <c r="E216" s="28">
        <f>I216+K216+M216+O216+Q216+S216+U216+W216+Y216+AA216+AC216+AE216</f>
        <v>0</v>
      </c>
      <c r="F216" s="120">
        <f>IFERROR(E216/B216*100,0)</f>
        <v>0</v>
      </c>
      <c r="G216" s="120">
        <f>IFERROR(E216/C216*100,0)</f>
        <v>0</v>
      </c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36"/>
      <c r="AG216" s="15"/>
      <c r="AH216" s="15"/>
      <c r="AI216" s="15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</row>
    <row r="217" spans="1:62" ht="18.75" x14ac:dyDescent="0.3">
      <c r="A217" s="22" t="s">
        <v>27</v>
      </c>
      <c r="B217" s="28">
        <f>H217+J217+L217+N217+P217+R217+T217+V217+X217+Z217+AB217+AD217</f>
        <v>50</v>
      </c>
      <c r="C217" s="29">
        <f>AB217</f>
        <v>15</v>
      </c>
      <c r="D217" s="29">
        <f>E217</f>
        <v>15</v>
      </c>
      <c r="E217" s="28">
        <f>I217+K217+M217+O217+Q217+S217+U217+W217+Y217+AA217+AC217+AE217</f>
        <v>15</v>
      </c>
      <c r="F217" s="120">
        <f>IFERROR(E217/B217*100,0)</f>
        <v>30</v>
      </c>
      <c r="G217" s="120">
        <f>IFERROR(E217/C217*100,0)</f>
        <v>100</v>
      </c>
      <c r="H217" s="13"/>
      <c r="I217" s="13"/>
      <c r="J217" s="13"/>
      <c r="K217" s="13"/>
      <c r="L217" s="2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23">
        <v>15</v>
      </c>
      <c r="AC217" s="13">
        <v>15</v>
      </c>
      <c r="AD217" s="13">
        <v>35</v>
      </c>
      <c r="AE217" s="13"/>
      <c r="AF217" s="36"/>
      <c r="AG217" s="15"/>
      <c r="AH217" s="15"/>
      <c r="AI217" s="15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</row>
    <row r="218" spans="1:62" ht="18.75" x14ac:dyDescent="0.3">
      <c r="A218" s="22" t="s">
        <v>28</v>
      </c>
      <c r="B218" s="28">
        <f>H218+J218+L218+N218+P218+R218+T218+V218+X218+Z218+AB218+AD218</f>
        <v>0</v>
      </c>
      <c r="C218" s="29">
        <f>H218</f>
        <v>0</v>
      </c>
      <c r="D218" s="29"/>
      <c r="E218" s="28">
        <f>I218+K218+M218+O218+Q218+S218+U218+W218+Y218+AA218+AC218+AE218</f>
        <v>0</v>
      </c>
      <c r="F218" s="120">
        <f>IFERROR(E218/B218*100,0)</f>
        <v>0</v>
      </c>
      <c r="G218" s="120">
        <f>IFERROR(E218/C218*100,0)</f>
        <v>0</v>
      </c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36"/>
      <c r="AG218" s="15"/>
      <c r="AH218" s="15"/>
      <c r="AI218" s="15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</row>
    <row r="219" spans="1:62" ht="18.75" x14ac:dyDescent="0.3">
      <c r="A219" s="22" t="s">
        <v>29</v>
      </c>
      <c r="B219" s="28">
        <f>H219+J219+L219+N219+P219+R219+T219+V219+X219+Z219+AB219+AD219</f>
        <v>0</v>
      </c>
      <c r="C219" s="29">
        <f>H219</f>
        <v>0</v>
      </c>
      <c r="D219" s="29"/>
      <c r="E219" s="28">
        <f>I219+K219+M219+O219+Q219+S219+U219+W219+Y219+AA219+AC219+AE219</f>
        <v>0</v>
      </c>
      <c r="F219" s="120">
        <f>IFERROR(E219/B219*100,0)</f>
        <v>0</v>
      </c>
      <c r="G219" s="120">
        <f>IFERROR(E219/C219*100,0)</f>
        <v>0</v>
      </c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36"/>
      <c r="AG219" s="15"/>
      <c r="AH219" s="15"/>
      <c r="AI219" s="15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</row>
    <row r="220" spans="1:62" ht="18.75" x14ac:dyDescent="0.25">
      <c r="A220" s="156" t="s">
        <v>84</v>
      </c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8"/>
      <c r="AF220" s="36"/>
      <c r="AG220" s="15"/>
      <c r="AH220" s="15"/>
      <c r="AI220" s="15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</row>
    <row r="221" spans="1:62" ht="18.75" x14ac:dyDescent="0.3">
      <c r="A221" s="19" t="s">
        <v>25</v>
      </c>
      <c r="B221" s="27">
        <f>H221+J221+L221+N221+P221+R221+T221+V221+X221+Z221+AB221+AD221</f>
        <v>2683</v>
      </c>
      <c r="C221" s="27">
        <f>C222+C223+C224+C225</f>
        <v>2683</v>
      </c>
      <c r="D221" s="27">
        <f>D222+D223+D224+D225</f>
        <v>2683</v>
      </c>
      <c r="E221" s="27">
        <f>E222+E223+E224+E225</f>
        <v>2683</v>
      </c>
      <c r="F221" s="121">
        <f>IFERROR(E221/B221*100,0)</f>
        <v>100</v>
      </c>
      <c r="G221" s="121">
        <f>IFERROR(E221/C221*100,0)</f>
        <v>100</v>
      </c>
      <c r="H221" s="13">
        <f>H222+H223+H224+H225</f>
        <v>0</v>
      </c>
      <c r="I221" s="13">
        <f t="shared" ref="I221:AE221" si="85">I222+I223+I224+I225</f>
        <v>0</v>
      </c>
      <c r="J221" s="13">
        <f t="shared" si="85"/>
        <v>0</v>
      </c>
      <c r="K221" s="13">
        <f t="shared" si="85"/>
        <v>0</v>
      </c>
      <c r="L221" s="13">
        <f t="shared" si="85"/>
        <v>0</v>
      </c>
      <c r="M221" s="13">
        <f t="shared" si="85"/>
        <v>0</v>
      </c>
      <c r="N221" s="13">
        <f t="shared" si="85"/>
        <v>0</v>
      </c>
      <c r="O221" s="13">
        <f t="shared" si="85"/>
        <v>0</v>
      </c>
      <c r="P221" s="13">
        <f t="shared" si="85"/>
        <v>0</v>
      </c>
      <c r="Q221" s="13">
        <f t="shared" si="85"/>
        <v>0</v>
      </c>
      <c r="R221" s="13">
        <f t="shared" si="85"/>
        <v>0</v>
      </c>
      <c r="S221" s="13">
        <f t="shared" si="85"/>
        <v>0</v>
      </c>
      <c r="T221" s="13">
        <f t="shared" si="85"/>
        <v>0</v>
      </c>
      <c r="U221" s="13">
        <f t="shared" si="85"/>
        <v>0</v>
      </c>
      <c r="V221" s="13">
        <f t="shared" si="85"/>
        <v>0</v>
      </c>
      <c r="W221" s="13">
        <f t="shared" si="85"/>
        <v>0</v>
      </c>
      <c r="X221" s="13">
        <f t="shared" si="85"/>
        <v>0</v>
      </c>
      <c r="Y221" s="13">
        <f t="shared" si="85"/>
        <v>0</v>
      </c>
      <c r="Z221" s="13">
        <f t="shared" si="85"/>
        <v>0</v>
      </c>
      <c r="AA221" s="13">
        <f t="shared" si="85"/>
        <v>2683</v>
      </c>
      <c r="AB221" s="13">
        <f t="shared" si="85"/>
        <v>2683</v>
      </c>
      <c r="AC221" s="13">
        <f t="shared" si="85"/>
        <v>0</v>
      </c>
      <c r="AD221" s="13">
        <f t="shared" si="85"/>
        <v>0</v>
      </c>
      <c r="AE221" s="13">
        <f t="shared" si="85"/>
        <v>0</v>
      </c>
      <c r="AF221" s="36"/>
      <c r="AG221" s="15"/>
      <c r="AH221" s="15"/>
      <c r="AI221" s="15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</row>
    <row r="222" spans="1:62" ht="18.75" x14ac:dyDescent="0.3">
      <c r="A222" s="22" t="s">
        <v>26</v>
      </c>
      <c r="B222" s="28">
        <f>H222+J222+L222+N222+P222+R222+T222+V222+X222+Z222+AB222+AD222</f>
        <v>0</v>
      </c>
      <c r="C222" s="29">
        <f>H222</f>
        <v>0</v>
      </c>
      <c r="D222" s="29"/>
      <c r="E222" s="28">
        <f>I222+K222+M222+O222+Q222+S222+U222+W222+Y222+AA222+AC222+AE222</f>
        <v>0</v>
      </c>
      <c r="F222" s="120">
        <f>IFERROR(E222/B222*100,0)</f>
        <v>0</v>
      </c>
      <c r="G222" s="120">
        <f>IFERROR(E222/C222*100,0)</f>
        <v>0</v>
      </c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36"/>
      <c r="AG222" s="15"/>
      <c r="AH222" s="15"/>
      <c r="AI222" s="15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</row>
    <row r="223" spans="1:62" ht="18.75" x14ac:dyDescent="0.3">
      <c r="A223" s="22" t="s">
        <v>27</v>
      </c>
      <c r="B223" s="28">
        <f>H223+J223+L223+N223+P223+R223+T223+V223+X223+Z223+AB223+AD223</f>
        <v>2683</v>
      </c>
      <c r="C223" s="29">
        <f>H223+AA223</f>
        <v>2683</v>
      </c>
      <c r="D223" s="29">
        <f>E223</f>
        <v>2683</v>
      </c>
      <c r="E223" s="28">
        <f>I223+K223+M223+O223+Q223+S223+U223+W223+Y223+AA223+AC223+AE223</f>
        <v>2683</v>
      </c>
      <c r="F223" s="120">
        <f>IFERROR(E223/B223*100,0)</f>
        <v>100</v>
      </c>
      <c r="G223" s="120">
        <f>IFERROR(E223/C223*100,0)</f>
        <v>100</v>
      </c>
      <c r="H223" s="13"/>
      <c r="I223" s="13"/>
      <c r="J223" s="13"/>
      <c r="K223" s="13"/>
      <c r="L223" s="2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>
        <v>2683</v>
      </c>
      <c r="AB223" s="23">
        <v>2683</v>
      </c>
      <c r="AC223" s="13"/>
      <c r="AD223" s="13"/>
      <c r="AE223" s="13"/>
      <c r="AF223" s="36"/>
      <c r="AG223" s="15"/>
      <c r="AH223" s="15"/>
      <c r="AI223" s="15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</row>
    <row r="224" spans="1:62" ht="18.75" x14ac:dyDescent="0.3">
      <c r="A224" s="22" t="s">
        <v>28</v>
      </c>
      <c r="B224" s="28">
        <f>H224+J224+L224+N224+P224+R224+T224+V224+X224+Z224+AB224+AD224</f>
        <v>0</v>
      </c>
      <c r="C224" s="29">
        <f>H224</f>
        <v>0</v>
      </c>
      <c r="D224" s="29"/>
      <c r="E224" s="28">
        <f>I224+K224+M224+O224+Q224+S224+U224+W224+Y224+AA224+AC224+AE224</f>
        <v>0</v>
      </c>
      <c r="F224" s="120">
        <f>IFERROR(E224/B224*100,0)</f>
        <v>0</v>
      </c>
      <c r="G224" s="120">
        <f>IFERROR(E224/C224*100,0)</f>
        <v>0</v>
      </c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36"/>
      <c r="AG224" s="15"/>
      <c r="AH224" s="15"/>
      <c r="AI224" s="15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</row>
    <row r="225" spans="1:62" ht="18.75" x14ac:dyDescent="0.3">
      <c r="A225" s="22" t="s">
        <v>29</v>
      </c>
      <c r="B225" s="28">
        <f>H225+J225+L225+N225+P225+R225+T225+V225+X225+Z225+AB225+AD225</f>
        <v>0</v>
      </c>
      <c r="C225" s="29">
        <f>H225</f>
        <v>0</v>
      </c>
      <c r="D225" s="29"/>
      <c r="E225" s="28">
        <f>I225+K225+M225+O225+Q225+S225+U225+W225+Y225+AA225+AC225+AE225</f>
        <v>0</v>
      </c>
      <c r="F225" s="120">
        <f>IFERROR(E225/B225*100,0)</f>
        <v>0</v>
      </c>
      <c r="G225" s="120">
        <f>IFERROR(E225/C225*100,0)</f>
        <v>0</v>
      </c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36"/>
      <c r="AG225" s="15"/>
      <c r="AH225" s="15"/>
      <c r="AI225" s="15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</row>
    <row r="226" spans="1:62" ht="20.25" x14ac:dyDescent="0.25">
      <c r="A226" s="141" t="s">
        <v>85</v>
      </c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3"/>
      <c r="AF226" s="36"/>
      <c r="AG226" s="15"/>
      <c r="AH226" s="15"/>
      <c r="AI226" s="15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</row>
    <row r="227" spans="1:62" ht="18.75" x14ac:dyDescent="0.3">
      <c r="A227" s="19" t="s">
        <v>25</v>
      </c>
      <c r="B227" s="7">
        <f>B228+B229+B230+B231</f>
        <v>44027.1</v>
      </c>
      <c r="C227" s="7">
        <f>C228+C229+C230+C231</f>
        <v>35484.699999999997</v>
      </c>
      <c r="D227" s="7">
        <f>D228+D229+D230+D231</f>
        <v>35285.599999999999</v>
      </c>
      <c r="E227" s="7">
        <f>E228+E229+E230+E231</f>
        <v>35285.599999999999</v>
      </c>
      <c r="F227" s="26">
        <f>E227/B227*100</f>
        <v>80.145183307553765</v>
      </c>
      <c r="G227" s="26">
        <f>E227/C227*100</f>
        <v>99.438913109030096</v>
      </c>
      <c r="H227" s="13">
        <f t="shared" ref="H227:AD227" si="86">H228+H229+H230+H231</f>
        <v>3268.5</v>
      </c>
      <c r="I227" s="13">
        <f>I228+I229+I230+I231</f>
        <v>1925.1</v>
      </c>
      <c r="J227" s="13">
        <f t="shared" si="86"/>
        <v>2929.2</v>
      </c>
      <c r="K227" s="13">
        <f>K228+K229+K230+K231</f>
        <v>2912.4</v>
      </c>
      <c r="L227" s="13">
        <f t="shared" si="86"/>
        <v>2924.9</v>
      </c>
      <c r="M227" s="13">
        <f>M228+M229+M230+M231</f>
        <v>2577</v>
      </c>
      <c r="N227" s="13">
        <f t="shared" si="86"/>
        <v>3897.7</v>
      </c>
      <c r="O227" s="13">
        <f>O228+O229+O230+O231</f>
        <v>2940</v>
      </c>
      <c r="P227" s="13">
        <f t="shared" si="86"/>
        <v>3523.3</v>
      </c>
      <c r="Q227" s="13">
        <f>Q228+Q229+Q230+Q231</f>
        <v>3523</v>
      </c>
      <c r="R227" s="13">
        <f t="shared" si="86"/>
        <v>3368.6</v>
      </c>
      <c r="S227" s="13">
        <f>S228+S229+S230+S231</f>
        <v>3164.3</v>
      </c>
      <c r="T227" s="13">
        <f t="shared" si="86"/>
        <v>4318.8</v>
      </c>
      <c r="U227" s="13">
        <f>U228+U229+U230+U231</f>
        <v>5042.6000000000004</v>
      </c>
      <c r="V227" s="13">
        <f t="shared" si="86"/>
        <v>2394</v>
      </c>
      <c r="W227" s="13">
        <f>W228+W229+W230+W231</f>
        <v>2230</v>
      </c>
      <c r="X227" s="13">
        <f t="shared" si="86"/>
        <v>2567.9</v>
      </c>
      <c r="Y227" s="13">
        <f>Y228+Y229+Y230+Y231</f>
        <v>2235</v>
      </c>
      <c r="Z227" s="13">
        <f t="shared" si="86"/>
        <v>3485.9</v>
      </c>
      <c r="AA227" s="13">
        <f>AA228+AA229+AA230+AA231</f>
        <v>6192.5</v>
      </c>
      <c r="AB227" s="13">
        <f t="shared" si="86"/>
        <v>2805.9</v>
      </c>
      <c r="AC227" s="13">
        <f>AC228+AC229+AC230+AC231</f>
        <v>2544</v>
      </c>
      <c r="AD227" s="13">
        <f t="shared" si="86"/>
        <v>8542.4</v>
      </c>
      <c r="AE227" s="13">
        <f>AE228+AE229+AE230+AE231</f>
        <v>0</v>
      </c>
      <c r="AF227" s="153" t="s">
        <v>149</v>
      </c>
      <c r="AG227" s="15"/>
      <c r="AH227" s="15"/>
      <c r="AI227" s="15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</row>
    <row r="228" spans="1:62" ht="18.75" x14ac:dyDescent="0.3">
      <c r="A228" s="22" t="s">
        <v>26</v>
      </c>
      <c r="B228" s="30">
        <f t="shared" ref="B228:E229" si="87">B234</f>
        <v>0</v>
      </c>
      <c r="C228" s="30">
        <f t="shared" si="87"/>
        <v>0</v>
      </c>
      <c r="D228" s="30">
        <f t="shared" si="87"/>
        <v>0</v>
      </c>
      <c r="E228" s="30">
        <f t="shared" si="87"/>
        <v>0</v>
      </c>
      <c r="F228" s="120">
        <f>IFERROR(E228/B228*100,0)</f>
        <v>0</v>
      </c>
      <c r="G228" s="120">
        <f>IFERROR(E228/C228*100,0)</f>
        <v>0</v>
      </c>
      <c r="H228" s="23">
        <f>H234</f>
        <v>0</v>
      </c>
      <c r="I228" s="23">
        <f t="shared" ref="I228:AE229" si="88">I234</f>
        <v>0</v>
      </c>
      <c r="J228" s="23">
        <f t="shared" si="88"/>
        <v>0</v>
      </c>
      <c r="K228" s="23">
        <f t="shared" si="88"/>
        <v>0</v>
      </c>
      <c r="L228" s="23">
        <f t="shared" si="88"/>
        <v>0</v>
      </c>
      <c r="M228" s="23">
        <f t="shared" si="88"/>
        <v>0</v>
      </c>
      <c r="N228" s="23">
        <f t="shared" si="88"/>
        <v>0</v>
      </c>
      <c r="O228" s="23">
        <f t="shared" si="88"/>
        <v>0</v>
      </c>
      <c r="P228" s="23">
        <f t="shared" si="88"/>
        <v>0</v>
      </c>
      <c r="Q228" s="23">
        <f t="shared" si="88"/>
        <v>0</v>
      </c>
      <c r="R228" s="23">
        <f t="shared" si="88"/>
        <v>0</v>
      </c>
      <c r="S228" s="23">
        <f t="shared" si="88"/>
        <v>0</v>
      </c>
      <c r="T228" s="23">
        <f t="shared" si="88"/>
        <v>0</v>
      </c>
      <c r="U228" s="23">
        <f t="shared" si="88"/>
        <v>0</v>
      </c>
      <c r="V228" s="23">
        <f t="shared" si="88"/>
        <v>0</v>
      </c>
      <c r="W228" s="23">
        <f t="shared" si="88"/>
        <v>0</v>
      </c>
      <c r="X228" s="23">
        <f t="shared" si="88"/>
        <v>0</v>
      </c>
      <c r="Y228" s="23">
        <f t="shared" si="88"/>
        <v>0</v>
      </c>
      <c r="Z228" s="23">
        <f t="shared" si="88"/>
        <v>0</v>
      </c>
      <c r="AA228" s="23">
        <f t="shared" si="88"/>
        <v>0</v>
      </c>
      <c r="AB228" s="23">
        <f t="shared" si="88"/>
        <v>0</v>
      </c>
      <c r="AC228" s="23">
        <f t="shared" si="88"/>
        <v>0</v>
      </c>
      <c r="AD228" s="23">
        <f t="shared" si="88"/>
        <v>0</v>
      </c>
      <c r="AE228" s="23">
        <f t="shared" si="88"/>
        <v>0</v>
      </c>
      <c r="AF228" s="154"/>
      <c r="AG228" s="15"/>
      <c r="AH228" s="15"/>
      <c r="AI228" s="15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</row>
    <row r="229" spans="1:62" ht="18.75" x14ac:dyDescent="0.3">
      <c r="A229" s="22" t="s">
        <v>27</v>
      </c>
      <c r="B229" s="30">
        <f t="shared" si="87"/>
        <v>44027.1</v>
      </c>
      <c r="C229" s="30">
        <f t="shared" si="87"/>
        <v>35484.699999999997</v>
      </c>
      <c r="D229" s="30">
        <f t="shared" si="87"/>
        <v>35285.599999999999</v>
      </c>
      <c r="E229" s="30">
        <f t="shared" si="87"/>
        <v>35285.599999999999</v>
      </c>
      <c r="F229" s="25">
        <f>E229/B229*100</f>
        <v>80.145183307553765</v>
      </c>
      <c r="G229" s="25">
        <f>E229/C229*100</f>
        <v>99.438913109030096</v>
      </c>
      <c r="H229" s="23">
        <f>H235</f>
        <v>3268.5</v>
      </c>
      <c r="I229" s="23">
        <f t="shared" si="88"/>
        <v>1925.1</v>
      </c>
      <c r="J229" s="23">
        <f t="shared" si="88"/>
        <v>2929.2</v>
      </c>
      <c r="K229" s="23">
        <f t="shared" si="88"/>
        <v>2912.4</v>
      </c>
      <c r="L229" s="23">
        <f t="shared" si="88"/>
        <v>2924.9</v>
      </c>
      <c r="M229" s="23">
        <f t="shared" si="88"/>
        <v>2577</v>
      </c>
      <c r="N229" s="23">
        <f t="shared" si="88"/>
        <v>3897.7</v>
      </c>
      <c r="O229" s="23">
        <f t="shared" si="88"/>
        <v>2940</v>
      </c>
      <c r="P229" s="23">
        <f t="shared" si="88"/>
        <v>3523.3</v>
      </c>
      <c r="Q229" s="23">
        <f t="shared" si="88"/>
        <v>3523</v>
      </c>
      <c r="R229" s="23">
        <f t="shared" si="88"/>
        <v>3368.6</v>
      </c>
      <c r="S229" s="23">
        <v>3164.3</v>
      </c>
      <c r="T229" s="23">
        <f t="shared" si="88"/>
        <v>4318.8</v>
      </c>
      <c r="U229" s="23">
        <f t="shared" si="88"/>
        <v>5042.6000000000004</v>
      </c>
      <c r="V229" s="23">
        <f t="shared" si="88"/>
        <v>2394</v>
      </c>
      <c r="W229" s="23">
        <f t="shared" si="88"/>
        <v>2230</v>
      </c>
      <c r="X229" s="23">
        <f t="shared" si="88"/>
        <v>2567.9</v>
      </c>
      <c r="Y229" s="23">
        <f t="shared" si="88"/>
        <v>2235</v>
      </c>
      <c r="Z229" s="23">
        <f t="shared" si="88"/>
        <v>3485.9</v>
      </c>
      <c r="AA229" s="23">
        <f t="shared" si="88"/>
        <v>6192.5</v>
      </c>
      <c r="AB229" s="23">
        <f t="shared" si="88"/>
        <v>2805.9</v>
      </c>
      <c r="AC229" s="23">
        <f t="shared" si="88"/>
        <v>2544</v>
      </c>
      <c r="AD229" s="23">
        <f t="shared" si="88"/>
        <v>8542.4</v>
      </c>
      <c r="AE229" s="23">
        <f t="shared" si="88"/>
        <v>0</v>
      </c>
      <c r="AF229" s="154"/>
      <c r="AG229" s="15"/>
      <c r="AH229" s="15"/>
      <c r="AI229" s="15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</row>
    <row r="230" spans="1:62" ht="18.75" x14ac:dyDescent="0.3">
      <c r="A230" s="22" t="s">
        <v>28</v>
      </c>
      <c r="B230" s="44"/>
      <c r="C230" s="44"/>
      <c r="D230" s="44"/>
      <c r="E230" s="44"/>
      <c r="F230" s="44"/>
      <c r="G230" s="44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54"/>
      <c r="AG230" s="15"/>
      <c r="AH230" s="15"/>
      <c r="AI230" s="15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</row>
    <row r="231" spans="1:62" ht="18.75" x14ac:dyDescent="0.3">
      <c r="A231" s="22" t="s">
        <v>29</v>
      </c>
      <c r="B231" s="44"/>
      <c r="C231" s="44"/>
      <c r="D231" s="44"/>
      <c r="E231" s="44"/>
      <c r="F231" s="44"/>
      <c r="G231" s="44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54"/>
      <c r="AG231" s="15"/>
      <c r="AH231" s="15"/>
      <c r="AI231" s="15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</row>
    <row r="232" spans="1:62" ht="18.75" x14ac:dyDescent="0.25">
      <c r="A232" s="156" t="s">
        <v>86</v>
      </c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8"/>
      <c r="AF232" s="154"/>
      <c r="AG232" s="15"/>
      <c r="AH232" s="15"/>
      <c r="AI232" s="15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</row>
    <row r="233" spans="1:62" ht="18.75" x14ac:dyDescent="0.3">
      <c r="A233" s="19" t="s">
        <v>25</v>
      </c>
      <c r="B233" s="13">
        <f>H233+J233+L233+N233+P233+R233+T233+V233+X233+Z233+AB233+AD233</f>
        <v>44027.1</v>
      </c>
      <c r="C233" s="13">
        <f>C234+C235+C236+C237</f>
        <v>35484.699999999997</v>
      </c>
      <c r="D233" s="13">
        <f>D234+D235+D236+D237</f>
        <v>35285.599999999999</v>
      </c>
      <c r="E233" s="13">
        <f>E234+E235+E236+E237</f>
        <v>35285.599999999999</v>
      </c>
      <c r="F233" s="26">
        <f>E233/B233*100</f>
        <v>80.145183307553765</v>
      </c>
      <c r="G233" s="26">
        <f>E233/C233*100</f>
        <v>99.438913109030096</v>
      </c>
      <c r="H233" s="13">
        <f t="shared" ref="H233:AE233" si="89">H234+H235+H236+H237</f>
        <v>3268.5</v>
      </c>
      <c r="I233" s="13">
        <f t="shared" si="89"/>
        <v>1925.1</v>
      </c>
      <c r="J233" s="13">
        <f t="shared" si="89"/>
        <v>2929.2</v>
      </c>
      <c r="K233" s="13">
        <f t="shared" si="89"/>
        <v>2912.4</v>
      </c>
      <c r="L233" s="13">
        <f t="shared" si="89"/>
        <v>2924.9</v>
      </c>
      <c r="M233" s="13">
        <f t="shared" si="89"/>
        <v>2577</v>
      </c>
      <c r="N233" s="13">
        <f t="shared" si="89"/>
        <v>3897.7</v>
      </c>
      <c r="O233" s="13">
        <f t="shared" si="89"/>
        <v>2940</v>
      </c>
      <c r="P233" s="13">
        <f t="shared" si="89"/>
        <v>3523.3</v>
      </c>
      <c r="Q233" s="13">
        <f t="shared" si="89"/>
        <v>3523</v>
      </c>
      <c r="R233" s="13">
        <f t="shared" si="89"/>
        <v>3368.6</v>
      </c>
      <c r="S233" s="13">
        <f t="shared" si="89"/>
        <v>3164</v>
      </c>
      <c r="T233" s="13">
        <f t="shared" si="89"/>
        <v>4318.8</v>
      </c>
      <c r="U233" s="13">
        <f t="shared" si="89"/>
        <v>5042.6000000000004</v>
      </c>
      <c r="V233" s="13">
        <f t="shared" si="89"/>
        <v>2394</v>
      </c>
      <c r="W233" s="13">
        <f t="shared" si="89"/>
        <v>2230</v>
      </c>
      <c r="X233" s="13">
        <f t="shared" si="89"/>
        <v>2567.9</v>
      </c>
      <c r="Y233" s="13">
        <f t="shared" si="89"/>
        <v>2235</v>
      </c>
      <c r="Z233" s="13">
        <f t="shared" si="89"/>
        <v>3485.9</v>
      </c>
      <c r="AA233" s="13">
        <f t="shared" si="89"/>
        <v>6192.5</v>
      </c>
      <c r="AB233" s="13">
        <f t="shared" si="89"/>
        <v>2805.9</v>
      </c>
      <c r="AC233" s="13">
        <f t="shared" si="89"/>
        <v>2544</v>
      </c>
      <c r="AD233" s="13">
        <f t="shared" si="89"/>
        <v>8542.4</v>
      </c>
      <c r="AE233" s="13">
        <f t="shared" si="89"/>
        <v>0</v>
      </c>
      <c r="AF233" s="154"/>
      <c r="AG233" s="15"/>
      <c r="AH233" s="15"/>
      <c r="AI233" s="15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</row>
    <row r="234" spans="1:62" ht="18.75" x14ac:dyDescent="0.3">
      <c r="A234" s="22" t="s">
        <v>26</v>
      </c>
      <c r="B234" s="30">
        <f>H234+J234+L234+N234+P234+R234+T234+V234+X234+Z234+AB234+AD234</f>
        <v>0</v>
      </c>
      <c r="C234" s="29">
        <f>H234</f>
        <v>0</v>
      </c>
      <c r="D234" s="23">
        <f>E234</f>
        <v>0</v>
      </c>
      <c r="E234" s="28">
        <f>I234+K234+M234+O234+Q234+S234+U234+W234+Y234+AA234+AC234+AE234</f>
        <v>0</v>
      </c>
      <c r="F234" s="120">
        <f>IFERROR(E234/B234*100,0)</f>
        <v>0</v>
      </c>
      <c r="G234" s="120">
        <f>IFERROR(E234/C234*100,0)</f>
        <v>0</v>
      </c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54"/>
      <c r="AG234" s="15"/>
      <c r="AH234" s="15"/>
      <c r="AI234" s="15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</row>
    <row r="235" spans="1:62" ht="18.75" x14ac:dyDescent="0.3">
      <c r="A235" s="45" t="s">
        <v>27</v>
      </c>
      <c r="B235" s="30">
        <f>H235+J235+L235+N235+P235+R235+T235+V235+X235+Z235+AB235+AD235</f>
        <v>44027.1</v>
      </c>
      <c r="C235" s="29">
        <f>H235+J235+L235+N235+P235+R235+T235+V235+X235+Z235+AB235</f>
        <v>35484.699999999997</v>
      </c>
      <c r="D235" s="23">
        <f>E235</f>
        <v>35285.599999999999</v>
      </c>
      <c r="E235" s="28">
        <f>I235+K235+M235+O235+Q235+S235+U235+W235+Y235+AA235+AC235+AE235</f>
        <v>35285.599999999999</v>
      </c>
      <c r="F235" s="25">
        <f>E235/B235*100</f>
        <v>80.145183307553765</v>
      </c>
      <c r="G235" s="25">
        <f>E235/C235*100</f>
        <v>99.438913109030096</v>
      </c>
      <c r="H235" s="30">
        <v>3268.5</v>
      </c>
      <c r="I235" s="30">
        <v>1925.1</v>
      </c>
      <c r="J235" s="30">
        <v>2929.2</v>
      </c>
      <c r="K235" s="30">
        <v>2912.4</v>
      </c>
      <c r="L235" s="30">
        <v>2924.9</v>
      </c>
      <c r="M235" s="30">
        <v>2577</v>
      </c>
      <c r="N235" s="30">
        <v>3897.7</v>
      </c>
      <c r="O235" s="30">
        <v>2940</v>
      </c>
      <c r="P235" s="30">
        <v>3523.3</v>
      </c>
      <c r="Q235" s="30">
        <v>3523</v>
      </c>
      <c r="R235" s="30">
        <v>3368.6</v>
      </c>
      <c r="S235" s="30">
        <v>3164</v>
      </c>
      <c r="T235" s="30">
        <v>4318.8</v>
      </c>
      <c r="U235" s="30">
        <v>5042.6000000000004</v>
      </c>
      <c r="V235" s="30">
        <v>2394</v>
      </c>
      <c r="W235" s="30">
        <v>2230</v>
      </c>
      <c r="X235" s="30">
        <v>2567.9</v>
      </c>
      <c r="Y235" s="30">
        <v>2235</v>
      </c>
      <c r="Z235" s="30">
        <v>3485.9</v>
      </c>
      <c r="AA235" s="30">
        <f>5760+432.5</f>
        <v>6192.5</v>
      </c>
      <c r="AB235" s="30">
        <v>2805.9</v>
      </c>
      <c r="AC235" s="30">
        <v>2544</v>
      </c>
      <c r="AD235" s="30">
        <f>8291+251.4</f>
        <v>8542.4</v>
      </c>
      <c r="AE235" s="30"/>
      <c r="AF235" s="155"/>
      <c r="AG235" s="15">
        <f>C235-E235</f>
        <v>199.09999999999854</v>
      </c>
      <c r="AH235" s="15"/>
      <c r="AI235" s="15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</row>
    <row r="236" spans="1:62" ht="18.75" x14ac:dyDescent="0.3">
      <c r="A236" s="22" t="s">
        <v>28</v>
      </c>
      <c r="B236" s="44"/>
      <c r="C236" s="29">
        <f>H236</f>
        <v>0</v>
      </c>
      <c r="D236" s="44"/>
      <c r="E236" s="44"/>
      <c r="F236" s="126"/>
      <c r="G236" s="126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36"/>
      <c r="AG236" s="15"/>
      <c r="AH236" s="15"/>
      <c r="AI236" s="15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</row>
    <row r="237" spans="1:62" ht="18.75" x14ac:dyDescent="0.3">
      <c r="A237" s="22" t="s">
        <v>29</v>
      </c>
      <c r="B237" s="44"/>
      <c r="C237" s="29">
        <f>H237</f>
        <v>0</v>
      </c>
      <c r="D237" s="44"/>
      <c r="E237" s="44"/>
      <c r="F237" s="44"/>
      <c r="G237" s="44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36"/>
      <c r="AG237" s="15"/>
      <c r="AH237" s="15"/>
      <c r="AI237" s="15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</row>
    <row r="238" spans="1:62" ht="37.5" x14ac:dyDescent="0.3">
      <c r="A238" s="19" t="s">
        <v>36</v>
      </c>
      <c r="B238" s="50">
        <f>H238+J238+L238+N238+P238+R238+T238+V238+X238+Z238+AB238+AD238</f>
        <v>49017.1</v>
      </c>
      <c r="C238" s="13">
        <f>C239+C240+C241+C242</f>
        <v>40437.699999999997</v>
      </c>
      <c r="D238" s="13">
        <f>D239+D240+D241+D242</f>
        <v>40112.199999999997</v>
      </c>
      <c r="E238" s="13">
        <f>E239+E240+E241+E242</f>
        <v>40112.199999999997</v>
      </c>
      <c r="F238" s="26">
        <f>E238/B238*100</f>
        <v>81.833074580095513</v>
      </c>
      <c r="G238" s="26">
        <f>E238/C238*100</f>
        <v>99.19505807699251</v>
      </c>
      <c r="H238" s="13">
        <f>H239+H240+H241+H242</f>
        <v>3270.5</v>
      </c>
      <c r="I238" s="13">
        <f t="shared" ref="I238:AE238" si="90">I239+I240+I241+I242</f>
        <v>1927.1</v>
      </c>
      <c r="J238" s="13">
        <f t="shared" si="90"/>
        <v>3378.3999999999996</v>
      </c>
      <c r="K238" s="13">
        <f t="shared" si="90"/>
        <v>3244.1</v>
      </c>
      <c r="L238" s="13">
        <f t="shared" si="90"/>
        <v>3455.6000000000004</v>
      </c>
      <c r="M238" s="13">
        <f t="shared" si="90"/>
        <v>2769.3999999999996</v>
      </c>
      <c r="N238" s="13">
        <f t="shared" si="90"/>
        <v>4118.8999999999996</v>
      </c>
      <c r="O238" s="13">
        <f t="shared" si="90"/>
        <v>3409.4</v>
      </c>
      <c r="P238" s="13">
        <f t="shared" si="90"/>
        <v>4034.9</v>
      </c>
      <c r="Q238" s="13">
        <f t="shared" si="90"/>
        <v>3523</v>
      </c>
      <c r="R238" s="13">
        <f t="shared" si="90"/>
        <v>3368.6</v>
      </c>
      <c r="S238" s="13">
        <f t="shared" si="90"/>
        <v>3259.3</v>
      </c>
      <c r="T238" s="13">
        <f t="shared" si="90"/>
        <v>4318.8</v>
      </c>
      <c r="U238" s="13">
        <f t="shared" si="90"/>
        <v>5042.6000000000004</v>
      </c>
      <c r="V238" s="13">
        <f t="shared" si="90"/>
        <v>2414.1</v>
      </c>
      <c r="W238" s="13">
        <f t="shared" si="90"/>
        <v>2372</v>
      </c>
      <c r="X238" s="13">
        <f t="shared" si="90"/>
        <v>2930</v>
      </c>
      <c r="Y238" s="13">
        <f t="shared" si="90"/>
        <v>2605</v>
      </c>
      <c r="Z238" s="13">
        <f t="shared" si="90"/>
        <v>3641.7000000000003</v>
      </c>
      <c r="AA238" s="13">
        <f t="shared" si="90"/>
        <v>9401.6</v>
      </c>
      <c r="AB238" s="13">
        <f t="shared" si="90"/>
        <v>5508.2000000000007</v>
      </c>
      <c r="AC238" s="13">
        <f t="shared" si="90"/>
        <v>2559</v>
      </c>
      <c r="AD238" s="13">
        <f t="shared" si="90"/>
        <v>8577.4</v>
      </c>
      <c r="AE238" s="13">
        <f t="shared" si="90"/>
        <v>0</v>
      </c>
      <c r="AF238" s="43"/>
      <c r="AG238" s="15"/>
      <c r="AH238" s="15"/>
      <c r="AI238" s="15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</row>
    <row r="239" spans="1:62" ht="18.75" x14ac:dyDescent="0.3">
      <c r="A239" s="19" t="s">
        <v>26</v>
      </c>
      <c r="B239" s="13">
        <f>B228+B198+B180</f>
        <v>0</v>
      </c>
      <c r="C239" s="13">
        <f>C228+C198+C180</f>
        <v>0</v>
      </c>
      <c r="D239" s="13">
        <f>D228+D198+D180</f>
        <v>0</v>
      </c>
      <c r="E239" s="13">
        <f>E228+E198+E180</f>
        <v>0</v>
      </c>
      <c r="F239" s="121">
        <f>IFERROR(E239/B239*100,0)</f>
        <v>0</v>
      </c>
      <c r="G239" s="121">
        <f>IFERROR(E239/C239*100,0)</f>
        <v>0</v>
      </c>
      <c r="H239" s="13">
        <f>H228+H198+H180</f>
        <v>0</v>
      </c>
      <c r="I239" s="13">
        <f t="shared" ref="I239:AE239" si="91">I228+I198+I180</f>
        <v>0</v>
      </c>
      <c r="J239" s="13">
        <f t="shared" si="91"/>
        <v>0</v>
      </c>
      <c r="K239" s="13">
        <f t="shared" si="91"/>
        <v>0</v>
      </c>
      <c r="L239" s="13">
        <f t="shared" si="91"/>
        <v>0</v>
      </c>
      <c r="M239" s="13">
        <f t="shared" si="91"/>
        <v>0</v>
      </c>
      <c r="N239" s="13">
        <f t="shared" si="91"/>
        <v>0</v>
      </c>
      <c r="O239" s="13">
        <f t="shared" si="91"/>
        <v>0</v>
      </c>
      <c r="P239" s="13">
        <f t="shared" si="91"/>
        <v>0</v>
      </c>
      <c r="Q239" s="13">
        <f t="shared" si="91"/>
        <v>0</v>
      </c>
      <c r="R239" s="13">
        <f t="shared" si="91"/>
        <v>0</v>
      </c>
      <c r="S239" s="13">
        <f t="shared" si="91"/>
        <v>0</v>
      </c>
      <c r="T239" s="13">
        <f t="shared" si="91"/>
        <v>0</v>
      </c>
      <c r="U239" s="13">
        <f t="shared" si="91"/>
        <v>0</v>
      </c>
      <c r="V239" s="13">
        <f t="shared" si="91"/>
        <v>0</v>
      </c>
      <c r="W239" s="13">
        <f t="shared" si="91"/>
        <v>0</v>
      </c>
      <c r="X239" s="13">
        <f t="shared" si="91"/>
        <v>0</v>
      </c>
      <c r="Y239" s="13">
        <f t="shared" si="91"/>
        <v>0</v>
      </c>
      <c r="Z239" s="13">
        <f t="shared" si="91"/>
        <v>0</v>
      </c>
      <c r="AA239" s="13">
        <f t="shared" si="91"/>
        <v>0</v>
      </c>
      <c r="AB239" s="13">
        <f t="shared" si="91"/>
        <v>0</v>
      </c>
      <c r="AC239" s="13">
        <f t="shared" si="91"/>
        <v>0</v>
      </c>
      <c r="AD239" s="13">
        <f t="shared" si="91"/>
        <v>0</v>
      </c>
      <c r="AE239" s="13">
        <f t="shared" si="91"/>
        <v>0</v>
      </c>
      <c r="AF239" s="43"/>
      <c r="AG239" s="15"/>
      <c r="AH239" s="15"/>
      <c r="AI239" s="15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</row>
    <row r="240" spans="1:62" ht="18.75" x14ac:dyDescent="0.3">
      <c r="A240" s="19" t="s">
        <v>27</v>
      </c>
      <c r="B240" s="13">
        <f>B229+B199+B181+B173</f>
        <v>49017.1</v>
      </c>
      <c r="C240" s="13">
        <f>C229+C199+C181+C173</f>
        <v>40437.699999999997</v>
      </c>
      <c r="D240" s="13">
        <f>D229+D199+D181+D173</f>
        <v>40112.199999999997</v>
      </c>
      <c r="E240" s="13">
        <f>E229+E199+E181+E173</f>
        <v>40112.199999999997</v>
      </c>
      <c r="F240" s="26">
        <f>E240/B240*100</f>
        <v>81.833074580095513</v>
      </c>
      <c r="G240" s="26">
        <f>E240/C240*100</f>
        <v>99.19505807699251</v>
      </c>
      <c r="H240" s="13">
        <f t="shared" ref="H240:AE240" si="92">H229+H199+H181+H173</f>
        <v>3270.5</v>
      </c>
      <c r="I240" s="13">
        <f t="shared" si="92"/>
        <v>1927.1</v>
      </c>
      <c r="J240" s="13">
        <f t="shared" si="92"/>
        <v>3378.3999999999996</v>
      </c>
      <c r="K240" s="13">
        <f t="shared" si="92"/>
        <v>3244.1</v>
      </c>
      <c r="L240" s="13">
        <f t="shared" si="92"/>
        <v>3455.6000000000004</v>
      </c>
      <c r="M240" s="13">
        <f t="shared" si="92"/>
        <v>2769.3999999999996</v>
      </c>
      <c r="N240" s="13">
        <f t="shared" si="92"/>
        <v>4118.8999999999996</v>
      </c>
      <c r="O240" s="13">
        <f t="shared" si="92"/>
        <v>3409.4</v>
      </c>
      <c r="P240" s="13">
        <f t="shared" si="92"/>
        <v>4034.9</v>
      </c>
      <c r="Q240" s="13">
        <f t="shared" si="92"/>
        <v>3523</v>
      </c>
      <c r="R240" s="13">
        <f t="shared" si="92"/>
        <v>3368.6</v>
      </c>
      <c r="S240" s="13">
        <f t="shared" si="92"/>
        <v>3259.3</v>
      </c>
      <c r="T240" s="13">
        <f t="shared" si="92"/>
        <v>4318.8</v>
      </c>
      <c r="U240" s="13">
        <f t="shared" si="92"/>
        <v>5042.6000000000004</v>
      </c>
      <c r="V240" s="13">
        <f t="shared" si="92"/>
        <v>2414.1</v>
      </c>
      <c r="W240" s="13">
        <f t="shared" si="92"/>
        <v>2372</v>
      </c>
      <c r="X240" s="13">
        <f t="shared" si="92"/>
        <v>2930</v>
      </c>
      <c r="Y240" s="13">
        <f t="shared" si="92"/>
        <v>2605</v>
      </c>
      <c r="Z240" s="13">
        <f t="shared" si="92"/>
        <v>3641.7000000000003</v>
      </c>
      <c r="AA240" s="13">
        <f t="shared" si="92"/>
        <v>9401.6</v>
      </c>
      <c r="AB240" s="13">
        <f t="shared" si="92"/>
        <v>5508.2000000000007</v>
      </c>
      <c r="AC240" s="13">
        <f t="shared" si="92"/>
        <v>2559</v>
      </c>
      <c r="AD240" s="13">
        <f t="shared" si="92"/>
        <v>8577.4</v>
      </c>
      <c r="AE240" s="13">
        <f t="shared" si="92"/>
        <v>0</v>
      </c>
      <c r="AF240" s="43"/>
      <c r="AG240" s="15"/>
      <c r="AH240" s="15"/>
      <c r="AI240" s="15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</row>
    <row r="241" spans="1:62" ht="18.75" x14ac:dyDescent="0.3">
      <c r="A241" s="19" t="s">
        <v>28</v>
      </c>
      <c r="B241" s="13">
        <f t="shared" ref="B241:E242" si="93">B230+B200+B182</f>
        <v>0</v>
      </c>
      <c r="C241" s="13">
        <f t="shared" si="93"/>
        <v>0</v>
      </c>
      <c r="D241" s="13">
        <f t="shared" si="93"/>
        <v>0</v>
      </c>
      <c r="E241" s="13">
        <f t="shared" si="93"/>
        <v>0</v>
      </c>
      <c r="F241" s="136"/>
      <c r="G241" s="136"/>
      <c r="H241" s="13">
        <f>H230+H200+H182</f>
        <v>0</v>
      </c>
      <c r="I241" s="13">
        <f t="shared" ref="I241:AE242" si="94">I230+I200+I182</f>
        <v>0</v>
      </c>
      <c r="J241" s="13">
        <f t="shared" si="94"/>
        <v>0</v>
      </c>
      <c r="K241" s="13">
        <f t="shared" si="94"/>
        <v>0</v>
      </c>
      <c r="L241" s="13">
        <f t="shared" si="94"/>
        <v>0</v>
      </c>
      <c r="M241" s="13">
        <f t="shared" si="94"/>
        <v>0</v>
      </c>
      <c r="N241" s="13">
        <f t="shared" si="94"/>
        <v>0</v>
      </c>
      <c r="O241" s="13">
        <f t="shared" si="94"/>
        <v>0</v>
      </c>
      <c r="P241" s="13">
        <f t="shared" si="94"/>
        <v>0</v>
      </c>
      <c r="Q241" s="13">
        <f t="shared" si="94"/>
        <v>0</v>
      </c>
      <c r="R241" s="13">
        <f t="shared" si="94"/>
        <v>0</v>
      </c>
      <c r="S241" s="13">
        <f t="shared" si="94"/>
        <v>0</v>
      </c>
      <c r="T241" s="13">
        <f t="shared" si="94"/>
        <v>0</v>
      </c>
      <c r="U241" s="13">
        <f t="shared" si="94"/>
        <v>0</v>
      </c>
      <c r="V241" s="13">
        <f t="shared" si="94"/>
        <v>0</v>
      </c>
      <c r="W241" s="13">
        <f t="shared" si="94"/>
        <v>0</v>
      </c>
      <c r="X241" s="13">
        <f t="shared" si="94"/>
        <v>0</v>
      </c>
      <c r="Y241" s="13">
        <f t="shared" si="94"/>
        <v>0</v>
      </c>
      <c r="Z241" s="13">
        <f t="shared" si="94"/>
        <v>0</v>
      </c>
      <c r="AA241" s="13">
        <f t="shared" si="94"/>
        <v>0</v>
      </c>
      <c r="AB241" s="13">
        <f t="shared" si="94"/>
        <v>0</v>
      </c>
      <c r="AC241" s="13">
        <f t="shared" si="94"/>
        <v>0</v>
      </c>
      <c r="AD241" s="13">
        <f t="shared" si="94"/>
        <v>0</v>
      </c>
      <c r="AE241" s="13">
        <f t="shared" si="94"/>
        <v>0</v>
      </c>
      <c r="AF241" s="43"/>
      <c r="AG241" s="15"/>
      <c r="AH241" s="15"/>
      <c r="AI241" s="15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</row>
    <row r="242" spans="1:62" ht="18.75" x14ac:dyDescent="0.3">
      <c r="A242" s="19" t="s">
        <v>29</v>
      </c>
      <c r="B242" s="13">
        <f t="shared" si="93"/>
        <v>0</v>
      </c>
      <c r="C242" s="13">
        <f t="shared" si="93"/>
        <v>0</v>
      </c>
      <c r="D242" s="13">
        <f t="shared" si="93"/>
        <v>0</v>
      </c>
      <c r="E242" s="13">
        <f t="shared" si="93"/>
        <v>0</v>
      </c>
      <c r="F242" s="21"/>
      <c r="G242" s="21"/>
      <c r="H242" s="13">
        <f>H231+H201+H183</f>
        <v>0</v>
      </c>
      <c r="I242" s="13">
        <f t="shared" si="94"/>
        <v>0</v>
      </c>
      <c r="J242" s="13">
        <f t="shared" si="94"/>
        <v>0</v>
      </c>
      <c r="K242" s="13">
        <f t="shared" si="94"/>
        <v>0</v>
      </c>
      <c r="L242" s="13">
        <f t="shared" si="94"/>
        <v>0</v>
      </c>
      <c r="M242" s="13">
        <f t="shared" si="94"/>
        <v>0</v>
      </c>
      <c r="N242" s="13">
        <f t="shared" si="94"/>
        <v>0</v>
      </c>
      <c r="O242" s="13">
        <f t="shared" si="94"/>
        <v>0</v>
      </c>
      <c r="P242" s="13">
        <f t="shared" si="94"/>
        <v>0</v>
      </c>
      <c r="Q242" s="13">
        <f t="shared" si="94"/>
        <v>0</v>
      </c>
      <c r="R242" s="13">
        <f t="shared" si="94"/>
        <v>0</v>
      </c>
      <c r="S242" s="13">
        <f t="shared" si="94"/>
        <v>0</v>
      </c>
      <c r="T242" s="13">
        <f t="shared" si="94"/>
        <v>0</v>
      </c>
      <c r="U242" s="13">
        <f t="shared" si="94"/>
        <v>0</v>
      </c>
      <c r="V242" s="13">
        <f t="shared" si="94"/>
        <v>0</v>
      </c>
      <c r="W242" s="13">
        <f t="shared" si="94"/>
        <v>0</v>
      </c>
      <c r="X242" s="13">
        <f t="shared" si="94"/>
        <v>0</v>
      </c>
      <c r="Y242" s="13">
        <f t="shared" si="94"/>
        <v>0</v>
      </c>
      <c r="Z242" s="13">
        <f t="shared" si="94"/>
        <v>0</v>
      </c>
      <c r="AA242" s="13">
        <f t="shared" si="94"/>
        <v>0</v>
      </c>
      <c r="AB242" s="13">
        <f t="shared" si="94"/>
        <v>0</v>
      </c>
      <c r="AC242" s="13">
        <f t="shared" si="94"/>
        <v>0</v>
      </c>
      <c r="AD242" s="13">
        <f t="shared" si="94"/>
        <v>0</v>
      </c>
      <c r="AE242" s="13">
        <f t="shared" si="94"/>
        <v>0</v>
      </c>
      <c r="AF242" s="43"/>
      <c r="AG242" s="15"/>
      <c r="AH242" s="15"/>
      <c r="AI242" s="15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</row>
    <row r="243" spans="1:62" ht="18.75" x14ac:dyDescent="0.3">
      <c r="A243" s="103" t="s">
        <v>126</v>
      </c>
      <c r="B243" s="104"/>
      <c r="C243" s="104"/>
      <c r="D243" s="104"/>
      <c r="E243" s="104"/>
      <c r="F243" s="105"/>
      <c r="G243" s="105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43"/>
      <c r="AG243" s="15"/>
      <c r="AH243" s="15"/>
      <c r="AI243" s="15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</row>
    <row r="244" spans="1:62" ht="18.75" x14ac:dyDescent="0.3">
      <c r="A244" s="106" t="s">
        <v>119</v>
      </c>
      <c r="B244" s="104">
        <f>B245+B246+B247+B248</f>
        <v>11</v>
      </c>
      <c r="C244" s="104">
        <f>C245+C246+C247+C248</f>
        <v>9</v>
      </c>
      <c r="D244" s="104">
        <f>D245+D246+D247+D248</f>
        <v>9</v>
      </c>
      <c r="E244" s="104">
        <f>E245+E246+E247+E248</f>
        <v>9</v>
      </c>
      <c r="F244" s="104">
        <f>IFERROR(E244/B244*100,0)</f>
        <v>81.818181818181827</v>
      </c>
      <c r="G244" s="104">
        <f>IFERROR(E244/C244*100,0)</f>
        <v>100</v>
      </c>
      <c r="H244" s="104">
        <f t="shared" ref="H244:AE244" si="95">H245+H246+H247+H248</f>
        <v>2</v>
      </c>
      <c r="I244" s="104">
        <f t="shared" si="95"/>
        <v>2</v>
      </c>
      <c r="J244" s="104">
        <f t="shared" si="95"/>
        <v>2</v>
      </c>
      <c r="K244" s="104">
        <f t="shared" si="95"/>
        <v>2</v>
      </c>
      <c r="L244" s="104">
        <f t="shared" si="95"/>
        <v>0</v>
      </c>
      <c r="M244" s="104">
        <f t="shared" si="95"/>
        <v>0</v>
      </c>
      <c r="N244" s="104">
        <f t="shared" si="95"/>
        <v>3</v>
      </c>
      <c r="O244" s="104">
        <f t="shared" si="95"/>
        <v>3</v>
      </c>
      <c r="P244" s="104">
        <f t="shared" si="95"/>
        <v>0</v>
      </c>
      <c r="Q244" s="104">
        <f t="shared" si="95"/>
        <v>0</v>
      </c>
      <c r="R244" s="104">
        <f t="shared" si="95"/>
        <v>0</v>
      </c>
      <c r="S244" s="104">
        <f t="shared" si="95"/>
        <v>0</v>
      </c>
      <c r="T244" s="104">
        <f t="shared" si="95"/>
        <v>0</v>
      </c>
      <c r="U244" s="104">
        <f t="shared" si="95"/>
        <v>0</v>
      </c>
      <c r="V244" s="104">
        <f t="shared" si="95"/>
        <v>2</v>
      </c>
      <c r="W244" s="104">
        <f t="shared" si="95"/>
        <v>2</v>
      </c>
      <c r="X244" s="104">
        <f t="shared" si="95"/>
        <v>0</v>
      </c>
      <c r="Y244" s="104">
        <f t="shared" si="95"/>
        <v>0</v>
      </c>
      <c r="Z244" s="104">
        <f t="shared" si="95"/>
        <v>0</v>
      </c>
      <c r="AA244" s="104">
        <f t="shared" si="95"/>
        <v>0</v>
      </c>
      <c r="AB244" s="104">
        <f t="shared" si="95"/>
        <v>2</v>
      </c>
      <c r="AC244" s="104">
        <f t="shared" si="95"/>
        <v>0</v>
      </c>
      <c r="AD244" s="104">
        <f t="shared" si="95"/>
        <v>0</v>
      </c>
      <c r="AE244" s="104">
        <f t="shared" si="95"/>
        <v>0</v>
      </c>
      <c r="AF244" s="43"/>
      <c r="AG244" s="15"/>
      <c r="AH244" s="15"/>
      <c r="AI244" s="15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</row>
    <row r="245" spans="1:62" ht="18.75" x14ac:dyDescent="0.3">
      <c r="A245" s="106" t="s">
        <v>28</v>
      </c>
      <c r="B245" s="98"/>
      <c r="C245" s="98"/>
      <c r="D245" s="98"/>
      <c r="E245" s="98"/>
      <c r="F245" s="120">
        <f>IFERROR(E245/B245*100,0)</f>
        <v>0</v>
      </c>
      <c r="G245" s="120">
        <f>IFERROR(E245/C245*100,0)</f>
        <v>0</v>
      </c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43"/>
      <c r="AG245" s="15"/>
      <c r="AH245" s="15"/>
      <c r="AI245" s="15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</row>
    <row r="246" spans="1:62" ht="18.75" x14ac:dyDescent="0.3">
      <c r="A246" s="106" t="s">
        <v>26</v>
      </c>
      <c r="B246" s="98"/>
      <c r="C246" s="98"/>
      <c r="D246" s="98"/>
      <c r="E246" s="98"/>
      <c r="F246" s="120">
        <f>IFERROR(E246/B246*100,0)</f>
        <v>0</v>
      </c>
      <c r="G246" s="120">
        <f>IFERROR(E246/C246*100,0)</f>
        <v>0</v>
      </c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43"/>
      <c r="AG246" s="15"/>
      <c r="AH246" s="15"/>
      <c r="AI246" s="15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</row>
    <row r="247" spans="1:62" ht="18.75" x14ac:dyDescent="0.3">
      <c r="A247" s="106" t="s">
        <v>27</v>
      </c>
      <c r="B247" s="98">
        <f>SUM(B173)</f>
        <v>11</v>
      </c>
      <c r="C247" s="98">
        <f>SUM(C173)</f>
        <v>9</v>
      </c>
      <c r="D247" s="98">
        <f>SUM(D173)</f>
        <v>9</v>
      </c>
      <c r="E247" s="98">
        <f>SUM(E173)</f>
        <v>9</v>
      </c>
      <c r="F247" s="120">
        <f>IFERROR(E247/B247*100,0)</f>
        <v>81.818181818181827</v>
      </c>
      <c r="G247" s="120">
        <f>IFERROR(E247/C247*100,0)</f>
        <v>100</v>
      </c>
      <c r="H247" s="98">
        <f t="shared" ref="H247:AE247" si="96">SUM(H173)</f>
        <v>2</v>
      </c>
      <c r="I247" s="98">
        <f t="shared" si="96"/>
        <v>2</v>
      </c>
      <c r="J247" s="98">
        <f t="shared" si="96"/>
        <v>2</v>
      </c>
      <c r="K247" s="98">
        <f t="shared" si="96"/>
        <v>2</v>
      </c>
      <c r="L247" s="98">
        <f t="shared" si="96"/>
        <v>0</v>
      </c>
      <c r="M247" s="98">
        <f t="shared" si="96"/>
        <v>0</v>
      </c>
      <c r="N247" s="98">
        <f t="shared" si="96"/>
        <v>3</v>
      </c>
      <c r="O247" s="98">
        <f t="shared" si="96"/>
        <v>3</v>
      </c>
      <c r="P247" s="98">
        <f t="shared" si="96"/>
        <v>0</v>
      </c>
      <c r="Q247" s="98">
        <f t="shared" si="96"/>
        <v>0</v>
      </c>
      <c r="R247" s="98">
        <f t="shared" si="96"/>
        <v>0</v>
      </c>
      <c r="S247" s="98">
        <f t="shared" si="96"/>
        <v>0</v>
      </c>
      <c r="T247" s="98">
        <f t="shared" si="96"/>
        <v>0</v>
      </c>
      <c r="U247" s="98">
        <f t="shared" si="96"/>
        <v>0</v>
      </c>
      <c r="V247" s="98">
        <f t="shared" si="96"/>
        <v>2</v>
      </c>
      <c r="W247" s="98">
        <f t="shared" si="96"/>
        <v>2</v>
      </c>
      <c r="X247" s="98">
        <f t="shared" si="96"/>
        <v>0</v>
      </c>
      <c r="Y247" s="98">
        <f t="shared" si="96"/>
        <v>0</v>
      </c>
      <c r="Z247" s="98">
        <f t="shared" si="96"/>
        <v>0</v>
      </c>
      <c r="AA247" s="98">
        <f t="shared" si="96"/>
        <v>0</v>
      </c>
      <c r="AB247" s="98">
        <f t="shared" si="96"/>
        <v>2</v>
      </c>
      <c r="AC247" s="98">
        <f t="shared" si="96"/>
        <v>0</v>
      </c>
      <c r="AD247" s="98">
        <f t="shared" si="96"/>
        <v>0</v>
      </c>
      <c r="AE247" s="98">
        <f t="shared" si="96"/>
        <v>0</v>
      </c>
      <c r="AF247" s="43"/>
      <c r="AG247" s="15"/>
      <c r="AH247" s="15"/>
      <c r="AI247" s="15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</row>
    <row r="248" spans="1:62" ht="18.75" x14ac:dyDescent="0.3">
      <c r="A248" s="106" t="s">
        <v>120</v>
      </c>
      <c r="B248" s="98"/>
      <c r="C248" s="98"/>
      <c r="D248" s="98"/>
      <c r="E248" s="98"/>
      <c r="F248" s="120">
        <f>IFERROR(E248/B248*100,0)</f>
        <v>0</v>
      </c>
      <c r="G248" s="120">
        <f>IFERROR(E248/C248*100,0)</f>
        <v>0</v>
      </c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43"/>
      <c r="AG248" s="15"/>
      <c r="AH248" s="15"/>
      <c r="AI248" s="15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</row>
    <row r="249" spans="1:62" ht="18.75" x14ac:dyDescent="0.3">
      <c r="A249" s="107" t="s">
        <v>127</v>
      </c>
      <c r="B249" s="108"/>
      <c r="C249" s="108"/>
      <c r="D249" s="108"/>
      <c r="E249" s="108"/>
      <c r="F249" s="109"/>
      <c r="G249" s="109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10"/>
      <c r="AE249" s="111"/>
      <c r="AF249" s="43"/>
      <c r="AG249" s="15"/>
      <c r="AH249" s="15"/>
      <c r="AI249" s="15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</row>
    <row r="250" spans="1:62" ht="18.75" x14ac:dyDescent="0.3">
      <c r="A250" s="107" t="s">
        <v>119</v>
      </c>
      <c r="B250" s="111">
        <f>B251+B252+B253+B254</f>
        <v>49006.1</v>
      </c>
      <c r="C250" s="111">
        <f>C251+C252+C253+C254</f>
        <v>40428.699999999997</v>
      </c>
      <c r="D250" s="111">
        <f>D251+D252+D253+D254</f>
        <v>40103.199999999997</v>
      </c>
      <c r="E250" s="111">
        <f>E251+E252+E253+E254</f>
        <v>40103.199999999997</v>
      </c>
      <c r="F250" s="111">
        <f>IFERROR(E250/B250*100,0)</f>
        <v>81.833077922952441</v>
      </c>
      <c r="G250" s="111">
        <f>IFERROR(E250/C250*100,0)</f>
        <v>99.194878885544185</v>
      </c>
      <c r="H250" s="111">
        <f t="shared" ref="H250:AE250" si="97">H251+H252+H253+H254</f>
        <v>3268.5</v>
      </c>
      <c r="I250" s="111">
        <f t="shared" si="97"/>
        <v>1925.1</v>
      </c>
      <c r="J250" s="111">
        <f t="shared" si="97"/>
        <v>3376.3999999999996</v>
      </c>
      <c r="K250" s="111">
        <f t="shared" si="97"/>
        <v>3242.1000000000004</v>
      </c>
      <c r="L250" s="111">
        <f t="shared" si="97"/>
        <v>3455.6000000000004</v>
      </c>
      <c r="M250" s="111">
        <f t="shared" si="97"/>
        <v>2769.4</v>
      </c>
      <c r="N250" s="111">
        <f t="shared" si="97"/>
        <v>4115.8999999999996</v>
      </c>
      <c r="O250" s="111">
        <f t="shared" si="97"/>
        <v>3406.4</v>
      </c>
      <c r="P250" s="111">
        <f t="shared" si="97"/>
        <v>4034.9</v>
      </c>
      <c r="Q250" s="111">
        <f t="shared" si="97"/>
        <v>3523</v>
      </c>
      <c r="R250" s="111">
        <f t="shared" si="97"/>
        <v>3368.6</v>
      </c>
      <c r="S250" s="111">
        <f t="shared" si="97"/>
        <v>3259.3</v>
      </c>
      <c r="T250" s="111">
        <f t="shared" si="97"/>
        <v>4318.8</v>
      </c>
      <c r="U250" s="111">
        <f t="shared" si="97"/>
        <v>5042.6000000000004</v>
      </c>
      <c r="V250" s="111">
        <f t="shared" si="97"/>
        <v>2412.1</v>
      </c>
      <c r="W250" s="111">
        <f t="shared" si="97"/>
        <v>2370</v>
      </c>
      <c r="X250" s="111">
        <f t="shared" si="97"/>
        <v>2930</v>
      </c>
      <c r="Y250" s="111">
        <f t="shared" si="97"/>
        <v>2605</v>
      </c>
      <c r="Z250" s="111">
        <f t="shared" si="97"/>
        <v>3641.7000000000003</v>
      </c>
      <c r="AA250" s="111">
        <f t="shared" si="97"/>
        <v>9401.6</v>
      </c>
      <c r="AB250" s="111">
        <f t="shared" si="97"/>
        <v>5506.2000000000007</v>
      </c>
      <c r="AC250" s="111">
        <f t="shared" si="97"/>
        <v>2559</v>
      </c>
      <c r="AD250" s="111">
        <f t="shared" si="97"/>
        <v>8577.4</v>
      </c>
      <c r="AE250" s="111">
        <f t="shared" si="97"/>
        <v>0</v>
      </c>
      <c r="AF250" s="43"/>
      <c r="AG250" s="15"/>
      <c r="AH250" s="15"/>
      <c r="AI250" s="15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</row>
    <row r="251" spans="1:62" ht="18.75" x14ac:dyDescent="0.3">
      <c r="A251" s="107" t="s">
        <v>28</v>
      </c>
      <c r="B251" s="98">
        <f>SUM(B182,B200,B230)</f>
        <v>0</v>
      </c>
      <c r="C251" s="98">
        <f>SUM(C182,C200,C230)</f>
        <v>0</v>
      </c>
      <c r="D251" s="98">
        <f>SUM(D182,D200,D230)</f>
        <v>0</v>
      </c>
      <c r="E251" s="98">
        <f>SUM(E182,E200,E230)</f>
        <v>0</v>
      </c>
      <c r="F251" s="120">
        <f>IFERROR(E251/B251*100,0)</f>
        <v>0</v>
      </c>
      <c r="G251" s="120">
        <f>IFERROR(E251/C251*100,0)</f>
        <v>0</v>
      </c>
      <c r="H251" s="98">
        <f>SUM(H182,H200,H230)</f>
        <v>0</v>
      </c>
      <c r="I251" s="98">
        <f t="shared" ref="I251:AE251" si="98">SUM(I182,I200,I230)</f>
        <v>0</v>
      </c>
      <c r="J251" s="98">
        <f t="shared" si="98"/>
        <v>0</v>
      </c>
      <c r="K251" s="98">
        <f t="shared" si="98"/>
        <v>0</v>
      </c>
      <c r="L251" s="98">
        <f t="shared" si="98"/>
        <v>0</v>
      </c>
      <c r="M251" s="98">
        <f t="shared" si="98"/>
        <v>0</v>
      </c>
      <c r="N251" s="98">
        <f t="shared" si="98"/>
        <v>0</v>
      </c>
      <c r="O251" s="98">
        <f t="shared" si="98"/>
        <v>0</v>
      </c>
      <c r="P251" s="98">
        <f t="shared" si="98"/>
        <v>0</v>
      </c>
      <c r="Q251" s="98">
        <f t="shared" si="98"/>
        <v>0</v>
      </c>
      <c r="R251" s="98">
        <f t="shared" si="98"/>
        <v>0</v>
      </c>
      <c r="S251" s="98">
        <f t="shared" si="98"/>
        <v>0</v>
      </c>
      <c r="T251" s="98">
        <f t="shared" si="98"/>
        <v>0</v>
      </c>
      <c r="U251" s="98">
        <f t="shared" si="98"/>
        <v>0</v>
      </c>
      <c r="V251" s="98">
        <f t="shared" si="98"/>
        <v>0</v>
      </c>
      <c r="W251" s="98">
        <f t="shared" si="98"/>
        <v>0</v>
      </c>
      <c r="X251" s="98">
        <f t="shared" si="98"/>
        <v>0</v>
      </c>
      <c r="Y251" s="98">
        <f t="shared" si="98"/>
        <v>0</v>
      </c>
      <c r="Z251" s="98">
        <f t="shared" si="98"/>
        <v>0</v>
      </c>
      <c r="AA251" s="98">
        <f t="shared" si="98"/>
        <v>0</v>
      </c>
      <c r="AB251" s="98">
        <f t="shared" si="98"/>
        <v>0</v>
      </c>
      <c r="AC251" s="98">
        <f t="shared" si="98"/>
        <v>0</v>
      </c>
      <c r="AD251" s="98">
        <f t="shared" si="98"/>
        <v>0</v>
      </c>
      <c r="AE251" s="98">
        <f t="shared" si="98"/>
        <v>0</v>
      </c>
      <c r="AF251" s="43"/>
      <c r="AG251" s="15"/>
      <c r="AH251" s="15"/>
      <c r="AI251" s="15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</row>
    <row r="252" spans="1:62" ht="18.75" x14ac:dyDescent="0.3">
      <c r="A252" s="107" t="s">
        <v>26</v>
      </c>
      <c r="B252" s="98">
        <f t="shared" ref="B252:E253" si="99">SUM(B180,B198,B228)</f>
        <v>0</v>
      </c>
      <c r="C252" s="98">
        <f t="shared" si="99"/>
        <v>0</v>
      </c>
      <c r="D252" s="98">
        <f t="shared" si="99"/>
        <v>0</v>
      </c>
      <c r="E252" s="98">
        <f t="shared" si="99"/>
        <v>0</v>
      </c>
      <c r="F252" s="120">
        <f>IFERROR(E252/B252*100,0)</f>
        <v>0</v>
      </c>
      <c r="G252" s="120">
        <f>IFERROR(E252/C252*100,0)</f>
        <v>0</v>
      </c>
      <c r="H252" s="98">
        <f>SUM(H180,H198,H228)</f>
        <v>0</v>
      </c>
      <c r="I252" s="98">
        <f t="shared" ref="I252:AE253" si="100">SUM(I180,I198,I228)</f>
        <v>0</v>
      </c>
      <c r="J252" s="98">
        <f t="shared" si="100"/>
        <v>0</v>
      </c>
      <c r="K252" s="98">
        <f t="shared" si="100"/>
        <v>0</v>
      </c>
      <c r="L252" s="98">
        <f t="shared" si="100"/>
        <v>0</v>
      </c>
      <c r="M252" s="98">
        <f t="shared" si="100"/>
        <v>0</v>
      </c>
      <c r="N252" s="98">
        <f t="shared" si="100"/>
        <v>0</v>
      </c>
      <c r="O252" s="98">
        <f t="shared" si="100"/>
        <v>0</v>
      </c>
      <c r="P252" s="98">
        <f t="shared" si="100"/>
        <v>0</v>
      </c>
      <c r="Q252" s="98">
        <f t="shared" si="100"/>
        <v>0</v>
      </c>
      <c r="R252" s="98">
        <f t="shared" si="100"/>
        <v>0</v>
      </c>
      <c r="S252" s="98">
        <f t="shared" si="100"/>
        <v>0</v>
      </c>
      <c r="T252" s="98">
        <f t="shared" si="100"/>
        <v>0</v>
      </c>
      <c r="U252" s="98">
        <f t="shared" si="100"/>
        <v>0</v>
      </c>
      <c r="V252" s="98">
        <f t="shared" si="100"/>
        <v>0</v>
      </c>
      <c r="W252" s="98">
        <f t="shared" si="100"/>
        <v>0</v>
      </c>
      <c r="X252" s="98">
        <f t="shared" si="100"/>
        <v>0</v>
      </c>
      <c r="Y252" s="98">
        <f t="shared" si="100"/>
        <v>0</v>
      </c>
      <c r="Z252" s="98">
        <f t="shared" si="100"/>
        <v>0</v>
      </c>
      <c r="AA252" s="98">
        <f t="shared" si="100"/>
        <v>0</v>
      </c>
      <c r="AB252" s="98">
        <f t="shared" si="100"/>
        <v>0</v>
      </c>
      <c r="AC252" s="98">
        <f t="shared" si="100"/>
        <v>0</v>
      </c>
      <c r="AD252" s="98">
        <f t="shared" si="100"/>
        <v>0</v>
      </c>
      <c r="AE252" s="98">
        <f t="shared" si="100"/>
        <v>0</v>
      </c>
      <c r="AF252" s="43"/>
      <c r="AG252" s="15"/>
      <c r="AH252" s="15"/>
      <c r="AI252" s="15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</row>
    <row r="253" spans="1:62" ht="18.75" x14ac:dyDescent="0.3">
      <c r="A253" s="107" t="s">
        <v>27</v>
      </c>
      <c r="B253" s="98">
        <f t="shared" si="99"/>
        <v>49006.1</v>
      </c>
      <c r="C253" s="98">
        <f t="shared" si="99"/>
        <v>40428.699999999997</v>
      </c>
      <c r="D253" s="98">
        <f t="shared" si="99"/>
        <v>40103.199999999997</v>
      </c>
      <c r="E253" s="98">
        <f t="shared" si="99"/>
        <v>40103.199999999997</v>
      </c>
      <c r="F253" s="120">
        <f>IFERROR(E253/B253*100,0)</f>
        <v>81.833077922952441</v>
      </c>
      <c r="G253" s="120">
        <f>IFERROR(E253/C253*100,0)</f>
        <v>99.194878885544185</v>
      </c>
      <c r="H253" s="98">
        <f>SUM(H181,H199,H229)</f>
        <v>3268.5</v>
      </c>
      <c r="I253" s="98">
        <f t="shared" si="100"/>
        <v>1925.1</v>
      </c>
      <c r="J253" s="98">
        <f t="shared" si="100"/>
        <v>3376.3999999999996</v>
      </c>
      <c r="K253" s="98">
        <f t="shared" si="100"/>
        <v>3242.1000000000004</v>
      </c>
      <c r="L253" s="98">
        <f t="shared" si="100"/>
        <v>3455.6000000000004</v>
      </c>
      <c r="M253" s="98">
        <f t="shared" si="100"/>
        <v>2769.4</v>
      </c>
      <c r="N253" s="98">
        <f t="shared" si="100"/>
        <v>4115.8999999999996</v>
      </c>
      <c r="O253" s="98">
        <f t="shared" si="100"/>
        <v>3406.4</v>
      </c>
      <c r="P253" s="98">
        <f t="shared" si="100"/>
        <v>4034.9</v>
      </c>
      <c r="Q253" s="98">
        <f t="shared" si="100"/>
        <v>3523</v>
      </c>
      <c r="R253" s="98">
        <f t="shared" si="100"/>
        <v>3368.6</v>
      </c>
      <c r="S253" s="98">
        <f t="shared" si="100"/>
        <v>3259.3</v>
      </c>
      <c r="T253" s="98">
        <f t="shared" si="100"/>
        <v>4318.8</v>
      </c>
      <c r="U253" s="98">
        <f t="shared" si="100"/>
        <v>5042.6000000000004</v>
      </c>
      <c r="V253" s="98">
        <f t="shared" si="100"/>
        <v>2412.1</v>
      </c>
      <c r="W253" s="98">
        <f t="shared" si="100"/>
        <v>2370</v>
      </c>
      <c r="X253" s="98">
        <f t="shared" si="100"/>
        <v>2930</v>
      </c>
      <c r="Y253" s="98">
        <f t="shared" si="100"/>
        <v>2605</v>
      </c>
      <c r="Z253" s="98">
        <f t="shared" si="100"/>
        <v>3641.7000000000003</v>
      </c>
      <c r="AA253" s="98">
        <f t="shared" si="100"/>
        <v>9401.6</v>
      </c>
      <c r="AB253" s="98">
        <f t="shared" si="100"/>
        <v>5506.2000000000007</v>
      </c>
      <c r="AC253" s="98">
        <f t="shared" si="100"/>
        <v>2559</v>
      </c>
      <c r="AD253" s="98">
        <f t="shared" si="100"/>
        <v>8577.4</v>
      </c>
      <c r="AE253" s="98">
        <f t="shared" si="100"/>
        <v>0</v>
      </c>
      <c r="AF253" s="43"/>
      <c r="AG253" s="15"/>
      <c r="AH253" s="15"/>
      <c r="AI253" s="15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</row>
    <row r="254" spans="1:62" ht="18.75" x14ac:dyDescent="0.3">
      <c r="A254" s="107" t="s">
        <v>120</v>
      </c>
      <c r="B254" s="98">
        <f>SUM(B183,B201,B231)</f>
        <v>0</v>
      </c>
      <c r="C254" s="98">
        <f>SUM(C183,C201,C231)</f>
        <v>0</v>
      </c>
      <c r="D254" s="98">
        <f>SUM(D183,D201,D231)</f>
        <v>0</v>
      </c>
      <c r="E254" s="98">
        <f>SUM(E183,E201,E231)</f>
        <v>0</v>
      </c>
      <c r="F254" s="120">
        <f>IFERROR(E254/B254*100,0)</f>
        <v>0</v>
      </c>
      <c r="G254" s="120">
        <f>IFERROR(E254/C254*100,0)</f>
        <v>0</v>
      </c>
      <c r="H254" s="98">
        <f>SUM(H183,H201,H231)</f>
        <v>0</v>
      </c>
      <c r="I254" s="98">
        <f t="shared" ref="I254:AE254" si="101">SUM(I183,I201,I231)</f>
        <v>0</v>
      </c>
      <c r="J254" s="98">
        <f t="shared" si="101"/>
        <v>0</v>
      </c>
      <c r="K254" s="98">
        <f t="shared" si="101"/>
        <v>0</v>
      </c>
      <c r="L254" s="98">
        <f t="shared" si="101"/>
        <v>0</v>
      </c>
      <c r="M254" s="98">
        <f t="shared" si="101"/>
        <v>0</v>
      </c>
      <c r="N254" s="98">
        <f t="shared" si="101"/>
        <v>0</v>
      </c>
      <c r="O254" s="98">
        <f t="shared" si="101"/>
        <v>0</v>
      </c>
      <c r="P254" s="98">
        <f t="shared" si="101"/>
        <v>0</v>
      </c>
      <c r="Q254" s="98">
        <f t="shared" si="101"/>
        <v>0</v>
      </c>
      <c r="R254" s="98">
        <f t="shared" si="101"/>
        <v>0</v>
      </c>
      <c r="S254" s="98">
        <f t="shared" si="101"/>
        <v>0</v>
      </c>
      <c r="T254" s="98">
        <f t="shared" si="101"/>
        <v>0</v>
      </c>
      <c r="U254" s="98">
        <f t="shared" si="101"/>
        <v>0</v>
      </c>
      <c r="V254" s="98">
        <f t="shared" si="101"/>
        <v>0</v>
      </c>
      <c r="W254" s="98">
        <f t="shared" si="101"/>
        <v>0</v>
      </c>
      <c r="X254" s="98">
        <f t="shared" si="101"/>
        <v>0</v>
      </c>
      <c r="Y254" s="98">
        <f t="shared" si="101"/>
        <v>0</v>
      </c>
      <c r="Z254" s="98">
        <f t="shared" si="101"/>
        <v>0</v>
      </c>
      <c r="AA254" s="98">
        <f t="shared" si="101"/>
        <v>0</v>
      </c>
      <c r="AB254" s="98">
        <f t="shared" si="101"/>
        <v>0</v>
      </c>
      <c r="AC254" s="98">
        <f t="shared" si="101"/>
        <v>0</v>
      </c>
      <c r="AD254" s="98">
        <f t="shared" si="101"/>
        <v>0</v>
      </c>
      <c r="AE254" s="98">
        <f t="shared" si="101"/>
        <v>0</v>
      </c>
      <c r="AF254" s="43"/>
      <c r="AG254" s="15"/>
      <c r="AH254" s="15"/>
      <c r="AI254" s="15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</row>
    <row r="255" spans="1:62" ht="20.25" x14ac:dyDescent="0.25">
      <c r="A255" s="141" t="s">
        <v>37</v>
      </c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3"/>
      <c r="AE255" s="13"/>
      <c r="AF255" s="36"/>
      <c r="AG255" s="15"/>
      <c r="AH255" s="15"/>
      <c r="AI255" s="15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</row>
    <row r="256" spans="1:62" ht="20.25" x14ac:dyDescent="0.25">
      <c r="A256" s="87" t="s">
        <v>115</v>
      </c>
      <c r="B256" s="104"/>
      <c r="C256" s="104"/>
      <c r="D256" s="104"/>
      <c r="E256" s="104"/>
      <c r="F256" s="105"/>
      <c r="G256" s="105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43"/>
      <c r="AG256" s="15"/>
      <c r="AH256" s="15"/>
      <c r="AI256" s="15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</row>
    <row r="257" spans="1:62" ht="20.25" x14ac:dyDescent="0.25">
      <c r="A257" s="141" t="s">
        <v>87</v>
      </c>
      <c r="B257" s="142" t="s">
        <v>38</v>
      </c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3"/>
      <c r="AF257" s="36"/>
      <c r="AG257" s="15"/>
      <c r="AH257" s="15"/>
      <c r="AI257" s="15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</row>
    <row r="258" spans="1:62" ht="18.75" x14ac:dyDescent="0.3">
      <c r="A258" s="19" t="s">
        <v>25</v>
      </c>
      <c r="B258" s="13">
        <f>H258+J258+L258+N258+P258+R258+T258+V258+X258+Z258+AB258+AD258</f>
        <v>313913.28999999998</v>
      </c>
      <c r="C258" s="13">
        <f>C259+C260+C262+C263</f>
        <v>25700.1</v>
      </c>
      <c r="D258" s="13">
        <f>D259+D260+D262+D263</f>
        <v>0</v>
      </c>
      <c r="E258" s="13">
        <f>E259+E260+E262+E263</f>
        <v>0</v>
      </c>
      <c r="F258" s="121">
        <f t="shared" ref="F258:F263" si="102">IFERROR(E258/B258*100,0)</f>
        <v>0</v>
      </c>
      <c r="G258" s="121">
        <f t="shared" ref="G258:G263" si="103">IFERROR(E258/C258*100,0)</f>
        <v>0</v>
      </c>
      <c r="H258" s="13">
        <f t="shared" ref="H258:AE258" si="104">H259+H260+H262+H263</f>
        <v>0</v>
      </c>
      <c r="I258" s="13">
        <f t="shared" si="104"/>
        <v>0</v>
      </c>
      <c r="J258" s="13">
        <f t="shared" si="104"/>
        <v>0</v>
      </c>
      <c r="K258" s="13">
        <f t="shared" si="104"/>
        <v>0</v>
      </c>
      <c r="L258" s="13">
        <f t="shared" si="104"/>
        <v>0</v>
      </c>
      <c r="M258" s="13">
        <f t="shared" si="104"/>
        <v>0</v>
      </c>
      <c r="N258" s="13">
        <f t="shared" si="104"/>
        <v>0</v>
      </c>
      <c r="O258" s="13">
        <f t="shared" si="104"/>
        <v>0</v>
      </c>
      <c r="P258" s="13">
        <f t="shared" si="104"/>
        <v>0</v>
      </c>
      <c r="Q258" s="13">
        <f t="shared" si="104"/>
        <v>0</v>
      </c>
      <c r="R258" s="13">
        <f t="shared" si="104"/>
        <v>0</v>
      </c>
      <c r="S258" s="13">
        <f t="shared" si="104"/>
        <v>0</v>
      </c>
      <c r="T258" s="13">
        <f t="shared" si="104"/>
        <v>0</v>
      </c>
      <c r="U258" s="13">
        <f t="shared" si="104"/>
        <v>0</v>
      </c>
      <c r="V258" s="13">
        <f t="shared" si="104"/>
        <v>0</v>
      </c>
      <c r="W258" s="13">
        <f t="shared" si="104"/>
        <v>0</v>
      </c>
      <c r="X258" s="13">
        <f t="shared" si="104"/>
        <v>14196.800000000001</v>
      </c>
      <c r="Y258" s="13">
        <f t="shared" si="104"/>
        <v>0</v>
      </c>
      <c r="Z258" s="13">
        <f t="shared" si="104"/>
        <v>0</v>
      </c>
      <c r="AA258" s="13">
        <f t="shared" si="104"/>
        <v>0</v>
      </c>
      <c r="AB258" s="13">
        <f t="shared" si="104"/>
        <v>11503.3</v>
      </c>
      <c r="AC258" s="13">
        <f t="shared" si="104"/>
        <v>0</v>
      </c>
      <c r="AD258" s="13">
        <f t="shared" si="104"/>
        <v>288213.19</v>
      </c>
      <c r="AE258" s="13">
        <f t="shared" si="104"/>
        <v>0</v>
      </c>
      <c r="AF258" s="36"/>
      <c r="AG258" s="15"/>
      <c r="AH258" s="15"/>
      <c r="AI258" s="15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</row>
    <row r="259" spans="1:62" ht="18.75" x14ac:dyDescent="0.3">
      <c r="A259" s="22" t="s">
        <v>26</v>
      </c>
      <c r="B259" s="23">
        <f t="shared" ref="B259:E263" si="105">B266</f>
        <v>281164.78999999998</v>
      </c>
      <c r="C259" s="23">
        <f t="shared" si="105"/>
        <v>23130.1</v>
      </c>
      <c r="D259" s="23">
        <f t="shared" si="105"/>
        <v>0</v>
      </c>
      <c r="E259" s="23">
        <f t="shared" si="105"/>
        <v>0</v>
      </c>
      <c r="F259" s="120">
        <f t="shared" si="102"/>
        <v>0</v>
      </c>
      <c r="G259" s="120">
        <f t="shared" si="103"/>
        <v>0</v>
      </c>
      <c r="H259" s="23">
        <f>H266</f>
        <v>0</v>
      </c>
      <c r="I259" s="23">
        <f t="shared" ref="I259:AE263" si="106">I266</f>
        <v>0</v>
      </c>
      <c r="J259" s="23">
        <f t="shared" si="106"/>
        <v>0</v>
      </c>
      <c r="K259" s="23">
        <f t="shared" si="106"/>
        <v>0</v>
      </c>
      <c r="L259" s="23">
        <f t="shared" si="106"/>
        <v>0</v>
      </c>
      <c r="M259" s="23">
        <f t="shared" si="106"/>
        <v>0</v>
      </c>
      <c r="N259" s="23">
        <f t="shared" si="106"/>
        <v>0</v>
      </c>
      <c r="O259" s="23">
        <f t="shared" si="106"/>
        <v>0</v>
      </c>
      <c r="P259" s="23">
        <f t="shared" si="106"/>
        <v>0</v>
      </c>
      <c r="Q259" s="23">
        <f t="shared" si="106"/>
        <v>0</v>
      </c>
      <c r="R259" s="23">
        <f t="shared" si="106"/>
        <v>0</v>
      </c>
      <c r="S259" s="23">
        <f t="shared" si="106"/>
        <v>0</v>
      </c>
      <c r="T259" s="23">
        <f t="shared" si="106"/>
        <v>0</v>
      </c>
      <c r="U259" s="23">
        <f t="shared" si="106"/>
        <v>0</v>
      </c>
      <c r="V259" s="23">
        <f t="shared" si="106"/>
        <v>0</v>
      </c>
      <c r="W259" s="23">
        <f t="shared" si="106"/>
        <v>0</v>
      </c>
      <c r="X259" s="23">
        <f t="shared" si="106"/>
        <v>12777.1</v>
      </c>
      <c r="Y259" s="23">
        <f t="shared" si="106"/>
        <v>0</v>
      </c>
      <c r="Z259" s="23">
        <f t="shared" si="106"/>
        <v>0</v>
      </c>
      <c r="AA259" s="23">
        <f t="shared" si="106"/>
        <v>0</v>
      </c>
      <c r="AB259" s="23">
        <f t="shared" si="106"/>
        <v>10353</v>
      </c>
      <c r="AC259" s="23">
        <f t="shared" si="106"/>
        <v>0</v>
      </c>
      <c r="AD259" s="23">
        <f t="shared" si="106"/>
        <v>258034.69</v>
      </c>
      <c r="AE259" s="23">
        <f t="shared" si="106"/>
        <v>0</v>
      </c>
      <c r="AF259" s="36"/>
      <c r="AG259" s="15"/>
      <c r="AH259" s="15"/>
      <c r="AI259" s="15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</row>
    <row r="260" spans="1:62" ht="18.75" x14ac:dyDescent="0.3">
      <c r="A260" s="22" t="s">
        <v>27</v>
      </c>
      <c r="B260" s="23">
        <f t="shared" si="105"/>
        <v>32748.5</v>
      </c>
      <c r="C260" s="23">
        <f t="shared" si="105"/>
        <v>2570</v>
      </c>
      <c r="D260" s="23">
        <f t="shared" si="105"/>
        <v>0</v>
      </c>
      <c r="E260" s="23">
        <f t="shared" si="105"/>
        <v>0</v>
      </c>
      <c r="F260" s="120">
        <f t="shared" si="102"/>
        <v>0</v>
      </c>
      <c r="G260" s="120">
        <f t="shared" si="103"/>
        <v>0</v>
      </c>
      <c r="H260" s="23">
        <f>H267</f>
        <v>0</v>
      </c>
      <c r="I260" s="23">
        <f t="shared" si="106"/>
        <v>0</v>
      </c>
      <c r="J260" s="23">
        <f t="shared" si="106"/>
        <v>0</v>
      </c>
      <c r="K260" s="23">
        <f t="shared" si="106"/>
        <v>0</v>
      </c>
      <c r="L260" s="23">
        <f t="shared" si="106"/>
        <v>0</v>
      </c>
      <c r="M260" s="23">
        <f t="shared" si="106"/>
        <v>0</v>
      </c>
      <c r="N260" s="23">
        <f t="shared" si="106"/>
        <v>0</v>
      </c>
      <c r="O260" s="23">
        <f t="shared" si="106"/>
        <v>0</v>
      </c>
      <c r="P260" s="23">
        <f t="shared" si="106"/>
        <v>0</v>
      </c>
      <c r="Q260" s="23">
        <f t="shared" si="106"/>
        <v>0</v>
      </c>
      <c r="R260" s="23">
        <f t="shared" si="106"/>
        <v>0</v>
      </c>
      <c r="S260" s="23">
        <f t="shared" si="106"/>
        <v>0</v>
      </c>
      <c r="T260" s="23">
        <f t="shared" si="106"/>
        <v>0</v>
      </c>
      <c r="U260" s="23">
        <f t="shared" si="106"/>
        <v>0</v>
      </c>
      <c r="V260" s="23">
        <f t="shared" si="106"/>
        <v>0</v>
      </c>
      <c r="W260" s="23">
        <f t="shared" si="106"/>
        <v>0</v>
      </c>
      <c r="X260" s="23">
        <f t="shared" si="106"/>
        <v>1419.7</v>
      </c>
      <c r="Y260" s="23">
        <f t="shared" si="106"/>
        <v>0</v>
      </c>
      <c r="Z260" s="23">
        <f t="shared" si="106"/>
        <v>0</v>
      </c>
      <c r="AA260" s="23">
        <f t="shared" si="106"/>
        <v>0</v>
      </c>
      <c r="AB260" s="23">
        <f t="shared" si="106"/>
        <v>1150.3</v>
      </c>
      <c r="AC260" s="23">
        <f t="shared" si="106"/>
        <v>0</v>
      </c>
      <c r="AD260" s="23">
        <f t="shared" si="106"/>
        <v>30178.5</v>
      </c>
      <c r="AE260" s="23">
        <f t="shared" si="106"/>
        <v>0</v>
      </c>
      <c r="AF260" s="23"/>
      <c r="AG260" s="15"/>
      <c r="AH260" s="15"/>
      <c r="AI260" s="15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</row>
    <row r="261" spans="1:62" ht="409.6" customHeight="1" x14ac:dyDescent="0.3">
      <c r="A261" s="22" t="s">
        <v>30</v>
      </c>
      <c r="B261" s="23">
        <f t="shared" si="105"/>
        <v>32657.1</v>
      </c>
      <c r="C261" s="23">
        <f t="shared" si="105"/>
        <v>2570</v>
      </c>
      <c r="D261" s="23">
        <f t="shared" si="105"/>
        <v>0</v>
      </c>
      <c r="E261" s="23">
        <f t="shared" si="105"/>
        <v>0</v>
      </c>
      <c r="F261" s="120">
        <f t="shared" si="102"/>
        <v>0</v>
      </c>
      <c r="G261" s="120">
        <f t="shared" si="103"/>
        <v>0</v>
      </c>
      <c r="H261" s="23">
        <f>H268</f>
        <v>0</v>
      </c>
      <c r="I261" s="23">
        <f t="shared" si="106"/>
        <v>0</v>
      </c>
      <c r="J261" s="23">
        <f t="shared" si="106"/>
        <v>0</v>
      </c>
      <c r="K261" s="23">
        <f t="shared" si="106"/>
        <v>0</v>
      </c>
      <c r="L261" s="23">
        <f t="shared" si="106"/>
        <v>0</v>
      </c>
      <c r="M261" s="23">
        <f t="shared" si="106"/>
        <v>0</v>
      </c>
      <c r="N261" s="23">
        <f t="shared" si="106"/>
        <v>0</v>
      </c>
      <c r="O261" s="23">
        <f t="shared" si="106"/>
        <v>0</v>
      </c>
      <c r="P261" s="23">
        <f t="shared" si="106"/>
        <v>0</v>
      </c>
      <c r="Q261" s="23">
        <f t="shared" si="106"/>
        <v>0</v>
      </c>
      <c r="R261" s="23">
        <f t="shared" si="106"/>
        <v>0</v>
      </c>
      <c r="S261" s="23">
        <f t="shared" si="106"/>
        <v>0</v>
      </c>
      <c r="T261" s="23">
        <f t="shared" si="106"/>
        <v>0</v>
      </c>
      <c r="U261" s="23">
        <f t="shared" si="106"/>
        <v>0</v>
      </c>
      <c r="V261" s="23">
        <f t="shared" si="106"/>
        <v>0</v>
      </c>
      <c r="W261" s="23">
        <f t="shared" si="106"/>
        <v>0</v>
      </c>
      <c r="X261" s="23">
        <f t="shared" si="106"/>
        <v>1419.7</v>
      </c>
      <c r="Y261" s="23">
        <f t="shared" si="106"/>
        <v>0</v>
      </c>
      <c r="Z261" s="23">
        <f t="shared" si="106"/>
        <v>0</v>
      </c>
      <c r="AA261" s="23">
        <f t="shared" si="106"/>
        <v>0</v>
      </c>
      <c r="AB261" s="23">
        <f t="shared" si="106"/>
        <v>1150.3</v>
      </c>
      <c r="AC261" s="23">
        <f t="shared" si="106"/>
        <v>0</v>
      </c>
      <c r="AD261" s="23">
        <f t="shared" si="106"/>
        <v>30087.1</v>
      </c>
      <c r="AE261" s="23">
        <f t="shared" si="106"/>
        <v>0</v>
      </c>
      <c r="AF261" s="23" t="s">
        <v>150</v>
      </c>
      <c r="AG261" s="15"/>
      <c r="AH261" s="15"/>
      <c r="AI261" s="15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</row>
    <row r="262" spans="1:62" ht="18.75" x14ac:dyDescent="0.3">
      <c r="A262" s="22" t="s">
        <v>28</v>
      </c>
      <c r="B262" s="13">
        <f t="shared" si="105"/>
        <v>0</v>
      </c>
      <c r="C262" s="13">
        <f t="shared" si="105"/>
        <v>0</v>
      </c>
      <c r="D262" s="13">
        <f t="shared" si="105"/>
        <v>0</v>
      </c>
      <c r="E262" s="13">
        <f t="shared" si="105"/>
        <v>0</v>
      </c>
      <c r="F262" s="121">
        <f t="shared" si="102"/>
        <v>0</v>
      </c>
      <c r="G262" s="121">
        <f t="shared" si="103"/>
        <v>0</v>
      </c>
      <c r="H262" s="13">
        <f>H269</f>
        <v>0</v>
      </c>
      <c r="I262" s="13">
        <f t="shared" si="106"/>
        <v>0</v>
      </c>
      <c r="J262" s="13">
        <f t="shared" si="106"/>
        <v>0</v>
      </c>
      <c r="K262" s="13">
        <f t="shared" si="106"/>
        <v>0</v>
      </c>
      <c r="L262" s="13">
        <f t="shared" si="106"/>
        <v>0</v>
      </c>
      <c r="M262" s="13">
        <f t="shared" si="106"/>
        <v>0</v>
      </c>
      <c r="N262" s="13">
        <f t="shared" si="106"/>
        <v>0</v>
      </c>
      <c r="O262" s="13">
        <f t="shared" si="106"/>
        <v>0</v>
      </c>
      <c r="P262" s="13">
        <f t="shared" si="106"/>
        <v>0</v>
      </c>
      <c r="Q262" s="13">
        <f t="shared" si="106"/>
        <v>0</v>
      </c>
      <c r="R262" s="13">
        <f t="shared" si="106"/>
        <v>0</v>
      </c>
      <c r="S262" s="13">
        <f t="shared" si="106"/>
        <v>0</v>
      </c>
      <c r="T262" s="13">
        <f t="shared" si="106"/>
        <v>0</v>
      </c>
      <c r="U262" s="13">
        <f t="shared" si="106"/>
        <v>0</v>
      </c>
      <c r="V262" s="13">
        <f t="shared" si="106"/>
        <v>0</v>
      </c>
      <c r="W262" s="13">
        <f t="shared" si="106"/>
        <v>0</v>
      </c>
      <c r="X262" s="13">
        <f t="shared" si="106"/>
        <v>0</v>
      </c>
      <c r="Y262" s="13">
        <f t="shared" si="106"/>
        <v>0</v>
      </c>
      <c r="Z262" s="13">
        <f t="shared" si="106"/>
        <v>0</v>
      </c>
      <c r="AA262" s="13">
        <f t="shared" si="106"/>
        <v>0</v>
      </c>
      <c r="AB262" s="13">
        <f t="shared" si="106"/>
        <v>0</v>
      </c>
      <c r="AC262" s="13">
        <f t="shared" si="106"/>
        <v>0</v>
      </c>
      <c r="AD262" s="13">
        <f t="shared" si="106"/>
        <v>0</v>
      </c>
      <c r="AE262" s="13">
        <f t="shared" si="106"/>
        <v>0</v>
      </c>
      <c r="AF262" s="36"/>
      <c r="AG262" s="15"/>
      <c r="AH262" s="15"/>
      <c r="AI262" s="15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</row>
    <row r="263" spans="1:62" ht="18.75" x14ac:dyDescent="0.3">
      <c r="A263" s="22" t="s">
        <v>29</v>
      </c>
      <c r="B263" s="23">
        <f t="shared" si="105"/>
        <v>0</v>
      </c>
      <c r="C263" s="23">
        <f t="shared" si="105"/>
        <v>0</v>
      </c>
      <c r="D263" s="23">
        <f t="shared" si="105"/>
        <v>0</v>
      </c>
      <c r="E263" s="23">
        <f t="shared" si="105"/>
        <v>0</v>
      </c>
      <c r="F263" s="120">
        <f t="shared" si="102"/>
        <v>0</v>
      </c>
      <c r="G263" s="120">
        <f t="shared" si="103"/>
        <v>0</v>
      </c>
      <c r="H263" s="23">
        <f>H270</f>
        <v>0</v>
      </c>
      <c r="I263" s="23">
        <f t="shared" si="106"/>
        <v>0</v>
      </c>
      <c r="J263" s="23">
        <f t="shared" si="106"/>
        <v>0</v>
      </c>
      <c r="K263" s="23">
        <f t="shared" si="106"/>
        <v>0</v>
      </c>
      <c r="L263" s="23">
        <f t="shared" si="106"/>
        <v>0</v>
      </c>
      <c r="M263" s="23">
        <f t="shared" si="106"/>
        <v>0</v>
      </c>
      <c r="N263" s="23">
        <f t="shared" si="106"/>
        <v>0</v>
      </c>
      <c r="O263" s="23">
        <f t="shared" si="106"/>
        <v>0</v>
      </c>
      <c r="P263" s="23">
        <f t="shared" si="106"/>
        <v>0</v>
      </c>
      <c r="Q263" s="23">
        <f t="shared" si="106"/>
        <v>0</v>
      </c>
      <c r="R263" s="23">
        <f t="shared" si="106"/>
        <v>0</v>
      </c>
      <c r="S263" s="23">
        <f t="shared" si="106"/>
        <v>0</v>
      </c>
      <c r="T263" s="23">
        <f t="shared" si="106"/>
        <v>0</v>
      </c>
      <c r="U263" s="23">
        <f t="shared" si="106"/>
        <v>0</v>
      </c>
      <c r="V263" s="23">
        <f t="shared" si="106"/>
        <v>0</v>
      </c>
      <c r="W263" s="23">
        <f t="shared" si="106"/>
        <v>0</v>
      </c>
      <c r="X263" s="23">
        <f t="shared" si="106"/>
        <v>0</v>
      </c>
      <c r="Y263" s="23">
        <f t="shared" si="106"/>
        <v>0</v>
      </c>
      <c r="Z263" s="23">
        <f t="shared" si="106"/>
        <v>0</v>
      </c>
      <c r="AA263" s="23">
        <f t="shared" si="106"/>
        <v>0</v>
      </c>
      <c r="AB263" s="23">
        <f t="shared" si="106"/>
        <v>0</v>
      </c>
      <c r="AC263" s="23">
        <f t="shared" si="106"/>
        <v>0</v>
      </c>
      <c r="AD263" s="23">
        <f t="shared" si="106"/>
        <v>0</v>
      </c>
      <c r="AE263" s="23">
        <f t="shared" si="106"/>
        <v>0</v>
      </c>
      <c r="AF263" s="36"/>
      <c r="AG263" s="15"/>
      <c r="AH263" s="15"/>
      <c r="AI263" s="15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</row>
    <row r="264" spans="1:62" ht="18.75" x14ac:dyDescent="0.25">
      <c r="A264" s="156" t="s">
        <v>88</v>
      </c>
      <c r="B264" s="157"/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8"/>
      <c r="AF264" s="36"/>
      <c r="AG264" s="15"/>
      <c r="AH264" s="15"/>
      <c r="AI264" s="15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</row>
    <row r="265" spans="1:62" ht="18.75" x14ac:dyDescent="0.3">
      <c r="A265" s="19" t="s">
        <v>25</v>
      </c>
      <c r="B265" s="13">
        <f>B266+B267+B269+B270</f>
        <v>313913.28999999998</v>
      </c>
      <c r="C265" s="13">
        <f>C266+C267+C269+C270</f>
        <v>25700.1</v>
      </c>
      <c r="D265" s="13">
        <f>D266+D267+D269+D270</f>
        <v>0</v>
      </c>
      <c r="E265" s="13">
        <f>E266+E267+E269+E270</f>
        <v>0</v>
      </c>
      <c r="F265" s="121">
        <f>IFERROR(E265/B265*100,0)</f>
        <v>0</v>
      </c>
      <c r="G265" s="121">
        <f>IFERROR(E265/C265*100,0)</f>
        <v>0</v>
      </c>
      <c r="H265" s="13">
        <f t="shared" ref="H265:AE265" si="107">H266+H267+H269+H270</f>
        <v>0</v>
      </c>
      <c r="I265" s="13">
        <f t="shared" si="107"/>
        <v>0</v>
      </c>
      <c r="J265" s="13">
        <f t="shared" si="107"/>
        <v>0</v>
      </c>
      <c r="K265" s="13">
        <f t="shared" si="107"/>
        <v>0</v>
      </c>
      <c r="L265" s="13">
        <f t="shared" si="107"/>
        <v>0</v>
      </c>
      <c r="M265" s="13">
        <f t="shared" si="107"/>
        <v>0</v>
      </c>
      <c r="N265" s="13">
        <f t="shared" si="107"/>
        <v>0</v>
      </c>
      <c r="O265" s="13">
        <f t="shared" si="107"/>
        <v>0</v>
      </c>
      <c r="P265" s="13">
        <f t="shared" si="107"/>
        <v>0</v>
      </c>
      <c r="Q265" s="13">
        <f t="shared" si="107"/>
        <v>0</v>
      </c>
      <c r="R265" s="13">
        <f t="shared" si="107"/>
        <v>0</v>
      </c>
      <c r="S265" s="13">
        <f t="shared" si="107"/>
        <v>0</v>
      </c>
      <c r="T265" s="13">
        <f t="shared" si="107"/>
        <v>0</v>
      </c>
      <c r="U265" s="13">
        <f t="shared" si="107"/>
        <v>0</v>
      </c>
      <c r="V265" s="13">
        <f t="shared" si="107"/>
        <v>0</v>
      </c>
      <c r="W265" s="13">
        <f t="shared" si="107"/>
        <v>0</v>
      </c>
      <c r="X265" s="13">
        <f t="shared" si="107"/>
        <v>14196.800000000001</v>
      </c>
      <c r="Y265" s="13">
        <f t="shared" si="107"/>
        <v>0</v>
      </c>
      <c r="Z265" s="13">
        <f t="shared" si="107"/>
        <v>0</v>
      </c>
      <c r="AA265" s="13">
        <f t="shared" si="107"/>
        <v>0</v>
      </c>
      <c r="AB265" s="13">
        <f t="shared" si="107"/>
        <v>11503.3</v>
      </c>
      <c r="AC265" s="13">
        <f t="shared" si="107"/>
        <v>0</v>
      </c>
      <c r="AD265" s="13">
        <f t="shared" si="107"/>
        <v>288213.19</v>
      </c>
      <c r="AE265" s="13">
        <f t="shared" si="107"/>
        <v>0</v>
      </c>
      <c r="AF265" s="36"/>
      <c r="AG265" s="15"/>
      <c r="AH265" s="15"/>
      <c r="AI265" s="15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</row>
    <row r="266" spans="1:62" ht="18.75" x14ac:dyDescent="0.3">
      <c r="A266" s="22" t="s">
        <v>26</v>
      </c>
      <c r="B266" s="23">
        <f>H266+J266+L266+N266+P266+R266+T266+V266+X266+Z266+AB266+AD266</f>
        <v>281164.78999999998</v>
      </c>
      <c r="C266" s="29">
        <f t="shared" ref="C266:C267" si="108">H266+X266+AB266</f>
        <v>23130.1</v>
      </c>
      <c r="D266" s="23">
        <f>E266</f>
        <v>0</v>
      </c>
      <c r="E266" s="30">
        <f>I266+K266+M266+O266+Q266+S266+U266+W266+Y266+AA266+AC266+AE266</f>
        <v>0</v>
      </c>
      <c r="F266" s="120">
        <f>IFERROR(E266/B266*100,0)</f>
        <v>0</v>
      </c>
      <c r="G266" s="120">
        <f>IFERROR(E266/C266*100,0)</f>
        <v>0</v>
      </c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>
        <v>12777.1</v>
      </c>
      <c r="Y266" s="13"/>
      <c r="Z266" s="13"/>
      <c r="AA266" s="13"/>
      <c r="AB266" s="13">
        <v>10353</v>
      </c>
      <c r="AC266" s="13"/>
      <c r="AD266" s="23">
        <v>258034.69</v>
      </c>
      <c r="AE266" s="13"/>
      <c r="AF266" s="36"/>
      <c r="AG266" s="15"/>
      <c r="AH266" s="15"/>
      <c r="AI266" s="15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</row>
    <row r="267" spans="1:62" ht="18.75" x14ac:dyDescent="0.3">
      <c r="A267" s="22" t="s">
        <v>27</v>
      </c>
      <c r="B267" s="23">
        <f>H267+J267+L267+N267+P267+R267+T267+V267+X267+Z267+AB267+AD267</f>
        <v>32748.5</v>
      </c>
      <c r="C267" s="29">
        <f t="shared" si="108"/>
        <v>2570</v>
      </c>
      <c r="D267" s="23">
        <f>E267</f>
        <v>0</v>
      </c>
      <c r="E267" s="30">
        <f>I267+K267+M267+O267+Q267+S267+U267+W267+Y267+AA267+AC267+AE267</f>
        <v>0</v>
      </c>
      <c r="F267" s="120">
        <f>IFERROR(E267/B267*100,0)</f>
        <v>0</v>
      </c>
      <c r="G267" s="120">
        <f>IFERROR(E267/C267*100,0)</f>
        <v>0</v>
      </c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>
        <v>1419.7</v>
      </c>
      <c r="Y267" s="23"/>
      <c r="Z267" s="23"/>
      <c r="AA267" s="23"/>
      <c r="AB267" s="23">
        <v>1150.3</v>
      </c>
      <c r="AC267" s="23"/>
      <c r="AD267" s="23">
        <v>30178.5</v>
      </c>
      <c r="AE267" s="23"/>
      <c r="AF267" s="36"/>
      <c r="AG267" s="15"/>
      <c r="AH267" s="15"/>
      <c r="AI267" s="15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</row>
    <row r="268" spans="1:62" ht="37.5" x14ac:dyDescent="0.3">
      <c r="A268" s="22" t="s">
        <v>30</v>
      </c>
      <c r="B268" s="28">
        <f>H268+J268+L268+N268+P268+R268+T268+V268+X268+Z268+AB268+AD268</f>
        <v>32657.1</v>
      </c>
      <c r="C268" s="29">
        <f>H268+X268+AB268</f>
        <v>2570</v>
      </c>
      <c r="D268" s="29">
        <f>E268</f>
        <v>0</v>
      </c>
      <c r="E268" s="28">
        <f>I268+K268+M268+O268+Q268+S268+U268+W268+Y268+AA268+AC268+AE268</f>
        <v>0</v>
      </c>
      <c r="F268" s="120">
        <f>IFERROR(E268/B268*100,0)</f>
        <v>0</v>
      </c>
      <c r="G268" s="120">
        <f>IFERROR(E268/C268*100,0)</f>
        <v>0</v>
      </c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>
        <v>1419.7</v>
      </c>
      <c r="Y268" s="23"/>
      <c r="Z268" s="23"/>
      <c r="AA268" s="23"/>
      <c r="AB268" s="23">
        <v>1150.3</v>
      </c>
      <c r="AC268" s="23"/>
      <c r="AD268" s="23">
        <v>30087.1</v>
      </c>
      <c r="AE268" s="23"/>
      <c r="AF268" s="36"/>
      <c r="AG268" s="15"/>
      <c r="AH268" s="15"/>
      <c r="AI268" s="15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</row>
    <row r="269" spans="1:62" ht="18.75" x14ac:dyDescent="0.3">
      <c r="A269" s="22" t="s">
        <v>28</v>
      </c>
      <c r="B269" s="44"/>
      <c r="C269" s="29">
        <f>H269+X269</f>
        <v>0</v>
      </c>
      <c r="D269" s="44"/>
      <c r="E269" s="44"/>
      <c r="F269" s="44"/>
      <c r="G269" s="44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36"/>
      <c r="AG269" s="15"/>
      <c r="AH269" s="15"/>
      <c r="AI269" s="15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</row>
    <row r="270" spans="1:62" ht="18.75" x14ac:dyDescent="0.3">
      <c r="A270" s="22" t="s">
        <v>29</v>
      </c>
      <c r="B270" s="44"/>
      <c r="C270" s="29"/>
      <c r="D270" s="44"/>
      <c r="E270" s="44"/>
      <c r="F270" s="44"/>
      <c r="G270" s="44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36"/>
      <c r="AG270" s="15"/>
      <c r="AH270" s="15"/>
      <c r="AI270" s="15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</row>
    <row r="271" spans="1:62" ht="20.25" x14ac:dyDescent="0.25">
      <c r="A271" s="90" t="s">
        <v>116</v>
      </c>
      <c r="B271" s="91"/>
      <c r="C271" s="92"/>
      <c r="D271" s="92"/>
      <c r="E271" s="91"/>
      <c r="F271" s="93"/>
      <c r="G271" s="93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5"/>
      <c r="AF271" s="133"/>
      <c r="AG271" s="15"/>
      <c r="AH271" s="15"/>
      <c r="AI271" s="15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</row>
    <row r="272" spans="1:62" ht="20.25" x14ac:dyDescent="0.25">
      <c r="A272" s="141" t="s">
        <v>89</v>
      </c>
      <c r="B272" s="142" t="s">
        <v>38</v>
      </c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3"/>
      <c r="AF272" s="36"/>
      <c r="AG272" s="15"/>
      <c r="AH272" s="15"/>
      <c r="AI272" s="15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</row>
    <row r="273" spans="1:62" ht="18.75" x14ac:dyDescent="0.3">
      <c r="A273" s="19" t="s">
        <v>25</v>
      </c>
      <c r="B273" s="13">
        <f>H273+J273+L273+N273+P273+R273+T273+V273+X273+Z273+AB273+AD273</f>
        <v>54329.2</v>
      </c>
      <c r="C273" s="13">
        <f>C274+C275+C276+C277</f>
        <v>50473.7</v>
      </c>
      <c r="D273" s="13">
        <f>D274+D275+D276+D277</f>
        <v>45350.899999999994</v>
      </c>
      <c r="E273" s="13">
        <f>E274+E275+E276+E277</f>
        <v>45350.899999999994</v>
      </c>
      <c r="F273" s="26">
        <f>E273/B273*100</f>
        <v>83.474264299860849</v>
      </c>
      <c r="G273" s="26">
        <f>E273/C273*100</f>
        <v>89.850555834028413</v>
      </c>
      <c r="H273" s="13">
        <f t="shared" ref="H273:AD273" si="109">H274+H275+H276+H277</f>
        <v>4758.8</v>
      </c>
      <c r="I273" s="13">
        <f>I274+I275+I276+I277</f>
        <v>4077.6</v>
      </c>
      <c r="J273" s="13">
        <f t="shared" si="109"/>
        <v>4666.3</v>
      </c>
      <c r="K273" s="13">
        <f>K274+K275+K276+K277</f>
        <v>4512.3</v>
      </c>
      <c r="L273" s="13">
        <f t="shared" si="109"/>
        <v>3905.5</v>
      </c>
      <c r="M273" s="13">
        <f>M274+M275+M276+M277</f>
        <v>2871.6</v>
      </c>
      <c r="N273" s="13">
        <f t="shared" si="109"/>
        <v>5016.1000000000004</v>
      </c>
      <c r="O273" s="13">
        <f>O274+O275+O276+O277</f>
        <v>5462.9</v>
      </c>
      <c r="P273" s="13">
        <f t="shared" si="109"/>
        <v>5843.3</v>
      </c>
      <c r="Q273" s="13">
        <f>Q274+Q275+Q276+Q277</f>
        <v>7069.3</v>
      </c>
      <c r="R273" s="13">
        <f t="shared" si="109"/>
        <v>5910.4</v>
      </c>
      <c r="S273" s="13">
        <f>S274+S275+S276+S277</f>
        <v>5620</v>
      </c>
      <c r="T273" s="13">
        <f t="shared" si="109"/>
        <v>4614.7999999999993</v>
      </c>
      <c r="U273" s="13">
        <f>U274+U275+U276+U277</f>
        <v>3077.7</v>
      </c>
      <c r="V273" s="13">
        <f t="shared" si="109"/>
        <v>1682.2</v>
      </c>
      <c r="W273" s="13">
        <f>W274+W275+W276+W277</f>
        <v>3235.6</v>
      </c>
      <c r="X273" s="13">
        <f t="shared" si="109"/>
        <v>3778.9</v>
      </c>
      <c r="Y273" s="13">
        <f>Y274+Y275+Y276+Y277</f>
        <v>3035.8999999999996</v>
      </c>
      <c r="Z273" s="13">
        <f>Z274+Z275+Z276+Z277</f>
        <v>7028.1</v>
      </c>
      <c r="AA273" s="13">
        <f>AA274+AA275+AA276+AA277</f>
        <v>3830.5</v>
      </c>
      <c r="AB273" s="13">
        <f t="shared" si="109"/>
        <v>3269.3</v>
      </c>
      <c r="AC273" s="13">
        <f>AC274+AC275+AC276+AC277</f>
        <v>2556.1</v>
      </c>
      <c r="AD273" s="13">
        <f t="shared" si="109"/>
        <v>3855.5</v>
      </c>
      <c r="AE273" s="13">
        <f>AE274+AE275+AE276+AE277</f>
        <v>0</v>
      </c>
      <c r="AF273" s="36"/>
      <c r="AG273" s="15"/>
      <c r="AH273" s="15"/>
      <c r="AI273" s="15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</row>
    <row r="274" spans="1:62" ht="18.75" x14ac:dyDescent="0.3">
      <c r="A274" s="22" t="s">
        <v>26</v>
      </c>
      <c r="B274" s="23">
        <f t="shared" ref="B274:E275" si="110">B280+B286+B292</f>
        <v>0</v>
      </c>
      <c r="C274" s="23">
        <f t="shared" si="110"/>
        <v>0</v>
      </c>
      <c r="D274" s="23">
        <f t="shared" si="110"/>
        <v>0</v>
      </c>
      <c r="E274" s="23">
        <f t="shared" si="110"/>
        <v>0</v>
      </c>
      <c r="F274" s="120">
        <f>IFERROR(E274/B274*100,0)</f>
        <v>0</v>
      </c>
      <c r="G274" s="120">
        <f>IFERROR(E274/C274*100,0)</f>
        <v>0</v>
      </c>
      <c r="H274" s="23">
        <f>H280+H286+H292</f>
        <v>0</v>
      </c>
      <c r="I274" s="23">
        <f t="shared" ref="I274:AE275" si="111">I280+I286+I292</f>
        <v>0</v>
      </c>
      <c r="J274" s="23">
        <f t="shared" si="111"/>
        <v>0</v>
      </c>
      <c r="K274" s="23">
        <f t="shared" si="111"/>
        <v>0</v>
      </c>
      <c r="L274" s="23">
        <f t="shared" si="111"/>
        <v>0</v>
      </c>
      <c r="M274" s="23">
        <f t="shared" si="111"/>
        <v>0</v>
      </c>
      <c r="N274" s="23">
        <f t="shared" si="111"/>
        <v>0</v>
      </c>
      <c r="O274" s="23">
        <f t="shared" si="111"/>
        <v>0</v>
      </c>
      <c r="P274" s="23">
        <f t="shared" si="111"/>
        <v>0</v>
      </c>
      <c r="Q274" s="23">
        <f t="shared" si="111"/>
        <v>0</v>
      </c>
      <c r="R274" s="23">
        <f t="shared" si="111"/>
        <v>0</v>
      </c>
      <c r="S274" s="23">
        <f t="shared" si="111"/>
        <v>0</v>
      </c>
      <c r="T274" s="23">
        <f t="shared" si="111"/>
        <v>0</v>
      </c>
      <c r="U274" s="23">
        <f t="shared" si="111"/>
        <v>0</v>
      </c>
      <c r="V274" s="23">
        <f t="shared" si="111"/>
        <v>0</v>
      </c>
      <c r="W274" s="23">
        <f t="shared" si="111"/>
        <v>0</v>
      </c>
      <c r="X274" s="23">
        <f t="shared" si="111"/>
        <v>0</v>
      </c>
      <c r="Y274" s="23">
        <f t="shared" si="111"/>
        <v>0</v>
      </c>
      <c r="Z274" s="23">
        <f t="shared" si="111"/>
        <v>0</v>
      </c>
      <c r="AA274" s="23">
        <f t="shared" si="111"/>
        <v>0</v>
      </c>
      <c r="AB274" s="23">
        <f t="shared" si="111"/>
        <v>0</v>
      </c>
      <c r="AC274" s="23">
        <f t="shared" si="111"/>
        <v>0</v>
      </c>
      <c r="AD274" s="23">
        <f t="shared" si="111"/>
        <v>0</v>
      </c>
      <c r="AE274" s="23">
        <f t="shared" si="111"/>
        <v>0</v>
      </c>
      <c r="AF274" s="36"/>
      <c r="AG274" s="15"/>
      <c r="AH274" s="15"/>
      <c r="AI274" s="15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</row>
    <row r="275" spans="1:62" ht="18.75" x14ac:dyDescent="0.3">
      <c r="A275" s="22" t="s">
        <v>27</v>
      </c>
      <c r="B275" s="23">
        <f t="shared" si="110"/>
        <v>54329.2</v>
      </c>
      <c r="C275" s="23">
        <f t="shared" si="110"/>
        <v>50473.7</v>
      </c>
      <c r="D275" s="23">
        <f t="shared" si="110"/>
        <v>45350.899999999994</v>
      </c>
      <c r="E275" s="23">
        <f t="shared" si="110"/>
        <v>45350.899999999994</v>
      </c>
      <c r="F275" s="120">
        <f>IFERROR(E275/B275*100,0)</f>
        <v>83.474264299860849</v>
      </c>
      <c r="G275" s="120">
        <f>IFERROR(E275/C275*100,0)</f>
        <v>89.850555834028413</v>
      </c>
      <c r="H275" s="23">
        <f>H281+H287+H293</f>
        <v>4758.8</v>
      </c>
      <c r="I275" s="23">
        <f t="shared" si="111"/>
        <v>4077.6</v>
      </c>
      <c r="J275" s="23">
        <f t="shared" si="111"/>
        <v>4666.3</v>
      </c>
      <c r="K275" s="23">
        <f t="shared" si="111"/>
        <v>4512.3</v>
      </c>
      <c r="L275" s="23">
        <f t="shared" si="111"/>
        <v>3905.5</v>
      </c>
      <c r="M275" s="23">
        <f t="shared" si="111"/>
        <v>2871.6</v>
      </c>
      <c r="N275" s="23">
        <f t="shared" si="111"/>
        <v>5016.1000000000004</v>
      </c>
      <c r="O275" s="23">
        <f t="shared" si="111"/>
        <v>5462.9</v>
      </c>
      <c r="P275" s="23">
        <f t="shared" si="111"/>
        <v>5843.3</v>
      </c>
      <c r="Q275" s="23">
        <f t="shared" si="111"/>
        <v>7069.3</v>
      </c>
      <c r="R275" s="23">
        <f t="shared" si="111"/>
        <v>5910.4</v>
      </c>
      <c r="S275" s="23">
        <v>5620</v>
      </c>
      <c r="T275" s="23">
        <f t="shared" si="111"/>
        <v>4614.7999999999993</v>
      </c>
      <c r="U275" s="23">
        <f t="shared" si="111"/>
        <v>3077.7</v>
      </c>
      <c r="V275" s="23">
        <f t="shared" si="111"/>
        <v>1682.2</v>
      </c>
      <c r="W275" s="23">
        <f t="shared" si="111"/>
        <v>3235.6</v>
      </c>
      <c r="X275" s="23">
        <f t="shared" si="111"/>
        <v>3778.9</v>
      </c>
      <c r="Y275" s="23">
        <f t="shared" si="111"/>
        <v>3035.8999999999996</v>
      </c>
      <c r="Z275" s="23">
        <f t="shared" si="111"/>
        <v>7028.1</v>
      </c>
      <c r="AA275" s="23">
        <f t="shared" si="111"/>
        <v>3830.5</v>
      </c>
      <c r="AB275" s="23">
        <f t="shared" si="111"/>
        <v>3269.3</v>
      </c>
      <c r="AC275" s="23">
        <f t="shared" si="111"/>
        <v>2556.1</v>
      </c>
      <c r="AD275" s="23">
        <f t="shared" si="111"/>
        <v>3855.5</v>
      </c>
      <c r="AE275" s="23">
        <f t="shared" si="111"/>
        <v>0</v>
      </c>
      <c r="AF275" s="23"/>
      <c r="AG275" s="15"/>
      <c r="AH275" s="15"/>
      <c r="AI275" s="15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</row>
    <row r="276" spans="1:62" ht="18.75" x14ac:dyDescent="0.3">
      <c r="A276" s="22" t="s">
        <v>28</v>
      </c>
      <c r="B276" s="44"/>
      <c r="C276" s="44"/>
      <c r="D276" s="44"/>
      <c r="E276" s="44"/>
      <c r="F276" s="120">
        <f>IFERROR(E276/B276*100,0)</f>
        <v>0</v>
      </c>
      <c r="G276" s="120">
        <f>IFERROR(E276/C276*100,0)</f>
        <v>0</v>
      </c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36"/>
      <c r="AG276" s="15"/>
      <c r="AH276" s="15"/>
      <c r="AI276" s="15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</row>
    <row r="277" spans="1:62" ht="18.75" x14ac:dyDescent="0.3">
      <c r="A277" s="22" t="s">
        <v>29</v>
      </c>
      <c r="B277" s="23">
        <f>B289</f>
        <v>0</v>
      </c>
      <c r="C277" s="23">
        <f>C289</f>
        <v>0</v>
      </c>
      <c r="D277" s="23">
        <f>D289</f>
        <v>0</v>
      </c>
      <c r="E277" s="23">
        <f>E289</f>
        <v>0</v>
      </c>
      <c r="F277" s="120">
        <f>IFERROR(E277/B277*100,0)</f>
        <v>0</v>
      </c>
      <c r="G277" s="120">
        <f>IFERROR(E277/C277*100,0)</f>
        <v>0</v>
      </c>
      <c r="H277" s="23">
        <f t="shared" ref="H277:AE277" si="112">H289</f>
        <v>0</v>
      </c>
      <c r="I277" s="23">
        <f t="shared" si="112"/>
        <v>0</v>
      </c>
      <c r="J277" s="23">
        <f t="shared" si="112"/>
        <v>0</v>
      </c>
      <c r="K277" s="23">
        <f t="shared" si="112"/>
        <v>0</v>
      </c>
      <c r="L277" s="23">
        <f t="shared" si="112"/>
        <v>0</v>
      </c>
      <c r="M277" s="23">
        <f t="shared" si="112"/>
        <v>0</v>
      </c>
      <c r="N277" s="23">
        <f t="shared" si="112"/>
        <v>0</v>
      </c>
      <c r="O277" s="23">
        <f t="shared" si="112"/>
        <v>0</v>
      </c>
      <c r="P277" s="23">
        <f t="shared" si="112"/>
        <v>0</v>
      </c>
      <c r="Q277" s="23">
        <f t="shared" si="112"/>
        <v>0</v>
      </c>
      <c r="R277" s="23">
        <f t="shared" si="112"/>
        <v>0</v>
      </c>
      <c r="S277" s="23">
        <f t="shared" si="112"/>
        <v>0</v>
      </c>
      <c r="T277" s="23">
        <f t="shared" si="112"/>
        <v>0</v>
      </c>
      <c r="U277" s="23">
        <f t="shared" si="112"/>
        <v>0</v>
      </c>
      <c r="V277" s="23">
        <f t="shared" si="112"/>
        <v>0</v>
      </c>
      <c r="W277" s="23">
        <f t="shared" si="112"/>
        <v>0</v>
      </c>
      <c r="X277" s="23">
        <f t="shared" si="112"/>
        <v>0</v>
      </c>
      <c r="Y277" s="23">
        <f t="shared" si="112"/>
        <v>0</v>
      </c>
      <c r="Z277" s="23">
        <f t="shared" si="112"/>
        <v>0</v>
      </c>
      <c r="AA277" s="23">
        <f t="shared" si="112"/>
        <v>0</v>
      </c>
      <c r="AB277" s="23">
        <f t="shared" si="112"/>
        <v>0</v>
      </c>
      <c r="AC277" s="23">
        <f t="shared" si="112"/>
        <v>0</v>
      </c>
      <c r="AD277" s="23">
        <f t="shared" si="112"/>
        <v>0</v>
      </c>
      <c r="AE277" s="23">
        <f t="shared" si="112"/>
        <v>0</v>
      </c>
      <c r="AF277" s="36"/>
      <c r="AG277" s="15"/>
      <c r="AH277" s="15"/>
      <c r="AI277" s="15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</row>
    <row r="278" spans="1:62" ht="18.75" x14ac:dyDescent="0.25">
      <c r="A278" s="156" t="s">
        <v>90</v>
      </c>
      <c r="B278" s="157"/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8"/>
      <c r="AF278" s="36"/>
      <c r="AG278" s="15"/>
      <c r="AH278" s="15"/>
      <c r="AI278" s="15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</row>
    <row r="279" spans="1:62" ht="18.75" x14ac:dyDescent="0.3">
      <c r="A279" s="19" t="s">
        <v>25</v>
      </c>
      <c r="B279" s="13">
        <f>B280+B281+B282+B283</f>
        <v>40270.799999999996</v>
      </c>
      <c r="C279" s="13">
        <f>C280+C281+C282+C283</f>
        <v>37009.299999999996</v>
      </c>
      <c r="D279" s="13">
        <f>D280+D281+D282+D283</f>
        <v>32671.599999999995</v>
      </c>
      <c r="E279" s="13">
        <f>E280+E281+E282+E283</f>
        <v>32671.599999999995</v>
      </c>
      <c r="F279" s="26">
        <f>E279/B279*100</f>
        <v>81.129751581791268</v>
      </c>
      <c r="G279" s="26">
        <f>E279/C279*100</f>
        <v>88.279432466974512</v>
      </c>
      <c r="H279" s="13">
        <f t="shared" ref="H279:AE279" si="113">H280+H281+H282+H283</f>
        <v>3966.4</v>
      </c>
      <c r="I279" s="13">
        <f t="shared" si="113"/>
        <v>3285.2</v>
      </c>
      <c r="J279" s="13">
        <f t="shared" si="113"/>
        <v>2926.1</v>
      </c>
      <c r="K279" s="13">
        <f t="shared" si="113"/>
        <v>2772.1</v>
      </c>
      <c r="L279" s="13">
        <f t="shared" si="113"/>
        <v>2848.5</v>
      </c>
      <c r="M279" s="13">
        <f t="shared" si="113"/>
        <v>1814.6</v>
      </c>
      <c r="N279" s="13">
        <f t="shared" si="113"/>
        <v>3855</v>
      </c>
      <c r="O279" s="13">
        <f t="shared" si="113"/>
        <v>4301.8</v>
      </c>
      <c r="P279" s="13">
        <f t="shared" si="113"/>
        <v>4173</v>
      </c>
      <c r="Q279" s="13">
        <f t="shared" si="113"/>
        <v>5399</v>
      </c>
      <c r="R279" s="13">
        <f t="shared" si="113"/>
        <v>4672</v>
      </c>
      <c r="S279" s="13">
        <f t="shared" si="113"/>
        <v>4383.3999999999996</v>
      </c>
      <c r="T279" s="13">
        <f t="shared" si="113"/>
        <v>2884.1</v>
      </c>
      <c r="U279" s="13">
        <f t="shared" si="113"/>
        <v>1346.6</v>
      </c>
      <c r="V279" s="13">
        <f t="shared" si="113"/>
        <v>981.6</v>
      </c>
      <c r="W279" s="13">
        <f t="shared" si="113"/>
        <v>2535.6</v>
      </c>
      <c r="X279" s="13">
        <f t="shared" si="113"/>
        <v>2628</v>
      </c>
      <c r="Y279" s="13">
        <f t="shared" si="113"/>
        <v>1983.8</v>
      </c>
      <c r="Z279" s="13">
        <f t="shared" si="113"/>
        <v>5915.6</v>
      </c>
      <c r="AA279" s="13">
        <f t="shared" si="113"/>
        <v>2718</v>
      </c>
      <c r="AB279" s="13">
        <f t="shared" si="113"/>
        <v>2159</v>
      </c>
      <c r="AC279" s="13">
        <f t="shared" si="113"/>
        <v>2131.5</v>
      </c>
      <c r="AD279" s="13">
        <f t="shared" si="113"/>
        <v>3261.5</v>
      </c>
      <c r="AE279" s="13">
        <f t="shared" si="113"/>
        <v>0</v>
      </c>
      <c r="AF279" s="36"/>
      <c r="AG279" s="15"/>
      <c r="AH279" s="15"/>
      <c r="AI279" s="15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</row>
    <row r="280" spans="1:62" ht="18.75" x14ac:dyDescent="0.3">
      <c r="A280" s="22" t="s">
        <v>26</v>
      </c>
      <c r="B280" s="23">
        <f>H280+J280+L280+N280+P280+R280+T280+V280+X280+Z280+AB280+AD280</f>
        <v>0</v>
      </c>
      <c r="C280" s="29">
        <f>H280</f>
        <v>0</v>
      </c>
      <c r="D280" s="23">
        <f>E280</f>
        <v>0</v>
      </c>
      <c r="E280" s="30">
        <f>I280+K280+M280+O280+Q280+S280+U280+W280+Y280+AA280+AC280+AE280</f>
        <v>0</v>
      </c>
      <c r="F280" s="120">
        <f>IFERROR(E280/B280*100,0)</f>
        <v>0</v>
      </c>
      <c r="G280" s="120">
        <f>IFERROR(E280/C280*100,0)</f>
        <v>0</v>
      </c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36"/>
      <c r="AG280" s="15"/>
      <c r="AH280" s="15"/>
      <c r="AI280" s="15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</row>
    <row r="281" spans="1:62" ht="37.5" x14ac:dyDescent="0.3">
      <c r="A281" s="22" t="s">
        <v>27</v>
      </c>
      <c r="B281" s="23">
        <f>H281+J281+L281+N281+P281+R281+T281+V281+X281+Z281+AB281+AD281</f>
        <v>40270.799999999996</v>
      </c>
      <c r="C281" s="29">
        <f>H281+J281+L281+N281+P281+R281+T281+V281+X281+Z281+AB281</f>
        <v>37009.299999999996</v>
      </c>
      <c r="D281" s="23">
        <f>E281</f>
        <v>32671.599999999995</v>
      </c>
      <c r="E281" s="30">
        <f>I281+K281+M281+O281+Q281+S281+U281+W281+Y281+AA281+AC281+AE281</f>
        <v>32671.599999999995</v>
      </c>
      <c r="F281" s="25">
        <f>E281/B281*100</f>
        <v>81.129751581791268</v>
      </c>
      <c r="G281" s="25">
        <f>E281/C281*100</f>
        <v>88.279432466974512</v>
      </c>
      <c r="H281" s="23">
        <v>3966.4</v>
      </c>
      <c r="I281" s="23">
        <v>3285.2</v>
      </c>
      <c r="J281" s="23">
        <v>2926.1</v>
      </c>
      <c r="K281" s="23">
        <v>2772.1</v>
      </c>
      <c r="L281" s="23">
        <f>2810+38.5</f>
        <v>2848.5</v>
      </c>
      <c r="M281" s="23">
        <v>1814.6</v>
      </c>
      <c r="N281" s="23">
        <f>3671+184</f>
        <v>3855</v>
      </c>
      <c r="O281" s="23">
        <v>4301.8</v>
      </c>
      <c r="P281" s="23">
        <v>4173</v>
      </c>
      <c r="Q281" s="23">
        <v>5399</v>
      </c>
      <c r="R281" s="23">
        <v>4672</v>
      </c>
      <c r="S281" s="23">
        <v>4383.3999999999996</v>
      </c>
      <c r="T281" s="23">
        <f>2555+386.1-57</f>
        <v>2884.1</v>
      </c>
      <c r="U281" s="23">
        <v>1346.6</v>
      </c>
      <c r="V281" s="23">
        <f>924.6+57</f>
        <v>981.6</v>
      </c>
      <c r="W281" s="23">
        <v>2535.6</v>
      </c>
      <c r="X281" s="23">
        <v>2628</v>
      </c>
      <c r="Y281" s="23">
        <v>1983.8</v>
      </c>
      <c r="Z281" s="23">
        <v>5915.6</v>
      </c>
      <c r="AA281" s="23">
        <v>2718</v>
      </c>
      <c r="AB281" s="23">
        <v>2159</v>
      </c>
      <c r="AC281" s="23">
        <v>2131.5</v>
      </c>
      <c r="AD281" s="23">
        <f>2484-38.5-184+1000</f>
        <v>3261.5</v>
      </c>
      <c r="AE281" s="23"/>
      <c r="AF281" s="36" t="s">
        <v>39</v>
      </c>
      <c r="AG281" s="15"/>
      <c r="AH281" s="15"/>
      <c r="AI281" s="15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</row>
    <row r="282" spans="1:62" ht="18.75" x14ac:dyDescent="0.3">
      <c r="A282" s="22" t="s">
        <v>28</v>
      </c>
      <c r="B282" s="44"/>
      <c r="C282" s="29">
        <f>H282</f>
        <v>0</v>
      </c>
      <c r="D282" s="44"/>
      <c r="E282" s="44"/>
      <c r="F282" s="44"/>
      <c r="G282" s="44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36"/>
      <c r="AG282" s="15"/>
      <c r="AH282" s="15"/>
      <c r="AI282" s="15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</row>
    <row r="283" spans="1:62" ht="18.75" x14ac:dyDescent="0.3">
      <c r="A283" s="22" t="s">
        <v>29</v>
      </c>
      <c r="B283" s="44"/>
      <c r="C283" s="29">
        <f>H283</f>
        <v>0</v>
      </c>
      <c r="D283" s="44"/>
      <c r="E283" s="44"/>
      <c r="F283" s="44"/>
      <c r="G283" s="44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36"/>
      <c r="AG283" s="15"/>
      <c r="AH283" s="15"/>
      <c r="AI283" s="15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</row>
    <row r="284" spans="1:62" ht="18.75" x14ac:dyDescent="0.25">
      <c r="A284" s="156" t="s">
        <v>91</v>
      </c>
      <c r="B284" s="157"/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8"/>
      <c r="AF284" s="36"/>
      <c r="AG284" s="15"/>
      <c r="AH284" s="15"/>
      <c r="AI284" s="15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</row>
    <row r="285" spans="1:62" ht="18.75" x14ac:dyDescent="0.3">
      <c r="A285" s="19" t="s">
        <v>25</v>
      </c>
      <c r="B285" s="13">
        <f>B286+B287+B288+B289</f>
        <v>100</v>
      </c>
      <c r="C285" s="13">
        <f>C286+C287+C288+C289</f>
        <v>100</v>
      </c>
      <c r="D285" s="13">
        <f>D286+D287+D288+D289</f>
        <v>87.6</v>
      </c>
      <c r="E285" s="13">
        <f>E286+E287+E288+E289</f>
        <v>87.6</v>
      </c>
      <c r="F285" s="121">
        <f>IFERROR(E285/B285*100,0)</f>
        <v>87.6</v>
      </c>
      <c r="G285" s="121">
        <f>IFERROR(E285/C285*100,0)</f>
        <v>87.6</v>
      </c>
      <c r="H285" s="13">
        <f>H286+H287+H288+H289</f>
        <v>0</v>
      </c>
      <c r="I285" s="13">
        <f t="shared" ref="I285:AE285" si="114">I286+I287+I288+I289</f>
        <v>0</v>
      </c>
      <c r="J285" s="13">
        <f t="shared" si="114"/>
        <v>0</v>
      </c>
      <c r="K285" s="13">
        <f t="shared" si="114"/>
        <v>0</v>
      </c>
      <c r="L285" s="13">
        <f t="shared" si="114"/>
        <v>0</v>
      </c>
      <c r="M285" s="13">
        <f t="shared" si="114"/>
        <v>0</v>
      </c>
      <c r="N285" s="13">
        <f t="shared" si="114"/>
        <v>0</v>
      </c>
      <c r="O285" s="13">
        <f t="shared" si="114"/>
        <v>0</v>
      </c>
      <c r="P285" s="13">
        <f t="shared" si="114"/>
        <v>0</v>
      </c>
      <c r="Q285" s="13">
        <f t="shared" si="114"/>
        <v>0</v>
      </c>
      <c r="R285" s="13">
        <f t="shared" si="114"/>
        <v>0</v>
      </c>
      <c r="S285" s="13">
        <f t="shared" si="114"/>
        <v>0</v>
      </c>
      <c r="T285" s="13">
        <f t="shared" si="114"/>
        <v>0</v>
      </c>
      <c r="U285" s="13">
        <f t="shared" si="114"/>
        <v>0</v>
      </c>
      <c r="V285" s="13">
        <f t="shared" si="114"/>
        <v>0</v>
      </c>
      <c r="W285" s="13">
        <f t="shared" si="114"/>
        <v>0</v>
      </c>
      <c r="X285" s="13">
        <f t="shared" si="114"/>
        <v>6</v>
      </c>
      <c r="Y285" s="13">
        <f t="shared" si="114"/>
        <v>6</v>
      </c>
      <c r="Z285" s="13">
        <f t="shared" si="114"/>
        <v>80</v>
      </c>
      <c r="AA285" s="13">
        <f t="shared" si="114"/>
        <v>80</v>
      </c>
      <c r="AB285" s="13">
        <f t="shared" si="114"/>
        <v>14</v>
      </c>
      <c r="AC285" s="13">
        <f t="shared" si="114"/>
        <v>1.6</v>
      </c>
      <c r="AD285" s="13">
        <f t="shared" si="114"/>
        <v>0</v>
      </c>
      <c r="AE285" s="13">
        <f t="shared" si="114"/>
        <v>0</v>
      </c>
      <c r="AF285" s="153"/>
      <c r="AG285" s="15"/>
      <c r="AH285" s="15"/>
      <c r="AI285" s="15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</row>
    <row r="286" spans="1:62" ht="18.75" x14ac:dyDescent="0.3">
      <c r="A286" s="22" t="s">
        <v>26</v>
      </c>
      <c r="B286" s="44"/>
      <c r="C286" s="29">
        <f>H286</f>
        <v>0</v>
      </c>
      <c r="D286" s="44"/>
      <c r="E286" s="44"/>
      <c r="F286" s="44"/>
      <c r="G286" s="44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54"/>
      <c r="AG286" s="15"/>
      <c r="AH286" s="15"/>
      <c r="AI286" s="15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</row>
    <row r="287" spans="1:62" ht="18.75" x14ac:dyDescent="0.3">
      <c r="A287" s="22" t="s">
        <v>27</v>
      </c>
      <c r="B287" s="23">
        <f>H287+J287+L287+N287+P287+R287+T287+V287+X287+Z287+AB287+AD287</f>
        <v>100</v>
      </c>
      <c r="C287" s="29">
        <f>H287+J287+L287+N287+P287+R287+T287+V287+X287+Z287+AB287</f>
        <v>100</v>
      </c>
      <c r="D287" s="23">
        <f>E287</f>
        <v>87.6</v>
      </c>
      <c r="E287" s="30">
        <f>I287+K287+M287+O287+Q287+S287+U287+W287+Y287+AA287+AC287+AE287</f>
        <v>87.6</v>
      </c>
      <c r="F287" s="120">
        <f>IFERROR(E287/B287*100,0)</f>
        <v>87.6</v>
      </c>
      <c r="G287" s="120">
        <f>IFERROR(E287/C287*100,0)</f>
        <v>87.6</v>
      </c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>
        <v>6</v>
      </c>
      <c r="Y287" s="23">
        <v>6</v>
      </c>
      <c r="Z287" s="23">
        <v>80</v>
      </c>
      <c r="AA287" s="23">
        <v>80</v>
      </c>
      <c r="AB287" s="23">
        <v>14</v>
      </c>
      <c r="AC287" s="23">
        <v>1.6</v>
      </c>
      <c r="AD287" s="23"/>
      <c r="AE287" s="23"/>
      <c r="AF287" s="154"/>
      <c r="AG287" s="15"/>
      <c r="AH287" s="15"/>
      <c r="AI287" s="15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</row>
    <row r="288" spans="1:62" ht="18.75" x14ac:dyDescent="0.3">
      <c r="A288" s="22" t="s">
        <v>28</v>
      </c>
      <c r="B288" s="44"/>
      <c r="C288" s="29">
        <f>H288</f>
        <v>0</v>
      </c>
      <c r="D288" s="44"/>
      <c r="E288" s="44"/>
      <c r="F288" s="44"/>
      <c r="G288" s="44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54"/>
      <c r="AG288" s="15"/>
      <c r="AH288" s="15"/>
      <c r="AI288" s="15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</row>
    <row r="289" spans="1:62" ht="18.75" x14ac:dyDescent="0.3">
      <c r="A289" s="22" t="s">
        <v>29</v>
      </c>
      <c r="B289" s="23">
        <f>H289+J289+L289+N289+P289+R289+T289+V289+X289+Z289+AB289+AD289</f>
        <v>0</v>
      </c>
      <c r="C289" s="29">
        <f>H289</f>
        <v>0</v>
      </c>
      <c r="D289" s="23">
        <f>E289</f>
        <v>0</v>
      </c>
      <c r="E289" s="51">
        <f>I289+K289+M289+O289+Q289+S289+U289+W289+Y289+AA289+AC289+AE289</f>
        <v>0</v>
      </c>
      <c r="F289" s="120">
        <f>IFERROR(E289/B289*100,0)</f>
        <v>0</v>
      </c>
      <c r="G289" s="120">
        <f>IFERROR(E289/C289*100,0)</f>
        <v>0</v>
      </c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55"/>
      <c r="AG289" s="15"/>
      <c r="AH289" s="15"/>
      <c r="AI289" s="15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</row>
    <row r="290" spans="1:62" ht="18.75" x14ac:dyDescent="0.25">
      <c r="A290" s="156" t="s">
        <v>92</v>
      </c>
      <c r="B290" s="157"/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8"/>
      <c r="AF290" s="36"/>
      <c r="AG290" s="15"/>
      <c r="AH290" s="15"/>
      <c r="AI290" s="15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</row>
    <row r="291" spans="1:62" ht="18.75" x14ac:dyDescent="0.3">
      <c r="A291" s="19" t="s">
        <v>25</v>
      </c>
      <c r="B291" s="13">
        <f>B292+B293+B294+B295</f>
        <v>13958.399999999998</v>
      </c>
      <c r="C291" s="13">
        <f>C292+C293+C294+C295</f>
        <v>13364.399999999998</v>
      </c>
      <c r="D291" s="13">
        <f>D292+D293+D294+D295</f>
        <v>12591.7</v>
      </c>
      <c r="E291" s="13">
        <f>E292+E293+E294+E295</f>
        <v>12591.7</v>
      </c>
      <c r="F291" s="26">
        <f>E291/B291*100</f>
        <v>90.208763182026601</v>
      </c>
      <c r="G291" s="26">
        <f>E291/C291*100</f>
        <v>94.218221543802954</v>
      </c>
      <c r="H291" s="13">
        <f>H292+H293+H294+H295</f>
        <v>792.4</v>
      </c>
      <c r="I291" s="13">
        <f t="shared" ref="I291:AE291" si="115">I292+I293+I294+I295</f>
        <v>792.4</v>
      </c>
      <c r="J291" s="13">
        <f t="shared" si="115"/>
        <v>1740.2</v>
      </c>
      <c r="K291" s="13">
        <f t="shared" si="115"/>
        <v>1740.2</v>
      </c>
      <c r="L291" s="13">
        <f t="shared" si="115"/>
        <v>1057</v>
      </c>
      <c r="M291" s="13">
        <f t="shared" si="115"/>
        <v>1057</v>
      </c>
      <c r="N291" s="13">
        <f t="shared" si="115"/>
        <v>1161.0999999999999</v>
      </c>
      <c r="O291" s="13">
        <f t="shared" si="115"/>
        <v>1161.0999999999999</v>
      </c>
      <c r="P291" s="13">
        <f t="shared" si="115"/>
        <v>1670.3</v>
      </c>
      <c r="Q291" s="13">
        <f t="shared" si="115"/>
        <v>1670.3</v>
      </c>
      <c r="R291" s="13">
        <f t="shared" si="115"/>
        <v>1238.4000000000001</v>
      </c>
      <c r="S291" s="13">
        <f t="shared" si="115"/>
        <v>1238</v>
      </c>
      <c r="T291" s="13">
        <f t="shared" si="115"/>
        <v>1730.6999999999998</v>
      </c>
      <c r="U291" s="13">
        <f t="shared" si="115"/>
        <v>1731.1</v>
      </c>
      <c r="V291" s="13">
        <f t="shared" si="115"/>
        <v>700.6</v>
      </c>
      <c r="W291" s="13">
        <f t="shared" si="115"/>
        <v>700</v>
      </c>
      <c r="X291" s="13">
        <f t="shared" si="115"/>
        <v>1144.9000000000001</v>
      </c>
      <c r="Y291" s="13">
        <f t="shared" si="115"/>
        <v>1046.0999999999999</v>
      </c>
      <c r="Z291" s="13">
        <f t="shared" si="115"/>
        <v>1032.5</v>
      </c>
      <c r="AA291" s="13">
        <f t="shared" si="115"/>
        <v>1032.5</v>
      </c>
      <c r="AB291" s="13">
        <f t="shared" si="115"/>
        <v>1096.3</v>
      </c>
      <c r="AC291" s="13">
        <f t="shared" si="115"/>
        <v>423</v>
      </c>
      <c r="AD291" s="13">
        <f t="shared" si="115"/>
        <v>593.99999999999989</v>
      </c>
      <c r="AE291" s="13">
        <f t="shared" si="115"/>
        <v>0</v>
      </c>
      <c r="AF291" s="153" t="s">
        <v>100</v>
      </c>
      <c r="AG291" s="15">
        <f>C291-E291</f>
        <v>772.69999999999709</v>
      </c>
      <c r="AH291" s="15"/>
      <c r="AI291" s="15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</row>
    <row r="292" spans="1:62" ht="18.75" x14ac:dyDescent="0.3">
      <c r="A292" s="22" t="s">
        <v>26</v>
      </c>
      <c r="B292" s="44"/>
      <c r="C292" s="29">
        <f>H292</f>
        <v>0</v>
      </c>
      <c r="D292" s="44"/>
      <c r="E292" s="44"/>
      <c r="F292" s="126"/>
      <c r="G292" s="126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54"/>
      <c r="AG292" s="15"/>
      <c r="AH292" s="15"/>
      <c r="AI292" s="15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</row>
    <row r="293" spans="1:62" ht="18.75" x14ac:dyDescent="0.3">
      <c r="A293" s="22" t="s">
        <v>27</v>
      </c>
      <c r="B293" s="23">
        <f>H293+J293+L293+N293+P293+R293+T293+V293+X293+Z293+AB293+AD293</f>
        <v>13958.399999999998</v>
      </c>
      <c r="C293" s="29">
        <f>H293+J293+L293+N293+P293+R293+T293+V293+X293+Z293+AB293</f>
        <v>13364.399999999998</v>
      </c>
      <c r="D293" s="23">
        <f>E293</f>
        <v>12591.7</v>
      </c>
      <c r="E293" s="30">
        <f>I293+K293+M293+O293+Q293+S293+U293+W293+Y293+AA293+AC293+AE293</f>
        <v>12591.7</v>
      </c>
      <c r="F293" s="25">
        <f>E293/B293*100</f>
        <v>90.208763182026601</v>
      </c>
      <c r="G293" s="25">
        <f>E293/C293*100</f>
        <v>94.218221543802954</v>
      </c>
      <c r="H293" s="23">
        <v>792.4</v>
      </c>
      <c r="I293" s="23">
        <v>792.4</v>
      </c>
      <c r="J293" s="23">
        <v>1740.2</v>
      </c>
      <c r="K293" s="23">
        <v>1740.2</v>
      </c>
      <c r="L293" s="23">
        <v>1057</v>
      </c>
      <c r="M293" s="23">
        <v>1057</v>
      </c>
      <c r="N293" s="23">
        <f>1019.5+141.6</f>
        <v>1161.0999999999999</v>
      </c>
      <c r="O293" s="23">
        <v>1161.0999999999999</v>
      </c>
      <c r="P293" s="23">
        <v>1670.3</v>
      </c>
      <c r="Q293" s="23">
        <v>1670.3</v>
      </c>
      <c r="R293" s="23">
        <v>1238.4000000000001</v>
      </c>
      <c r="S293" s="23">
        <v>1238</v>
      </c>
      <c r="T293" s="23">
        <f>1039.1+691.6</f>
        <v>1730.6999999999998</v>
      </c>
      <c r="U293" s="23">
        <v>1731.1</v>
      </c>
      <c r="V293" s="23">
        <v>700.6</v>
      </c>
      <c r="W293" s="23">
        <v>700</v>
      </c>
      <c r="X293" s="23">
        <v>1144.9000000000001</v>
      </c>
      <c r="Y293" s="23">
        <v>1046.0999999999999</v>
      </c>
      <c r="Z293" s="23">
        <v>1032.5</v>
      </c>
      <c r="AA293" s="23">
        <v>1032.5</v>
      </c>
      <c r="AB293" s="23">
        <v>1096.3</v>
      </c>
      <c r="AC293" s="23">
        <v>423</v>
      </c>
      <c r="AD293" s="23">
        <f>1075.6-141.6-340</f>
        <v>593.99999999999989</v>
      </c>
      <c r="AE293" s="23"/>
      <c r="AF293" s="154"/>
      <c r="AG293" s="15"/>
      <c r="AH293" s="15"/>
      <c r="AI293" s="15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</row>
    <row r="294" spans="1:62" ht="18.75" x14ac:dyDescent="0.3">
      <c r="A294" s="22" t="s">
        <v>28</v>
      </c>
      <c r="B294" s="44"/>
      <c r="C294" s="29">
        <f>H294</f>
        <v>0</v>
      </c>
      <c r="D294" s="44"/>
      <c r="E294" s="44"/>
      <c r="F294" s="126"/>
      <c r="G294" s="126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54"/>
      <c r="AG294" s="15"/>
      <c r="AH294" s="15"/>
      <c r="AI294" s="15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</row>
    <row r="295" spans="1:62" ht="18.75" x14ac:dyDescent="0.3">
      <c r="A295" s="22" t="s">
        <v>29</v>
      </c>
      <c r="B295" s="44"/>
      <c r="C295" s="29">
        <f>H295</f>
        <v>0</v>
      </c>
      <c r="D295" s="44"/>
      <c r="E295" s="44"/>
      <c r="F295" s="126"/>
      <c r="G295" s="126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55"/>
      <c r="AG295" s="15"/>
      <c r="AH295" s="15"/>
      <c r="AI295" s="15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</row>
    <row r="296" spans="1:62" ht="20.25" x14ac:dyDescent="0.25">
      <c r="A296" s="141" t="s">
        <v>93</v>
      </c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2"/>
      <c r="AE296" s="13"/>
      <c r="AF296" s="36"/>
      <c r="AG296" s="15"/>
      <c r="AH296" s="15"/>
      <c r="AI296" s="15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</row>
    <row r="297" spans="1:62" ht="18.75" x14ac:dyDescent="0.25">
      <c r="A297" s="52" t="s">
        <v>25</v>
      </c>
      <c r="B297" s="13">
        <f>B298+B299+B301+B302</f>
        <v>238477.5</v>
      </c>
      <c r="C297" s="13">
        <f>C298+C299+C301+C302</f>
        <v>223239.30000000002</v>
      </c>
      <c r="D297" s="13">
        <f>D298+D299+D301+D302</f>
        <v>200143.1</v>
      </c>
      <c r="E297" s="13">
        <f>E298+E299+E301+E302</f>
        <v>200143.1</v>
      </c>
      <c r="F297" s="26">
        <f>E297/B297*100</f>
        <v>83.925359834785255</v>
      </c>
      <c r="G297" s="26">
        <f>E297/C297*100</f>
        <v>89.65406180721763</v>
      </c>
      <c r="H297" s="13">
        <f>H298+H299+H301+H302</f>
        <v>16594.400000000001</v>
      </c>
      <c r="I297" s="13">
        <f t="shared" ref="I297:AE297" si="116">I298+I299+I301+I302</f>
        <v>14483.300000000001</v>
      </c>
      <c r="J297" s="13">
        <f t="shared" si="116"/>
        <v>24492.600000000002</v>
      </c>
      <c r="K297" s="13">
        <f t="shared" si="116"/>
        <v>18374.5</v>
      </c>
      <c r="L297" s="13">
        <f>L298+L299+L301+L302</f>
        <v>23820.9</v>
      </c>
      <c r="M297" s="13">
        <f t="shared" si="116"/>
        <v>8927.6</v>
      </c>
      <c r="N297" s="13">
        <f>N298+N299+N301+N302</f>
        <v>23625.9</v>
      </c>
      <c r="O297" s="13">
        <f t="shared" si="116"/>
        <v>22259.8</v>
      </c>
      <c r="P297" s="13">
        <f t="shared" si="116"/>
        <v>22433.599999999999</v>
      </c>
      <c r="Q297" s="13">
        <f t="shared" si="116"/>
        <v>23118.5</v>
      </c>
      <c r="R297" s="13">
        <f t="shared" si="116"/>
        <v>16179.100000000002</v>
      </c>
      <c r="S297" s="13">
        <f t="shared" si="116"/>
        <v>14451.199999999999</v>
      </c>
      <c r="T297" s="13">
        <f t="shared" si="116"/>
        <v>30191</v>
      </c>
      <c r="U297" s="13">
        <f t="shared" si="116"/>
        <v>29530.9</v>
      </c>
      <c r="V297" s="13">
        <f t="shared" si="116"/>
        <v>7535.2999999999993</v>
      </c>
      <c r="W297" s="13">
        <f t="shared" si="116"/>
        <v>7500.3</v>
      </c>
      <c r="X297" s="13">
        <f t="shared" si="116"/>
        <v>15440.9</v>
      </c>
      <c r="Y297" s="13">
        <f t="shared" si="116"/>
        <v>27982.7</v>
      </c>
      <c r="Z297" s="13">
        <f t="shared" si="116"/>
        <v>22807.4</v>
      </c>
      <c r="AA297" s="13">
        <f t="shared" si="116"/>
        <v>24091.599999999999</v>
      </c>
      <c r="AB297" s="13">
        <f t="shared" si="116"/>
        <v>20118.199999999997</v>
      </c>
      <c r="AC297" s="13">
        <f t="shared" si="116"/>
        <v>9422.7000000000007</v>
      </c>
      <c r="AD297" s="13">
        <f t="shared" si="116"/>
        <v>15238.2</v>
      </c>
      <c r="AE297" s="13">
        <f t="shared" si="116"/>
        <v>0</v>
      </c>
      <c r="AF297" s="36"/>
      <c r="AG297" s="15"/>
      <c r="AH297" s="15"/>
      <c r="AI297" s="15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</row>
    <row r="298" spans="1:62" ht="18.75" x14ac:dyDescent="0.3">
      <c r="A298" s="22" t="s">
        <v>26</v>
      </c>
      <c r="B298" s="23">
        <f t="shared" ref="B298:E299" si="117">B305+B311</f>
        <v>141848.5</v>
      </c>
      <c r="C298" s="23">
        <f t="shared" si="117"/>
        <v>127389.50000000001</v>
      </c>
      <c r="D298" s="23">
        <f t="shared" si="117"/>
        <v>115116.09999999999</v>
      </c>
      <c r="E298" s="23">
        <f t="shared" si="117"/>
        <v>115116.09999999999</v>
      </c>
      <c r="F298" s="25">
        <f>E298/B298*100</f>
        <v>81.154259650260656</v>
      </c>
      <c r="G298" s="25">
        <f>E298/C298*100</f>
        <v>90.365453981686073</v>
      </c>
      <c r="H298" s="23">
        <f t="shared" ref="H298:AE299" si="118">H305+H311</f>
        <v>11867.6</v>
      </c>
      <c r="I298" s="23">
        <f t="shared" si="118"/>
        <v>10733.7</v>
      </c>
      <c r="J298" s="23">
        <f t="shared" si="118"/>
        <v>16848</v>
      </c>
      <c r="K298" s="23">
        <f t="shared" si="118"/>
        <v>14609.4</v>
      </c>
      <c r="L298" s="23">
        <f t="shared" si="118"/>
        <v>15995</v>
      </c>
      <c r="M298" s="23">
        <f t="shared" si="118"/>
        <v>5350.3</v>
      </c>
      <c r="N298" s="23">
        <f t="shared" si="118"/>
        <v>15800</v>
      </c>
      <c r="O298" s="23">
        <f t="shared" si="118"/>
        <v>15407.1</v>
      </c>
      <c r="P298" s="23">
        <f t="shared" si="118"/>
        <v>15129</v>
      </c>
      <c r="Q298" s="23">
        <f t="shared" si="118"/>
        <v>16379.5</v>
      </c>
      <c r="R298" s="23">
        <f t="shared" si="118"/>
        <v>10233.1</v>
      </c>
      <c r="S298" s="23">
        <f t="shared" si="118"/>
        <v>9523.2999999999993</v>
      </c>
      <c r="T298" s="23">
        <f t="shared" si="118"/>
        <v>0</v>
      </c>
      <c r="U298" s="23">
        <f t="shared" si="118"/>
        <v>0</v>
      </c>
      <c r="V298" s="23">
        <f t="shared" si="118"/>
        <v>0</v>
      </c>
      <c r="W298" s="23">
        <f t="shared" si="118"/>
        <v>0</v>
      </c>
      <c r="X298" s="23">
        <f t="shared" si="118"/>
        <v>10868.1</v>
      </c>
      <c r="Y298" s="23">
        <f t="shared" si="118"/>
        <v>19228.599999999999</v>
      </c>
      <c r="Z298" s="23">
        <f t="shared" si="118"/>
        <v>15714.7</v>
      </c>
      <c r="AA298" s="23">
        <f t="shared" si="118"/>
        <v>18280</v>
      </c>
      <c r="AB298" s="23">
        <f t="shared" si="118"/>
        <v>14934</v>
      </c>
      <c r="AC298" s="23">
        <f t="shared" si="118"/>
        <v>5604.2</v>
      </c>
      <c r="AD298" s="23">
        <f t="shared" si="118"/>
        <v>14459</v>
      </c>
      <c r="AE298" s="23">
        <f t="shared" si="118"/>
        <v>0</v>
      </c>
      <c r="AF298" s="36"/>
      <c r="AG298" s="15"/>
      <c r="AH298" s="15"/>
      <c r="AI298" s="15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</row>
    <row r="299" spans="1:62" ht="18.75" x14ac:dyDescent="0.3">
      <c r="A299" s="22" t="s">
        <v>27</v>
      </c>
      <c r="B299" s="23">
        <f t="shared" si="117"/>
        <v>75296</v>
      </c>
      <c r="C299" s="23">
        <f t="shared" si="117"/>
        <v>75074.8</v>
      </c>
      <c r="D299" s="23">
        <f t="shared" si="117"/>
        <v>67665.400000000009</v>
      </c>
      <c r="E299" s="23">
        <f t="shared" si="117"/>
        <v>67665.400000000009</v>
      </c>
      <c r="F299" s="25">
        <f>E299/B299*100</f>
        <v>89.865862728431807</v>
      </c>
      <c r="G299" s="25">
        <f>E299/C299*100</f>
        <v>90.130643038676112</v>
      </c>
      <c r="H299" s="23">
        <f t="shared" si="118"/>
        <v>3176.4</v>
      </c>
      <c r="I299" s="23">
        <f t="shared" si="118"/>
        <v>3126.9</v>
      </c>
      <c r="J299" s="23">
        <f t="shared" si="118"/>
        <v>4698.8999999999996</v>
      </c>
      <c r="K299" s="23">
        <f t="shared" si="118"/>
        <v>2651</v>
      </c>
      <c r="L299" s="23">
        <f t="shared" si="118"/>
        <v>4880.2</v>
      </c>
      <c r="M299" s="23">
        <f t="shared" si="118"/>
        <v>1552.2</v>
      </c>
      <c r="N299" s="23">
        <f t="shared" si="118"/>
        <v>4880.2</v>
      </c>
      <c r="O299" s="23">
        <f t="shared" si="118"/>
        <v>4502.1000000000004</v>
      </c>
      <c r="P299" s="23">
        <f t="shared" si="118"/>
        <v>4979</v>
      </c>
      <c r="Q299" s="23">
        <f t="shared" si="118"/>
        <v>3864</v>
      </c>
      <c r="R299" s="23">
        <f t="shared" si="118"/>
        <v>5170.8</v>
      </c>
      <c r="S299" s="23">
        <f t="shared" si="118"/>
        <v>3882.4</v>
      </c>
      <c r="T299" s="23">
        <f t="shared" si="118"/>
        <v>30191</v>
      </c>
      <c r="U299" s="23">
        <f t="shared" si="118"/>
        <v>29530.9</v>
      </c>
      <c r="V299" s="23">
        <f t="shared" si="118"/>
        <v>7535.2999999999993</v>
      </c>
      <c r="W299" s="23">
        <f t="shared" si="118"/>
        <v>7500.3</v>
      </c>
      <c r="X299" s="23">
        <f t="shared" si="118"/>
        <v>2867.4</v>
      </c>
      <c r="Y299" s="23">
        <f t="shared" si="118"/>
        <v>7072.7</v>
      </c>
      <c r="Z299" s="23">
        <f t="shared" si="118"/>
        <v>4147</v>
      </c>
      <c r="AA299" s="23">
        <f t="shared" si="118"/>
        <v>2665</v>
      </c>
      <c r="AB299" s="23">
        <f t="shared" si="118"/>
        <v>2548.6</v>
      </c>
      <c r="AC299" s="23">
        <f t="shared" si="118"/>
        <v>1317.9</v>
      </c>
      <c r="AD299" s="23">
        <f t="shared" si="118"/>
        <v>221.19999999999982</v>
      </c>
      <c r="AE299" s="23">
        <f t="shared" si="118"/>
        <v>0</v>
      </c>
      <c r="AF299" s="36"/>
      <c r="AG299" s="15"/>
      <c r="AH299" s="15"/>
      <c r="AI299" s="15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</row>
    <row r="300" spans="1:62" ht="37.5" x14ac:dyDescent="0.3">
      <c r="A300" s="22" t="s">
        <v>30</v>
      </c>
      <c r="B300" s="23">
        <f>B313</f>
        <v>1138.5</v>
      </c>
      <c r="C300" s="23">
        <f>C313</f>
        <v>1108.7</v>
      </c>
      <c r="D300" s="23">
        <f>D313</f>
        <v>926.5</v>
      </c>
      <c r="E300" s="23">
        <f>E313</f>
        <v>926.5</v>
      </c>
      <c r="F300" s="25">
        <f>E300/B300*100</f>
        <v>81.379007465963994</v>
      </c>
      <c r="G300" s="25">
        <f>E300/C300*100</f>
        <v>83.56633895553351</v>
      </c>
      <c r="H300" s="23">
        <f t="shared" ref="H300:AE300" si="119">H313</f>
        <v>82.7</v>
      </c>
      <c r="I300" s="23">
        <f t="shared" si="119"/>
        <v>33.200000000000003</v>
      </c>
      <c r="J300" s="23">
        <f t="shared" si="119"/>
        <v>157.19999999999999</v>
      </c>
      <c r="K300" s="23">
        <f t="shared" si="119"/>
        <v>59.5</v>
      </c>
      <c r="L300" s="23">
        <f t="shared" si="119"/>
        <v>157.19999999999999</v>
      </c>
      <c r="M300" s="23">
        <f t="shared" si="119"/>
        <v>108.1</v>
      </c>
      <c r="N300" s="23">
        <f t="shared" si="119"/>
        <v>157.19999999999999</v>
      </c>
      <c r="O300" s="23">
        <f t="shared" si="119"/>
        <v>125.4</v>
      </c>
      <c r="P300" s="23">
        <f t="shared" si="119"/>
        <v>124.1</v>
      </c>
      <c r="Q300" s="23">
        <f t="shared" si="119"/>
        <v>123</v>
      </c>
      <c r="R300" s="23">
        <f t="shared" si="119"/>
        <v>41.4</v>
      </c>
      <c r="S300" s="23">
        <f t="shared" si="119"/>
        <v>86.2</v>
      </c>
      <c r="T300" s="23">
        <f t="shared" si="119"/>
        <v>0</v>
      </c>
      <c r="U300" s="23">
        <f t="shared" si="119"/>
        <v>0</v>
      </c>
      <c r="V300" s="23">
        <f t="shared" si="119"/>
        <v>0</v>
      </c>
      <c r="W300" s="23">
        <f t="shared" si="119"/>
        <v>0</v>
      </c>
      <c r="X300" s="23">
        <f t="shared" si="119"/>
        <v>91</v>
      </c>
      <c r="Y300" s="23">
        <f t="shared" si="119"/>
        <v>89.8</v>
      </c>
      <c r="Z300" s="23">
        <f t="shared" si="119"/>
        <v>157.19999999999999</v>
      </c>
      <c r="AA300" s="23">
        <f t="shared" si="119"/>
        <v>167.8</v>
      </c>
      <c r="AB300" s="23">
        <f t="shared" si="119"/>
        <v>140.69999999999999</v>
      </c>
      <c r="AC300" s="23">
        <f t="shared" si="119"/>
        <v>133.5</v>
      </c>
      <c r="AD300" s="23">
        <f t="shared" si="119"/>
        <v>29.799999999999983</v>
      </c>
      <c r="AE300" s="23">
        <f t="shared" si="119"/>
        <v>0</v>
      </c>
      <c r="AF300" s="36"/>
      <c r="AG300" s="15"/>
      <c r="AH300" s="15"/>
      <c r="AI300" s="15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</row>
    <row r="301" spans="1:62" ht="18.75" x14ac:dyDescent="0.3">
      <c r="A301" s="22" t="s">
        <v>28</v>
      </c>
      <c r="B301" s="29">
        <f>B307+B314</f>
        <v>21333</v>
      </c>
      <c r="C301" s="29">
        <f>C307+C314</f>
        <v>20775</v>
      </c>
      <c r="D301" s="29">
        <f>D307+D314</f>
        <v>17361.599999999999</v>
      </c>
      <c r="E301" s="29">
        <f>E307+E314</f>
        <v>17361.599999999999</v>
      </c>
      <c r="F301" s="25">
        <f>E301/B301*100</f>
        <v>81.383771621431578</v>
      </c>
      <c r="G301" s="25">
        <f>E301/C301*100</f>
        <v>83.569675090252701</v>
      </c>
      <c r="H301" s="29">
        <f t="shared" ref="H301:AE302" si="120">H307+H314</f>
        <v>1550.4</v>
      </c>
      <c r="I301" s="29">
        <f t="shared" si="120"/>
        <v>622.70000000000005</v>
      </c>
      <c r="J301" s="29">
        <f t="shared" si="120"/>
        <v>2945.7</v>
      </c>
      <c r="K301" s="29">
        <f t="shared" si="120"/>
        <v>1114.0999999999999</v>
      </c>
      <c r="L301" s="29">
        <f t="shared" si="120"/>
        <v>2945.7</v>
      </c>
      <c r="M301" s="29">
        <f t="shared" si="120"/>
        <v>2025.1</v>
      </c>
      <c r="N301" s="29">
        <f t="shared" si="120"/>
        <v>2945.7</v>
      </c>
      <c r="O301" s="29">
        <f t="shared" si="120"/>
        <v>2350.6</v>
      </c>
      <c r="P301" s="29">
        <f t="shared" si="120"/>
        <v>2325.6</v>
      </c>
      <c r="Q301" s="29">
        <f t="shared" si="120"/>
        <v>2875</v>
      </c>
      <c r="R301" s="29">
        <f t="shared" si="120"/>
        <v>775.2</v>
      </c>
      <c r="S301" s="29">
        <f t="shared" si="120"/>
        <v>1045.5</v>
      </c>
      <c r="T301" s="29">
        <f t="shared" si="120"/>
        <v>0</v>
      </c>
      <c r="U301" s="29">
        <f t="shared" si="120"/>
        <v>0</v>
      </c>
      <c r="V301" s="29">
        <f t="shared" si="120"/>
        <v>0</v>
      </c>
      <c r="W301" s="29">
        <f t="shared" si="120"/>
        <v>0</v>
      </c>
      <c r="X301" s="29">
        <f t="shared" si="120"/>
        <v>1705.4</v>
      </c>
      <c r="Y301" s="29">
        <f t="shared" si="120"/>
        <v>1681.4</v>
      </c>
      <c r="Z301" s="29">
        <f t="shared" si="120"/>
        <v>2945.7</v>
      </c>
      <c r="AA301" s="29">
        <f t="shared" si="120"/>
        <v>3146.6</v>
      </c>
      <c r="AB301" s="29">
        <f t="shared" si="120"/>
        <v>2635.6</v>
      </c>
      <c r="AC301" s="29">
        <f t="shared" si="120"/>
        <v>2500.6</v>
      </c>
      <c r="AD301" s="29">
        <f t="shared" si="120"/>
        <v>558</v>
      </c>
      <c r="AE301" s="29">
        <f t="shared" si="120"/>
        <v>0</v>
      </c>
      <c r="AF301" s="36"/>
      <c r="AG301" s="15"/>
      <c r="AH301" s="15"/>
      <c r="AI301" s="15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</row>
    <row r="302" spans="1:62" ht="18.75" x14ac:dyDescent="0.3">
      <c r="A302" s="22" t="s">
        <v>29</v>
      </c>
      <c r="B302" s="23">
        <f t="shared" ref="B302" si="121">B308+B315</f>
        <v>0</v>
      </c>
      <c r="C302" s="23">
        <f>C308+C315</f>
        <v>0</v>
      </c>
      <c r="D302" s="23">
        <f>D308+D315</f>
        <v>0</v>
      </c>
      <c r="E302" s="23">
        <f>E308+E315</f>
        <v>0</v>
      </c>
      <c r="F302" s="120">
        <f>IFERROR(E302/B302*100,0)</f>
        <v>0</v>
      </c>
      <c r="G302" s="120">
        <f>IFERROR(E302/C302*100,0)</f>
        <v>0</v>
      </c>
      <c r="H302" s="23">
        <f t="shared" si="120"/>
        <v>0</v>
      </c>
      <c r="I302" s="23">
        <f t="shared" si="120"/>
        <v>0</v>
      </c>
      <c r="J302" s="23">
        <f t="shared" si="120"/>
        <v>0</v>
      </c>
      <c r="K302" s="23">
        <f t="shared" si="120"/>
        <v>0</v>
      </c>
      <c r="L302" s="23">
        <f t="shared" si="120"/>
        <v>0</v>
      </c>
      <c r="M302" s="23">
        <f t="shared" si="120"/>
        <v>0</v>
      </c>
      <c r="N302" s="23">
        <f t="shared" si="120"/>
        <v>0</v>
      </c>
      <c r="O302" s="23">
        <f t="shared" si="120"/>
        <v>0</v>
      </c>
      <c r="P302" s="23">
        <f t="shared" si="120"/>
        <v>0</v>
      </c>
      <c r="Q302" s="23">
        <f t="shared" si="120"/>
        <v>0</v>
      </c>
      <c r="R302" s="23">
        <f t="shared" si="120"/>
        <v>0</v>
      </c>
      <c r="S302" s="23">
        <f t="shared" si="120"/>
        <v>0</v>
      </c>
      <c r="T302" s="23">
        <f t="shared" si="120"/>
        <v>0</v>
      </c>
      <c r="U302" s="23">
        <f t="shared" si="120"/>
        <v>0</v>
      </c>
      <c r="V302" s="23">
        <f t="shared" si="120"/>
        <v>0</v>
      </c>
      <c r="W302" s="23">
        <f t="shared" si="120"/>
        <v>0</v>
      </c>
      <c r="X302" s="23">
        <f t="shared" si="120"/>
        <v>0</v>
      </c>
      <c r="Y302" s="23">
        <f t="shared" si="120"/>
        <v>0</v>
      </c>
      <c r="Z302" s="23">
        <f t="shared" si="120"/>
        <v>0</v>
      </c>
      <c r="AA302" s="23">
        <f t="shared" si="120"/>
        <v>0</v>
      </c>
      <c r="AB302" s="23">
        <f t="shared" si="120"/>
        <v>0</v>
      </c>
      <c r="AC302" s="23">
        <f t="shared" si="120"/>
        <v>0</v>
      </c>
      <c r="AD302" s="23">
        <f t="shared" si="120"/>
        <v>0</v>
      </c>
      <c r="AE302" s="23">
        <f t="shared" si="120"/>
        <v>0</v>
      </c>
      <c r="AF302" s="36"/>
      <c r="AG302" s="15"/>
      <c r="AH302" s="15"/>
      <c r="AI302" s="15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</row>
    <row r="303" spans="1:62" ht="18.75" x14ac:dyDescent="0.25">
      <c r="A303" s="156" t="s">
        <v>94</v>
      </c>
      <c r="B303" s="157"/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8"/>
      <c r="AF303" s="36"/>
      <c r="AG303" s="15"/>
      <c r="AH303" s="15"/>
      <c r="AI303" s="15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</row>
    <row r="304" spans="1:62" ht="18.75" x14ac:dyDescent="0.25">
      <c r="A304" s="52" t="s">
        <v>25</v>
      </c>
      <c r="B304" s="13">
        <f>B305+B306+B308+B309</f>
        <v>39594.300000000003</v>
      </c>
      <c r="C304" s="13">
        <f>C305+C306+C308+C309</f>
        <v>39594.300000000003</v>
      </c>
      <c r="D304" s="13">
        <f>D305+D306+D308+D309</f>
        <v>39590.500000000007</v>
      </c>
      <c r="E304" s="13">
        <f>E305+E306+E308+E309</f>
        <v>39590.500000000007</v>
      </c>
      <c r="F304" s="121">
        <f>IFERROR(E304/B304*100,0)</f>
        <v>99.990402658968605</v>
      </c>
      <c r="G304" s="121">
        <f>IFERROR(E304/C304*100,0)</f>
        <v>99.990402658968605</v>
      </c>
      <c r="H304" s="13"/>
      <c r="I304" s="13"/>
      <c r="J304" s="13">
        <f>J305+J306+J307+J308</f>
        <v>0</v>
      </c>
      <c r="K304" s="13">
        <f t="shared" ref="K304:AB304" si="122">K305+K306+K307+K308</f>
        <v>0</v>
      </c>
      <c r="L304" s="13">
        <f t="shared" si="122"/>
        <v>0</v>
      </c>
      <c r="M304" s="13">
        <f t="shared" si="122"/>
        <v>0</v>
      </c>
      <c r="N304" s="13">
        <f t="shared" si="122"/>
        <v>0</v>
      </c>
      <c r="O304" s="13">
        <f t="shared" si="122"/>
        <v>0</v>
      </c>
      <c r="P304" s="13">
        <f t="shared" si="122"/>
        <v>165</v>
      </c>
      <c r="Q304" s="13">
        <f t="shared" si="122"/>
        <v>165</v>
      </c>
      <c r="R304" s="13">
        <f t="shared" si="122"/>
        <v>1703</v>
      </c>
      <c r="S304" s="13">
        <f t="shared" si="122"/>
        <v>1703</v>
      </c>
      <c r="T304" s="13">
        <f t="shared" si="122"/>
        <v>30191</v>
      </c>
      <c r="U304" s="13">
        <f t="shared" si="122"/>
        <v>29530.9</v>
      </c>
      <c r="V304" s="13">
        <f t="shared" si="122"/>
        <v>7535.2999999999993</v>
      </c>
      <c r="W304" s="13">
        <f t="shared" si="122"/>
        <v>7500.3</v>
      </c>
      <c r="X304" s="13">
        <f t="shared" si="122"/>
        <v>0</v>
      </c>
      <c r="Y304" s="13">
        <f t="shared" si="122"/>
        <v>691.3</v>
      </c>
      <c r="Z304" s="13">
        <f t="shared" si="122"/>
        <v>0</v>
      </c>
      <c r="AA304" s="13">
        <f t="shared" si="122"/>
        <v>0</v>
      </c>
      <c r="AB304" s="13">
        <f t="shared" si="122"/>
        <v>0</v>
      </c>
      <c r="AC304" s="13">
        <f>AC305+AC306+AC307+AC308</f>
        <v>0</v>
      </c>
      <c r="AD304" s="13">
        <f>AD305+AE306+AD307+AD308</f>
        <v>0</v>
      </c>
      <c r="AE304" s="13">
        <f>AE305+AE306+AE307+AE308</f>
        <v>0</v>
      </c>
      <c r="AF304" s="36"/>
      <c r="AG304" s="15"/>
      <c r="AH304" s="15"/>
      <c r="AI304" s="15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</row>
    <row r="305" spans="1:62" ht="18.75" x14ac:dyDescent="0.25">
      <c r="A305" s="53" t="s">
        <v>26</v>
      </c>
      <c r="B305" s="23">
        <f>H305+J305+L305+N305+P305+R305+T305+V305+X305+Z305+AB305+AD305</f>
        <v>0</v>
      </c>
      <c r="C305" s="29">
        <f>H305</f>
        <v>0</v>
      </c>
      <c r="D305" s="23"/>
      <c r="E305" s="23"/>
      <c r="F305" s="24"/>
      <c r="G305" s="24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36"/>
      <c r="AG305" s="15"/>
      <c r="AH305" s="15"/>
      <c r="AI305" s="15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</row>
    <row r="306" spans="1:62" ht="37.5" x14ac:dyDescent="0.25">
      <c r="A306" s="53" t="s">
        <v>40</v>
      </c>
      <c r="B306" s="23">
        <f>H306+J306+L306+N306+P306+R306+T306+V306+X306+Z306+AB306+AD306</f>
        <v>39594.300000000003</v>
      </c>
      <c r="C306" s="29">
        <f>P306+R306+T306+V306</f>
        <v>39594.300000000003</v>
      </c>
      <c r="D306" s="23">
        <f>E306</f>
        <v>39590.500000000007</v>
      </c>
      <c r="E306" s="30">
        <f>I306+K306+M306+O306+Q306+S306+U306+W306+Y306+AA306+AC306+AE306</f>
        <v>39590.500000000007</v>
      </c>
      <c r="F306" s="120">
        <f>IFERROR(E306/B306*100,0)</f>
        <v>99.990402658968605</v>
      </c>
      <c r="G306" s="120">
        <f>IFERROR(E306/C306*100,0)</f>
        <v>99.990402658968605</v>
      </c>
      <c r="H306" s="13"/>
      <c r="I306" s="13"/>
      <c r="J306" s="23"/>
      <c r="K306" s="23"/>
      <c r="L306" s="23"/>
      <c r="M306" s="23"/>
      <c r="N306" s="23"/>
      <c r="O306" s="23"/>
      <c r="P306" s="23">
        <v>165</v>
      </c>
      <c r="Q306" s="23">
        <v>165</v>
      </c>
      <c r="R306" s="23">
        <v>1703</v>
      </c>
      <c r="S306" s="23">
        <v>1703</v>
      </c>
      <c r="T306" s="23">
        <f>42540.4-165-1703-10481.4</f>
        <v>30191</v>
      </c>
      <c r="U306" s="23">
        <v>29530.9</v>
      </c>
      <c r="V306" s="23">
        <f>10481.4-2981.1+35</f>
        <v>7535.2999999999993</v>
      </c>
      <c r="W306" s="23">
        <v>7500.3</v>
      </c>
      <c r="X306" s="23"/>
      <c r="Y306" s="23">
        <v>691.3</v>
      </c>
      <c r="Z306" s="23"/>
      <c r="AA306" s="23"/>
      <c r="AB306" s="23"/>
      <c r="AC306" s="23"/>
      <c r="AD306" s="23"/>
      <c r="AE306" s="23"/>
      <c r="AF306" s="36" t="s">
        <v>44</v>
      </c>
      <c r="AG306" s="15"/>
      <c r="AH306" s="15"/>
      <c r="AI306" s="15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</row>
    <row r="307" spans="1:62" ht="18.75" x14ac:dyDescent="0.3">
      <c r="A307" s="22" t="s">
        <v>28</v>
      </c>
      <c r="B307" s="44"/>
      <c r="C307" s="29">
        <f>H307</f>
        <v>0</v>
      </c>
      <c r="D307" s="44"/>
      <c r="E307" s="44"/>
      <c r="F307" s="44"/>
      <c r="G307" s="44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36"/>
      <c r="AG307" s="15"/>
      <c r="AH307" s="15"/>
      <c r="AI307" s="15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</row>
    <row r="308" spans="1:62" ht="18.75" x14ac:dyDescent="0.3">
      <c r="A308" s="22" t="s">
        <v>29</v>
      </c>
      <c r="B308" s="23">
        <f>R308+X308+Z308+T308+V308</f>
        <v>0</v>
      </c>
      <c r="C308" s="29">
        <f>H308</f>
        <v>0</v>
      </c>
      <c r="D308" s="23"/>
      <c r="E308" s="30">
        <f>I308+K308+M308+O308+Q308+S308+U308+W308+Y308+AA308+AC308+AE308</f>
        <v>0</v>
      </c>
      <c r="F308" s="120">
        <f>IFERROR(E308/B308*100,0)</f>
        <v>0</v>
      </c>
      <c r="G308" s="120">
        <f>IFERROR(E308/C308*100,0)</f>
        <v>0</v>
      </c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36"/>
      <c r="AG308" s="15"/>
      <c r="AH308" s="15"/>
      <c r="AI308" s="15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</row>
    <row r="309" spans="1:62" ht="18.75" x14ac:dyDescent="0.25">
      <c r="A309" s="156" t="s">
        <v>95</v>
      </c>
      <c r="B309" s="157"/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8"/>
      <c r="AF309" s="153" t="s">
        <v>151</v>
      </c>
      <c r="AG309" s="15"/>
      <c r="AH309" s="15"/>
      <c r="AI309" s="15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</row>
    <row r="310" spans="1:62" ht="18.75" x14ac:dyDescent="0.3">
      <c r="A310" s="19" t="s">
        <v>25</v>
      </c>
      <c r="B310" s="13">
        <f>B311+B312+B314+B315</f>
        <v>198883.20000000001</v>
      </c>
      <c r="C310" s="13">
        <f>C311+C312+C314+C315</f>
        <v>183645</v>
      </c>
      <c r="D310" s="13">
        <f>D311+D312+D314+D315</f>
        <v>160552.6</v>
      </c>
      <c r="E310" s="13">
        <f>E311+E312+E314+E315</f>
        <v>160552.6</v>
      </c>
      <c r="F310" s="26">
        <f>E310/B310*100</f>
        <v>80.727080014802652</v>
      </c>
      <c r="G310" s="26">
        <f>E310/C310*100</f>
        <v>87.425522067031508</v>
      </c>
      <c r="H310" s="13">
        <f t="shared" ref="H310:AE310" si="123">H311+H312+H314+H315</f>
        <v>16594.400000000001</v>
      </c>
      <c r="I310" s="13">
        <f t="shared" si="123"/>
        <v>14483.300000000001</v>
      </c>
      <c r="J310" s="13">
        <f t="shared" si="123"/>
        <v>24492.600000000002</v>
      </c>
      <c r="K310" s="13">
        <f t="shared" si="123"/>
        <v>18374.5</v>
      </c>
      <c r="L310" s="13">
        <f>L311+L312+L314+L315</f>
        <v>23820.9</v>
      </c>
      <c r="M310" s="13">
        <f t="shared" si="123"/>
        <v>8927.6</v>
      </c>
      <c r="N310" s="13">
        <f t="shared" si="123"/>
        <v>23625.9</v>
      </c>
      <c r="O310" s="13">
        <f t="shared" si="123"/>
        <v>22259.8</v>
      </c>
      <c r="P310" s="13">
        <f t="shared" si="123"/>
        <v>22268.6</v>
      </c>
      <c r="Q310" s="13">
        <f t="shared" si="123"/>
        <v>22953.5</v>
      </c>
      <c r="R310" s="13">
        <f t="shared" si="123"/>
        <v>14476.100000000002</v>
      </c>
      <c r="S310" s="13">
        <f t="shared" si="123"/>
        <v>12748.199999999999</v>
      </c>
      <c r="T310" s="13">
        <f t="shared" si="123"/>
        <v>0</v>
      </c>
      <c r="U310" s="13">
        <f t="shared" si="123"/>
        <v>0</v>
      </c>
      <c r="V310" s="13">
        <f t="shared" si="123"/>
        <v>0</v>
      </c>
      <c r="W310" s="13">
        <f t="shared" si="123"/>
        <v>0</v>
      </c>
      <c r="X310" s="13">
        <f t="shared" si="123"/>
        <v>15440.9</v>
      </c>
      <c r="Y310" s="13">
        <f t="shared" si="123"/>
        <v>27291.4</v>
      </c>
      <c r="Z310" s="13">
        <f t="shared" si="123"/>
        <v>22807.4</v>
      </c>
      <c r="AA310" s="13">
        <f t="shared" si="123"/>
        <v>24091.599999999999</v>
      </c>
      <c r="AB310" s="13">
        <f t="shared" si="123"/>
        <v>20118.199999999997</v>
      </c>
      <c r="AC310" s="13">
        <f t="shared" si="123"/>
        <v>9422.7000000000007</v>
      </c>
      <c r="AD310" s="13">
        <f t="shared" si="123"/>
        <v>15238.2</v>
      </c>
      <c r="AE310" s="13">
        <f t="shared" si="123"/>
        <v>0</v>
      </c>
      <c r="AF310" s="154"/>
      <c r="AG310" s="15"/>
      <c r="AH310" s="15"/>
      <c r="AI310" s="15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</row>
    <row r="311" spans="1:62" ht="18.75" x14ac:dyDescent="0.3">
      <c r="A311" s="22" t="s">
        <v>26</v>
      </c>
      <c r="B311" s="23">
        <f>H311+J311+L311+N311+P311+R311+T311+V311+X311+Z311+AB311+AD311</f>
        <v>141848.5</v>
      </c>
      <c r="C311" s="29">
        <f>H311+J311+L311+N311+P311+R311+X311+Z311+AB311</f>
        <v>127389.50000000001</v>
      </c>
      <c r="D311" s="23">
        <f>E311</f>
        <v>115116.09999999999</v>
      </c>
      <c r="E311" s="30">
        <f>I311+K311+M311+O311+Q311+S311+U311+W311+Y311+AA311+AC311+AE311</f>
        <v>115116.09999999999</v>
      </c>
      <c r="F311" s="25">
        <f>E311/B311*100</f>
        <v>81.154259650260656</v>
      </c>
      <c r="G311" s="25">
        <f>E311/C311*100</f>
        <v>90.365453981686073</v>
      </c>
      <c r="H311" s="23">
        <v>11867.6</v>
      </c>
      <c r="I311" s="86">
        <v>10733.7</v>
      </c>
      <c r="J311" s="23">
        <v>16848</v>
      </c>
      <c r="K311" s="23">
        <v>14609.4</v>
      </c>
      <c r="L311" s="23">
        <v>15995</v>
      </c>
      <c r="M311" s="23">
        <v>5350.3</v>
      </c>
      <c r="N311" s="23">
        <v>15800</v>
      </c>
      <c r="O311" s="23">
        <v>15407.1</v>
      </c>
      <c r="P311" s="23">
        <f>14691+438</f>
        <v>15129</v>
      </c>
      <c r="Q311" s="23">
        <v>16379.5</v>
      </c>
      <c r="R311" s="23">
        <f>9518.1+715</f>
        <v>10233.1</v>
      </c>
      <c r="S311" s="23">
        <f>3568+5955.3</f>
        <v>9523.2999999999993</v>
      </c>
      <c r="T311" s="23"/>
      <c r="U311" s="23"/>
      <c r="V311" s="23"/>
      <c r="W311" s="23"/>
      <c r="X311" s="23">
        <f>11583.1-715</f>
        <v>10868.1</v>
      </c>
      <c r="Y311" s="23">
        <f>8778.7+10449.9</f>
        <v>19228.599999999999</v>
      </c>
      <c r="Z311" s="23">
        <v>15714.7</v>
      </c>
      <c r="AA311" s="23">
        <v>18280</v>
      </c>
      <c r="AB311" s="23">
        <v>14934</v>
      </c>
      <c r="AC311" s="23">
        <v>5604.2</v>
      </c>
      <c r="AD311" s="23">
        <f>15366.8-438-469.8</f>
        <v>14459</v>
      </c>
      <c r="AE311" s="23"/>
      <c r="AF311" s="154"/>
      <c r="AG311" s="15"/>
      <c r="AH311" s="15"/>
      <c r="AI311" s="15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</row>
    <row r="312" spans="1:62" ht="66" customHeight="1" x14ac:dyDescent="0.3">
      <c r="A312" s="22" t="s">
        <v>27</v>
      </c>
      <c r="B312" s="23">
        <f>H312+J312+L312+N312+P312+R312+T312+V312+X312+Z312+AB312+AD312</f>
        <v>35701.699999999997</v>
      </c>
      <c r="C312" s="29">
        <f t="shared" ref="C312:C314" si="124">H312+J312+L312+N312+P312+R312+X312+Z312+AB312</f>
        <v>35480.5</v>
      </c>
      <c r="D312" s="23">
        <f>E312</f>
        <v>28074.9</v>
      </c>
      <c r="E312" s="30">
        <f>I312+K312+M312+O312+Q312+S312+U312+W312+Y312+AA312+AC312+AE312</f>
        <v>28074.9</v>
      </c>
      <c r="F312" s="25">
        <f>E312/B312*100</f>
        <v>78.637431830977249</v>
      </c>
      <c r="G312" s="25">
        <f>E312/C312*100</f>
        <v>79.12768985780923</v>
      </c>
      <c r="H312" s="23">
        <v>3176.4</v>
      </c>
      <c r="I312" s="86">
        <v>3126.9</v>
      </c>
      <c r="J312" s="23">
        <v>4698.8999999999996</v>
      </c>
      <c r="K312" s="23">
        <v>2651</v>
      </c>
      <c r="L312" s="23">
        <v>4880.2</v>
      </c>
      <c r="M312" s="23">
        <v>1552.2</v>
      </c>
      <c r="N312" s="23">
        <v>4880.2</v>
      </c>
      <c r="O312" s="23">
        <v>4502.1000000000004</v>
      </c>
      <c r="P312" s="23">
        <v>4814</v>
      </c>
      <c r="Q312" s="23">
        <v>3699</v>
      </c>
      <c r="R312" s="23">
        <f>3477.8-10</f>
        <v>3467.8</v>
      </c>
      <c r="S312" s="23">
        <f>1287+892.4</f>
        <v>2179.4</v>
      </c>
      <c r="T312" s="23"/>
      <c r="U312" s="23"/>
      <c r="V312" s="23"/>
      <c r="W312" s="23"/>
      <c r="X312" s="23">
        <v>2867.4</v>
      </c>
      <c r="Y312" s="23">
        <f>2283.4+4098</f>
        <v>6381.4</v>
      </c>
      <c r="Z312" s="23">
        <v>4147</v>
      </c>
      <c r="AA312" s="23">
        <v>2665</v>
      </c>
      <c r="AB312" s="23">
        <v>2548.6</v>
      </c>
      <c r="AC312" s="23">
        <v>1317.9</v>
      </c>
      <c r="AD312" s="23">
        <f>3106.5-2885.3</f>
        <v>221.19999999999982</v>
      </c>
      <c r="AE312" s="23"/>
      <c r="AF312" s="154"/>
      <c r="AG312" s="15"/>
      <c r="AH312" s="15"/>
      <c r="AI312" s="15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</row>
    <row r="313" spans="1:62" ht="37.5" x14ac:dyDescent="0.3">
      <c r="A313" s="22" t="s">
        <v>30</v>
      </c>
      <c r="B313" s="29">
        <f>H313+J313+L313+N313+P313+R313+T313+V313+X313+Z313+AB313+AD313</f>
        <v>1138.5</v>
      </c>
      <c r="C313" s="29">
        <f t="shared" si="124"/>
        <v>1108.7</v>
      </c>
      <c r="D313" s="23">
        <f>E313</f>
        <v>926.5</v>
      </c>
      <c r="E313" s="30">
        <f>I313+K313+M313+O313+Q313+S313+U313+W313+Y313+AA313+AC313+AE313</f>
        <v>926.5</v>
      </c>
      <c r="F313" s="25">
        <f>E313/B313*100</f>
        <v>81.379007465963994</v>
      </c>
      <c r="G313" s="25">
        <f>E313/C313*100</f>
        <v>83.56633895553351</v>
      </c>
      <c r="H313" s="23">
        <v>82.7</v>
      </c>
      <c r="I313" s="86">
        <v>33.200000000000003</v>
      </c>
      <c r="J313" s="23">
        <v>157.19999999999999</v>
      </c>
      <c r="K313" s="23">
        <v>59.5</v>
      </c>
      <c r="L313" s="23">
        <v>157.19999999999999</v>
      </c>
      <c r="M313" s="23">
        <v>108.1</v>
      </c>
      <c r="N313" s="23">
        <v>157.19999999999999</v>
      </c>
      <c r="O313" s="23">
        <v>125.4</v>
      </c>
      <c r="P313" s="23">
        <v>124.1</v>
      </c>
      <c r="Q313" s="23">
        <v>123</v>
      </c>
      <c r="R313" s="23">
        <v>41.4</v>
      </c>
      <c r="S313" s="23">
        <f>16+70.2</f>
        <v>86.2</v>
      </c>
      <c r="T313" s="23"/>
      <c r="U313" s="23"/>
      <c r="V313" s="23"/>
      <c r="W313" s="23"/>
      <c r="X313" s="23">
        <v>91</v>
      </c>
      <c r="Y313" s="23">
        <v>89.8</v>
      </c>
      <c r="Z313" s="23">
        <v>157.19999999999999</v>
      </c>
      <c r="AA313" s="23">
        <v>167.8</v>
      </c>
      <c r="AB313" s="23">
        <v>140.69999999999999</v>
      </c>
      <c r="AC313" s="23">
        <v>133.5</v>
      </c>
      <c r="AD313" s="23">
        <f>215.1-185.3</f>
        <v>29.799999999999983</v>
      </c>
      <c r="AE313" s="23"/>
      <c r="AF313" s="132"/>
      <c r="AG313" s="15"/>
      <c r="AH313" s="15"/>
      <c r="AI313" s="15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</row>
    <row r="314" spans="1:62" ht="18.75" x14ac:dyDescent="0.3">
      <c r="A314" s="22" t="s">
        <v>28</v>
      </c>
      <c r="B314" s="29">
        <f>H314+J314+L314+N314+P314+R314+T314+V314+X314+Z314+AB314+AD314</f>
        <v>21333</v>
      </c>
      <c r="C314" s="29">
        <f t="shared" si="124"/>
        <v>20775</v>
      </c>
      <c r="D314" s="23">
        <f>E314</f>
        <v>17361.599999999999</v>
      </c>
      <c r="E314" s="30">
        <f>I314+K314+M314+O314+Q314+S314+U314+W314+Y314+AA314+AC314+AE314</f>
        <v>17361.599999999999</v>
      </c>
      <c r="F314" s="127">
        <f>E314/B314*100</f>
        <v>81.383771621431578</v>
      </c>
      <c r="G314" s="127">
        <f>E314/C314*100</f>
        <v>83.569675090252701</v>
      </c>
      <c r="H314" s="23">
        <v>1550.4</v>
      </c>
      <c r="I314" s="23">
        <v>622.70000000000005</v>
      </c>
      <c r="J314" s="23">
        <v>2945.7</v>
      </c>
      <c r="K314" s="23">
        <v>1114.0999999999999</v>
      </c>
      <c r="L314" s="23">
        <v>2945.7</v>
      </c>
      <c r="M314" s="23">
        <v>2025.1</v>
      </c>
      <c r="N314" s="23">
        <v>2945.7</v>
      </c>
      <c r="O314" s="23">
        <v>2350.6</v>
      </c>
      <c r="P314" s="23">
        <v>2325.6</v>
      </c>
      <c r="Q314" s="23">
        <v>2875</v>
      </c>
      <c r="R314" s="23">
        <v>775.2</v>
      </c>
      <c r="S314" s="23">
        <f>208+837.5</f>
        <v>1045.5</v>
      </c>
      <c r="T314" s="23"/>
      <c r="U314" s="23"/>
      <c r="V314" s="23"/>
      <c r="W314" s="23"/>
      <c r="X314" s="23">
        <v>1705.4</v>
      </c>
      <c r="Y314" s="23">
        <v>1681.4</v>
      </c>
      <c r="Z314" s="23">
        <v>2945.7</v>
      </c>
      <c r="AA314" s="23">
        <v>3146.6</v>
      </c>
      <c r="AB314" s="23">
        <v>2635.6</v>
      </c>
      <c r="AC314" s="23">
        <v>2500.6</v>
      </c>
      <c r="AD314" s="23">
        <f>4030.9-3472.9</f>
        <v>558</v>
      </c>
      <c r="AE314" s="23"/>
      <c r="AF314" s="36"/>
      <c r="AG314" s="33"/>
      <c r="AH314" s="33"/>
      <c r="AI314" s="33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</row>
    <row r="315" spans="1:62" ht="18.75" x14ac:dyDescent="0.3">
      <c r="A315" s="22" t="s">
        <v>29</v>
      </c>
      <c r="B315" s="44"/>
      <c r="C315" s="44"/>
      <c r="D315" s="44"/>
      <c r="E315" s="44"/>
      <c r="F315" s="126"/>
      <c r="G315" s="126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36"/>
      <c r="AG315" s="15"/>
      <c r="AH315" s="15"/>
      <c r="AI315" s="15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</row>
    <row r="316" spans="1:62" ht="20.25" x14ac:dyDescent="0.25">
      <c r="A316" s="141" t="s">
        <v>136</v>
      </c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2"/>
      <c r="AE316" s="13"/>
      <c r="AF316" s="36"/>
      <c r="AG316" s="15"/>
      <c r="AH316" s="15"/>
      <c r="AI316" s="15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</row>
    <row r="317" spans="1:62" ht="18.75" x14ac:dyDescent="0.3">
      <c r="A317" s="19" t="s">
        <v>25</v>
      </c>
      <c r="B317" s="13">
        <f>B318+B319+B322+B321</f>
        <v>6025</v>
      </c>
      <c r="C317" s="13">
        <f>C318+C319+C322+C321</f>
        <v>6025</v>
      </c>
      <c r="D317" s="13">
        <f>D318+D319+D322+D321</f>
        <v>6025</v>
      </c>
      <c r="E317" s="13">
        <f>E318+E319+E322+E321</f>
        <v>6025</v>
      </c>
      <c r="F317" s="121">
        <f t="shared" ref="F317:F322" si="125">IFERROR(E317/B317*100,0)</f>
        <v>100</v>
      </c>
      <c r="G317" s="121">
        <f t="shared" ref="G317:G322" si="126">IFERROR(E317/C317*100,0)</f>
        <v>100</v>
      </c>
      <c r="H317" s="13">
        <f t="shared" ref="H317:AE317" si="127">H318+H319+H322+H321</f>
        <v>0</v>
      </c>
      <c r="I317" s="13">
        <f t="shared" si="127"/>
        <v>0</v>
      </c>
      <c r="J317" s="13">
        <f t="shared" si="127"/>
        <v>0</v>
      </c>
      <c r="K317" s="13">
        <f t="shared" si="127"/>
        <v>0</v>
      </c>
      <c r="L317" s="13">
        <f>L318+L319+L322+L321</f>
        <v>0</v>
      </c>
      <c r="M317" s="13">
        <f t="shared" si="127"/>
        <v>0</v>
      </c>
      <c r="N317" s="13">
        <f t="shared" si="127"/>
        <v>0</v>
      </c>
      <c r="O317" s="13">
        <f t="shared" si="127"/>
        <v>0</v>
      </c>
      <c r="P317" s="13">
        <f t="shared" si="127"/>
        <v>0</v>
      </c>
      <c r="Q317" s="13">
        <f t="shared" si="127"/>
        <v>0</v>
      </c>
      <c r="R317" s="13">
        <f t="shared" si="127"/>
        <v>0</v>
      </c>
      <c r="S317" s="13">
        <f t="shared" si="127"/>
        <v>0</v>
      </c>
      <c r="T317" s="13">
        <f t="shared" si="127"/>
        <v>4013.6</v>
      </c>
      <c r="U317" s="13">
        <f t="shared" si="127"/>
        <v>4013.6</v>
      </c>
      <c r="V317" s="13">
        <f t="shared" si="127"/>
        <v>2011.4</v>
      </c>
      <c r="W317" s="13">
        <f t="shared" si="127"/>
        <v>2011.4</v>
      </c>
      <c r="X317" s="13">
        <f t="shared" si="127"/>
        <v>0</v>
      </c>
      <c r="Y317" s="13">
        <f t="shared" si="127"/>
        <v>0</v>
      </c>
      <c r="Z317" s="13">
        <f t="shared" si="127"/>
        <v>0</v>
      </c>
      <c r="AA317" s="13">
        <f t="shared" si="127"/>
        <v>0</v>
      </c>
      <c r="AB317" s="13">
        <f t="shared" si="127"/>
        <v>0</v>
      </c>
      <c r="AC317" s="13">
        <f t="shared" si="127"/>
        <v>0</v>
      </c>
      <c r="AD317" s="13">
        <f t="shared" si="127"/>
        <v>0</v>
      </c>
      <c r="AE317" s="13">
        <f t="shared" si="127"/>
        <v>0</v>
      </c>
      <c r="AF317" s="54"/>
      <c r="AG317" s="15"/>
      <c r="AH317" s="15"/>
      <c r="AI317" s="15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</row>
    <row r="318" spans="1:62" ht="18.75" x14ac:dyDescent="0.3">
      <c r="A318" s="22" t="s">
        <v>26</v>
      </c>
      <c r="B318" s="23">
        <f>B325+B332+B339</f>
        <v>1564.3</v>
      </c>
      <c r="C318" s="23">
        <f t="shared" ref="C318:E318" si="128">C325+C332+C339</f>
        <v>1564.3</v>
      </c>
      <c r="D318" s="23">
        <f t="shared" si="128"/>
        <v>1564.3</v>
      </c>
      <c r="E318" s="23">
        <f t="shared" si="128"/>
        <v>1564.3</v>
      </c>
      <c r="F318" s="120">
        <f t="shared" si="125"/>
        <v>100</v>
      </c>
      <c r="G318" s="120">
        <f t="shared" si="126"/>
        <v>100</v>
      </c>
      <c r="H318" s="23">
        <f t="shared" ref="H318:AE322" si="129">H325+H332+H339</f>
        <v>0</v>
      </c>
      <c r="I318" s="23">
        <f t="shared" si="129"/>
        <v>0</v>
      </c>
      <c r="J318" s="23">
        <f t="shared" si="129"/>
        <v>0</v>
      </c>
      <c r="K318" s="23">
        <f t="shared" si="129"/>
        <v>0</v>
      </c>
      <c r="L318" s="23">
        <f t="shared" si="129"/>
        <v>0</v>
      </c>
      <c r="M318" s="23">
        <f t="shared" si="129"/>
        <v>0</v>
      </c>
      <c r="N318" s="23">
        <f t="shared" si="129"/>
        <v>0</v>
      </c>
      <c r="O318" s="23">
        <f t="shared" si="129"/>
        <v>0</v>
      </c>
      <c r="P318" s="23">
        <f t="shared" si="129"/>
        <v>0</v>
      </c>
      <c r="Q318" s="23">
        <f t="shared" si="129"/>
        <v>0</v>
      </c>
      <c r="R318" s="23">
        <f t="shared" si="129"/>
        <v>0</v>
      </c>
      <c r="S318" s="23">
        <f t="shared" si="129"/>
        <v>0</v>
      </c>
      <c r="T318" s="23">
        <f t="shared" si="129"/>
        <v>158.30000000000001</v>
      </c>
      <c r="U318" s="23">
        <f t="shared" si="129"/>
        <v>158.30000000000001</v>
      </c>
      <c r="V318" s="23">
        <f t="shared" si="129"/>
        <v>1406</v>
      </c>
      <c r="W318" s="23">
        <f t="shared" si="129"/>
        <v>1406</v>
      </c>
      <c r="X318" s="23">
        <f t="shared" si="129"/>
        <v>0</v>
      </c>
      <c r="Y318" s="23">
        <f t="shared" si="129"/>
        <v>0</v>
      </c>
      <c r="Z318" s="23">
        <f t="shared" si="129"/>
        <v>0</v>
      </c>
      <c r="AA318" s="23">
        <f t="shared" si="129"/>
        <v>0</v>
      </c>
      <c r="AB318" s="23">
        <f t="shared" si="129"/>
        <v>0</v>
      </c>
      <c r="AC318" s="23">
        <f t="shared" si="129"/>
        <v>0</v>
      </c>
      <c r="AD318" s="23">
        <f t="shared" si="129"/>
        <v>0</v>
      </c>
      <c r="AE318" s="23">
        <f t="shared" si="129"/>
        <v>0</v>
      </c>
      <c r="AF318" s="55"/>
      <c r="AG318" s="15"/>
      <c r="AH318" s="15"/>
      <c r="AI318" s="15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</row>
    <row r="319" spans="1:62" ht="18.75" x14ac:dyDescent="0.3">
      <c r="A319" s="22" t="s">
        <v>27</v>
      </c>
      <c r="B319" s="23">
        <f t="shared" ref="B319:E322" si="130">B326+B333+B340</f>
        <v>4460.7</v>
      </c>
      <c r="C319" s="23">
        <f>C326+C333+C340</f>
        <v>4460.7</v>
      </c>
      <c r="D319" s="23">
        <f t="shared" si="130"/>
        <v>4460.7</v>
      </c>
      <c r="E319" s="23">
        <f t="shared" si="130"/>
        <v>4460.7</v>
      </c>
      <c r="F319" s="120">
        <f t="shared" si="125"/>
        <v>100</v>
      </c>
      <c r="G319" s="120">
        <f t="shared" si="126"/>
        <v>100</v>
      </c>
      <c r="H319" s="23">
        <f t="shared" si="129"/>
        <v>0</v>
      </c>
      <c r="I319" s="23">
        <f t="shared" si="129"/>
        <v>0</v>
      </c>
      <c r="J319" s="23">
        <f t="shared" si="129"/>
        <v>0</v>
      </c>
      <c r="K319" s="23">
        <f t="shared" si="129"/>
        <v>0</v>
      </c>
      <c r="L319" s="23">
        <f t="shared" si="129"/>
        <v>0</v>
      </c>
      <c r="M319" s="23">
        <f t="shared" si="129"/>
        <v>0</v>
      </c>
      <c r="N319" s="23">
        <f t="shared" si="129"/>
        <v>0</v>
      </c>
      <c r="O319" s="23">
        <f t="shared" si="129"/>
        <v>0</v>
      </c>
      <c r="P319" s="23">
        <f t="shared" si="129"/>
        <v>0</v>
      </c>
      <c r="Q319" s="23">
        <f t="shared" si="129"/>
        <v>0</v>
      </c>
      <c r="R319" s="23">
        <f t="shared" si="129"/>
        <v>0</v>
      </c>
      <c r="S319" s="23">
        <f t="shared" si="129"/>
        <v>0</v>
      </c>
      <c r="T319" s="23">
        <f t="shared" si="129"/>
        <v>3855.2999999999997</v>
      </c>
      <c r="U319" s="23">
        <f t="shared" si="129"/>
        <v>3855.2999999999997</v>
      </c>
      <c r="V319" s="23">
        <f t="shared" si="129"/>
        <v>605.4</v>
      </c>
      <c r="W319" s="23">
        <f t="shared" si="129"/>
        <v>605.4</v>
      </c>
      <c r="X319" s="23">
        <f t="shared" si="129"/>
        <v>0</v>
      </c>
      <c r="Y319" s="23">
        <f t="shared" si="129"/>
        <v>0</v>
      </c>
      <c r="Z319" s="23">
        <f t="shared" si="129"/>
        <v>0</v>
      </c>
      <c r="AA319" s="23">
        <f t="shared" si="129"/>
        <v>0</v>
      </c>
      <c r="AB319" s="23">
        <f t="shared" si="129"/>
        <v>0</v>
      </c>
      <c r="AC319" s="23">
        <f t="shared" si="129"/>
        <v>0</v>
      </c>
      <c r="AD319" s="23">
        <f t="shared" si="129"/>
        <v>0</v>
      </c>
      <c r="AE319" s="23">
        <f t="shared" si="129"/>
        <v>0</v>
      </c>
      <c r="AF319" s="55"/>
      <c r="AG319" s="15"/>
      <c r="AH319" s="15"/>
      <c r="AI319" s="15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</row>
    <row r="320" spans="1:62" ht="37.5" x14ac:dyDescent="0.3">
      <c r="A320" s="22" t="s">
        <v>30</v>
      </c>
      <c r="B320" s="23">
        <f t="shared" si="130"/>
        <v>673.6</v>
      </c>
      <c r="C320" s="23">
        <f t="shared" si="130"/>
        <v>673.6</v>
      </c>
      <c r="D320" s="23">
        <f t="shared" si="130"/>
        <v>673.6</v>
      </c>
      <c r="E320" s="23">
        <f t="shared" si="130"/>
        <v>673.6</v>
      </c>
      <c r="F320" s="120">
        <f t="shared" si="125"/>
        <v>100</v>
      </c>
      <c r="G320" s="120">
        <f t="shared" si="126"/>
        <v>100</v>
      </c>
      <c r="H320" s="23">
        <f t="shared" si="129"/>
        <v>0</v>
      </c>
      <c r="I320" s="23">
        <f t="shared" si="129"/>
        <v>0</v>
      </c>
      <c r="J320" s="23">
        <f t="shared" si="129"/>
        <v>0</v>
      </c>
      <c r="K320" s="23">
        <f t="shared" si="129"/>
        <v>0</v>
      </c>
      <c r="L320" s="23">
        <f t="shared" si="129"/>
        <v>0</v>
      </c>
      <c r="M320" s="23">
        <f t="shared" si="129"/>
        <v>0</v>
      </c>
      <c r="N320" s="23">
        <f t="shared" si="129"/>
        <v>0</v>
      </c>
      <c r="O320" s="23">
        <f t="shared" si="129"/>
        <v>0</v>
      </c>
      <c r="P320" s="23">
        <f t="shared" si="129"/>
        <v>0</v>
      </c>
      <c r="Q320" s="23">
        <f t="shared" si="129"/>
        <v>0</v>
      </c>
      <c r="R320" s="23">
        <f t="shared" si="129"/>
        <v>0</v>
      </c>
      <c r="S320" s="23">
        <f t="shared" si="129"/>
        <v>0</v>
      </c>
      <c r="T320" s="23">
        <f t="shared" si="129"/>
        <v>68.2</v>
      </c>
      <c r="U320" s="23">
        <f t="shared" si="129"/>
        <v>68.2</v>
      </c>
      <c r="V320" s="23">
        <f t="shared" si="129"/>
        <v>605.4</v>
      </c>
      <c r="W320" s="23">
        <f t="shared" si="129"/>
        <v>605.4</v>
      </c>
      <c r="X320" s="23">
        <f t="shared" si="129"/>
        <v>0</v>
      </c>
      <c r="Y320" s="23">
        <f t="shared" si="129"/>
        <v>0</v>
      </c>
      <c r="Z320" s="23">
        <f t="shared" si="129"/>
        <v>0</v>
      </c>
      <c r="AA320" s="23">
        <f t="shared" si="129"/>
        <v>0</v>
      </c>
      <c r="AB320" s="23">
        <f t="shared" si="129"/>
        <v>0</v>
      </c>
      <c r="AC320" s="23">
        <f t="shared" si="129"/>
        <v>0</v>
      </c>
      <c r="AD320" s="23">
        <f t="shared" si="129"/>
        <v>0</v>
      </c>
      <c r="AE320" s="23">
        <f t="shared" si="129"/>
        <v>0</v>
      </c>
      <c r="AF320" s="55"/>
      <c r="AG320" s="15"/>
      <c r="AH320" s="15"/>
      <c r="AI320" s="15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</row>
    <row r="321" spans="1:62" ht="18.75" x14ac:dyDescent="0.3">
      <c r="A321" s="22" t="s">
        <v>28</v>
      </c>
      <c r="B321" s="23">
        <f t="shared" si="130"/>
        <v>0</v>
      </c>
      <c r="C321" s="23">
        <f t="shared" si="130"/>
        <v>0</v>
      </c>
      <c r="D321" s="23">
        <f t="shared" si="130"/>
        <v>0</v>
      </c>
      <c r="E321" s="23">
        <f t="shared" si="130"/>
        <v>0</v>
      </c>
      <c r="F321" s="120">
        <f t="shared" si="125"/>
        <v>0</v>
      </c>
      <c r="G321" s="120">
        <f t="shared" si="126"/>
        <v>0</v>
      </c>
      <c r="H321" s="23">
        <f t="shared" si="129"/>
        <v>0</v>
      </c>
      <c r="I321" s="23">
        <f t="shared" si="129"/>
        <v>0</v>
      </c>
      <c r="J321" s="23">
        <f t="shared" si="129"/>
        <v>0</v>
      </c>
      <c r="K321" s="23">
        <f t="shared" si="129"/>
        <v>0</v>
      </c>
      <c r="L321" s="23">
        <f t="shared" si="129"/>
        <v>0</v>
      </c>
      <c r="M321" s="23">
        <f t="shared" si="129"/>
        <v>0</v>
      </c>
      <c r="N321" s="23">
        <f t="shared" si="129"/>
        <v>0</v>
      </c>
      <c r="O321" s="23">
        <f t="shared" si="129"/>
        <v>0</v>
      </c>
      <c r="P321" s="23">
        <f t="shared" si="129"/>
        <v>0</v>
      </c>
      <c r="Q321" s="23">
        <f t="shared" si="129"/>
        <v>0</v>
      </c>
      <c r="R321" s="23">
        <f t="shared" si="129"/>
        <v>0</v>
      </c>
      <c r="S321" s="23">
        <f t="shared" si="129"/>
        <v>0</v>
      </c>
      <c r="T321" s="23">
        <f t="shared" si="129"/>
        <v>0</v>
      </c>
      <c r="U321" s="23">
        <f t="shared" si="129"/>
        <v>0</v>
      </c>
      <c r="V321" s="23">
        <f t="shared" si="129"/>
        <v>0</v>
      </c>
      <c r="W321" s="23">
        <f t="shared" si="129"/>
        <v>0</v>
      </c>
      <c r="X321" s="23">
        <f t="shared" si="129"/>
        <v>0</v>
      </c>
      <c r="Y321" s="23">
        <f t="shared" si="129"/>
        <v>0</v>
      </c>
      <c r="Z321" s="23">
        <f t="shared" si="129"/>
        <v>0</v>
      </c>
      <c r="AA321" s="23">
        <f t="shared" si="129"/>
        <v>0</v>
      </c>
      <c r="AB321" s="23">
        <f t="shared" si="129"/>
        <v>0</v>
      </c>
      <c r="AC321" s="23">
        <f t="shared" si="129"/>
        <v>0</v>
      </c>
      <c r="AD321" s="23">
        <f t="shared" si="129"/>
        <v>0</v>
      </c>
      <c r="AE321" s="23">
        <f t="shared" si="129"/>
        <v>0</v>
      </c>
      <c r="AF321" s="55"/>
      <c r="AG321" s="15"/>
      <c r="AH321" s="15"/>
      <c r="AI321" s="15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</row>
    <row r="322" spans="1:62" ht="18.75" x14ac:dyDescent="0.3">
      <c r="A322" s="22" t="s">
        <v>29</v>
      </c>
      <c r="B322" s="23">
        <f t="shared" si="130"/>
        <v>0</v>
      </c>
      <c r="C322" s="23">
        <f t="shared" si="130"/>
        <v>0</v>
      </c>
      <c r="D322" s="23">
        <f t="shared" si="130"/>
        <v>0</v>
      </c>
      <c r="E322" s="23">
        <f t="shared" si="130"/>
        <v>0</v>
      </c>
      <c r="F322" s="120">
        <f t="shared" si="125"/>
        <v>0</v>
      </c>
      <c r="G322" s="120">
        <f t="shared" si="126"/>
        <v>0</v>
      </c>
      <c r="H322" s="23">
        <f t="shared" si="129"/>
        <v>0</v>
      </c>
      <c r="I322" s="23">
        <f t="shared" si="129"/>
        <v>0</v>
      </c>
      <c r="J322" s="23">
        <f t="shared" si="129"/>
        <v>0</v>
      </c>
      <c r="K322" s="23">
        <f t="shared" si="129"/>
        <v>0</v>
      </c>
      <c r="L322" s="23">
        <f t="shared" si="129"/>
        <v>0</v>
      </c>
      <c r="M322" s="23">
        <f t="shared" si="129"/>
        <v>0</v>
      </c>
      <c r="N322" s="23">
        <f t="shared" si="129"/>
        <v>0</v>
      </c>
      <c r="O322" s="23">
        <f t="shared" si="129"/>
        <v>0</v>
      </c>
      <c r="P322" s="23">
        <f t="shared" si="129"/>
        <v>0</v>
      </c>
      <c r="Q322" s="23">
        <f t="shared" si="129"/>
        <v>0</v>
      </c>
      <c r="R322" s="23">
        <f t="shared" si="129"/>
        <v>0</v>
      </c>
      <c r="S322" s="23">
        <f t="shared" si="129"/>
        <v>0</v>
      </c>
      <c r="T322" s="23">
        <f t="shared" si="129"/>
        <v>0</v>
      </c>
      <c r="U322" s="23">
        <f t="shared" si="129"/>
        <v>0</v>
      </c>
      <c r="V322" s="23">
        <f t="shared" si="129"/>
        <v>0</v>
      </c>
      <c r="W322" s="23">
        <f t="shared" si="129"/>
        <v>0</v>
      </c>
      <c r="X322" s="23">
        <f t="shared" si="129"/>
        <v>0</v>
      </c>
      <c r="Y322" s="23">
        <f t="shared" si="129"/>
        <v>0</v>
      </c>
      <c r="Z322" s="23">
        <f t="shared" si="129"/>
        <v>0</v>
      </c>
      <c r="AA322" s="23">
        <f t="shared" si="129"/>
        <v>0</v>
      </c>
      <c r="AB322" s="23">
        <f t="shared" si="129"/>
        <v>0</v>
      </c>
      <c r="AC322" s="23">
        <f t="shared" si="129"/>
        <v>0</v>
      </c>
      <c r="AD322" s="23">
        <f t="shared" si="129"/>
        <v>0</v>
      </c>
      <c r="AE322" s="23">
        <f t="shared" si="129"/>
        <v>0</v>
      </c>
      <c r="AF322" s="55"/>
      <c r="AG322" s="15"/>
      <c r="AH322" s="15"/>
      <c r="AI322" s="15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</row>
    <row r="323" spans="1:62" ht="43.5" customHeight="1" x14ac:dyDescent="0.25">
      <c r="A323" s="156" t="s">
        <v>137</v>
      </c>
      <c r="B323" s="157"/>
      <c r="C323" s="157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8"/>
      <c r="AF323" s="156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  <c r="AR323" s="157"/>
      <c r="AS323" s="157"/>
      <c r="AT323" s="157"/>
      <c r="AU323" s="157"/>
      <c r="AV323" s="157"/>
      <c r="AW323" s="157"/>
      <c r="AX323" s="157"/>
      <c r="AY323" s="157"/>
      <c r="AZ323" s="157"/>
      <c r="BA323" s="157"/>
      <c r="BB323" s="157"/>
      <c r="BC323" s="157"/>
      <c r="BD323" s="157"/>
      <c r="BE323" s="157"/>
      <c r="BF323" s="157"/>
      <c r="BG323" s="157"/>
      <c r="BH323" s="157"/>
      <c r="BI323" s="157"/>
      <c r="BJ323" s="158"/>
    </row>
    <row r="324" spans="1:62" ht="18.75" x14ac:dyDescent="0.25">
      <c r="A324" s="56" t="s">
        <v>25</v>
      </c>
      <c r="B324" s="13">
        <f>B325+B326+B328+B329</f>
        <v>3787.1</v>
      </c>
      <c r="C324" s="13">
        <f>C325+C326+C328+C329</f>
        <v>3787.1</v>
      </c>
      <c r="D324" s="13">
        <f>D325+D326+D328+D329</f>
        <v>3787.1</v>
      </c>
      <c r="E324" s="13">
        <f>E325+E326+E328+E329</f>
        <v>3787.1</v>
      </c>
      <c r="F324" s="121">
        <f t="shared" ref="F324:F329" si="131">IFERROR(E324/B324*100,0)</f>
        <v>100</v>
      </c>
      <c r="G324" s="121">
        <f t="shared" ref="G324:G329" si="132">IFERROR(E324/C324*100,0)</f>
        <v>100</v>
      </c>
      <c r="H324" s="13">
        <f t="shared" ref="H324:AE324" si="133">H325+H326+H328+H329</f>
        <v>0</v>
      </c>
      <c r="I324" s="13">
        <f t="shared" si="133"/>
        <v>0</v>
      </c>
      <c r="J324" s="13">
        <f t="shared" si="133"/>
        <v>0</v>
      </c>
      <c r="K324" s="13">
        <f t="shared" si="133"/>
        <v>0</v>
      </c>
      <c r="L324" s="13">
        <f t="shared" si="133"/>
        <v>0</v>
      </c>
      <c r="M324" s="13">
        <f t="shared" si="133"/>
        <v>0</v>
      </c>
      <c r="N324" s="13">
        <f t="shared" si="133"/>
        <v>0</v>
      </c>
      <c r="O324" s="13">
        <f t="shared" si="133"/>
        <v>0</v>
      </c>
      <c r="P324" s="13">
        <f t="shared" si="133"/>
        <v>0</v>
      </c>
      <c r="Q324" s="13">
        <f t="shared" si="133"/>
        <v>0</v>
      </c>
      <c r="R324" s="13">
        <f t="shared" si="133"/>
        <v>0</v>
      </c>
      <c r="S324" s="13">
        <f t="shared" si="133"/>
        <v>0</v>
      </c>
      <c r="T324" s="13">
        <f t="shared" si="133"/>
        <v>3787.1</v>
      </c>
      <c r="U324" s="13">
        <f t="shared" si="133"/>
        <v>3787.1</v>
      </c>
      <c r="V324" s="13">
        <f t="shared" si="133"/>
        <v>0</v>
      </c>
      <c r="W324" s="13">
        <f t="shared" si="133"/>
        <v>0</v>
      </c>
      <c r="X324" s="13">
        <f t="shared" si="133"/>
        <v>0</v>
      </c>
      <c r="Y324" s="13">
        <f t="shared" si="133"/>
        <v>0</v>
      </c>
      <c r="Z324" s="13">
        <f t="shared" si="133"/>
        <v>0</v>
      </c>
      <c r="AA324" s="13">
        <f t="shared" si="133"/>
        <v>0</v>
      </c>
      <c r="AB324" s="13">
        <f t="shared" si="133"/>
        <v>0</v>
      </c>
      <c r="AC324" s="13">
        <f t="shared" si="133"/>
        <v>0</v>
      </c>
      <c r="AD324" s="13">
        <f t="shared" si="133"/>
        <v>0</v>
      </c>
      <c r="AE324" s="13">
        <f t="shared" si="133"/>
        <v>0</v>
      </c>
      <c r="AF324" s="153" t="s">
        <v>138</v>
      </c>
      <c r="AG324" s="165"/>
      <c r="AH324" s="15"/>
      <c r="AI324" s="15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</row>
    <row r="325" spans="1:62" ht="18.75" x14ac:dyDescent="0.3">
      <c r="A325" s="22" t="s">
        <v>26</v>
      </c>
      <c r="B325" s="23">
        <f>H325+J325+L325+N325+P325+R325+T325+V325+X325+Z325+AB325+AD325</f>
        <v>0</v>
      </c>
      <c r="C325" s="23">
        <f>T325</f>
        <v>0</v>
      </c>
      <c r="D325" s="23">
        <f>E325</f>
        <v>0</v>
      </c>
      <c r="E325" s="30">
        <f>M325+O325+Q325+S325+U325+W325+Y325+AA325+AC325+AE325</f>
        <v>0</v>
      </c>
      <c r="F325" s="120">
        <f t="shared" si="131"/>
        <v>0</v>
      </c>
      <c r="G325" s="120">
        <f t="shared" si="132"/>
        <v>0</v>
      </c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54"/>
      <c r="AG325" s="165"/>
      <c r="AH325" s="15"/>
      <c r="AI325" s="15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</row>
    <row r="326" spans="1:62" ht="18.75" x14ac:dyDescent="0.25">
      <c r="A326" s="57" t="s">
        <v>40</v>
      </c>
      <c r="B326" s="23">
        <f>H326+J326+L326+N326+P326+R326+T326+V326+X326+Z326+AB326+AD326</f>
        <v>3787.1</v>
      </c>
      <c r="C326" s="23">
        <f>T326</f>
        <v>3787.1</v>
      </c>
      <c r="D326" s="23">
        <f>E326</f>
        <v>3787.1</v>
      </c>
      <c r="E326" s="30">
        <f>I326+K326+M326+O326+Q326+S326+U326+W326+Y326+AA326+AC326+AE326</f>
        <v>3787.1</v>
      </c>
      <c r="F326" s="120">
        <f t="shared" si="131"/>
        <v>100</v>
      </c>
      <c r="G326" s="120">
        <f t="shared" si="132"/>
        <v>100</v>
      </c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>
        <v>3787.1</v>
      </c>
      <c r="U326" s="13">
        <v>3787.1</v>
      </c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54"/>
      <c r="AG326" s="165"/>
      <c r="AH326" s="15"/>
      <c r="AI326" s="15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</row>
    <row r="327" spans="1:62" ht="37.5" x14ac:dyDescent="0.25">
      <c r="A327" s="57" t="s">
        <v>30</v>
      </c>
      <c r="B327" s="23">
        <f>H327+J327+L327+N327+P327+R327+T327+V327+X327+Z327+AB327+AD327</f>
        <v>0</v>
      </c>
      <c r="C327" s="128">
        <f>T327</f>
        <v>0</v>
      </c>
      <c r="D327" s="23">
        <f>E327</f>
        <v>0</v>
      </c>
      <c r="E327" s="30">
        <f>I327+K327+M327+O327+Q327+S327+U327+W327+Y327+AA327+AC327+AE327</f>
        <v>0</v>
      </c>
      <c r="F327" s="120">
        <f t="shared" si="131"/>
        <v>0</v>
      </c>
      <c r="G327" s="120">
        <f t="shared" si="132"/>
        <v>0</v>
      </c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54"/>
      <c r="AG327" s="165"/>
      <c r="AH327" s="15"/>
      <c r="AI327" s="15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</row>
    <row r="328" spans="1:62" ht="18.75" x14ac:dyDescent="0.25">
      <c r="A328" s="57" t="s">
        <v>28</v>
      </c>
      <c r="B328" s="23">
        <f>H328+J328+L328+N328+P328+R328+T328+V328+X328+Z328+AB328+AD328</f>
        <v>0</v>
      </c>
      <c r="C328" s="128">
        <f>T328</f>
        <v>0</v>
      </c>
      <c r="D328" s="23">
        <f>E328</f>
        <v>0</v>
      </c>
      <c r="E328" s="30">
        <f>M328+O328+Q328+S328+U328+W328+Y328+AA328+AC328+AE328</f>
        <v>0</v>
      </c>
      <c r="F328" s="120">
        <f t="shared" si="131"/>
        <v>0</v>
      </c>
      <c r="G328" s="120">
        <f t="shared" si="132"/>
        <v>0</v>
      </c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54"/>
      <c r="AG328" s="165"/>
      <c r="AH328" s="15"/>
      <c r="AI328" s="15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</row>
    <row r="329" spans="1:62" ht="24" customHeight="1" x14ac:dyDescent="0.25">
      <c r="A329" s="57" t="s">
        <v>29</v>
      </c>
      <c r="B329" s="23">
        <f>H329+J329+L329+N329+P329+R329+T329+V329+X329+Z329+AB329+AD329</f>
        <v>0</v>
      </c>
      <c r="C329" s="23">
        <f>I329+K329+M329+O329+Q329+S329+U329+W329+Y329+AA329+AC329+AE329</f>
        <v>0</v>
      </c>
      <c r="D329" s="23">
        <f>J329+L329+N329+P329+R329+T329+V329+X329+Z329+AB329+AD329+AF329</f>
        <v>0</v>
      </c>
      <c r="E329" s="23">
        <f>K329+M329+O329+Q329+S329+U329+W329+Y329+AA329+AC329+AE329+AG329</f>
        <v>0</v>
      </c>
      <c r="F329" s="120">
        <f t="shared" si="131"/>
        <v>0</v>
      </c>
      <c r="G329" s="120">
        <f t="shared" si="132"/>
        <v>0</v>
      </c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55"/>
      <c r="AG329" s="165"/>
      <c r="AH329" s="15"/>
      <c r="AI329" s="15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</row>
    <row r="330" spans="1:62" ht="37.5" x14ac:dyDescent="0.25">
      <c r="A330" s="130" t="s">
        <v>139</v>
      </c>
      <c r="B330" s="23"/>
      <c r="C330" s="23"/>
      <c r="D330" s="23"/>
      <c r="E330" s="23"/>
      <c r="F330" s="120"/>
      <c r="G330" s="120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0"/>
      <c r="AG330" s="15"/>
      <c r="AH330" s="15"/>
      <c r="AI330" s="15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</row>
    <row r="331" spans="1:62" ht="18.75" x14ac:dyDescent="0.25">
      <c r="A331" s="56" t="s">
        <v>25</v>
      </c>
      <c r="B331" s="13">
        <f t="shared" ref="B331:E331" si="134">B332+B333+B335+B336</f>
        <v>226.5</v>
      </c>
      <c r="C331" s="13">
        <f t="shared" si="134"/>
        <v>226.5</v>
      </c>
      <c r="D331" s="13">
        <f t="shared" si="134"/>
        <v>226.5</v>
      </c>
      <c r="E331" s="13">
        <f t="shared" si="134"/>
        <v>226.5</v>
      </c>
      <c r="F331" s="121">
        <f t="shared" ref="F331:F336" si="135">IFERROR(E331/B331*100,0)</f>
        <v>100</v>
      </c>
      <c r="G331" s="121">
        <f t="shared" ref="G331:G336" si="136">IFERROR(E331/C331*100,0)</f>
        <v>100</v>
      </c>
      <c r="H331" s="13">
        <f t="shared" ref="H331:AE331" si="137">H332+H333+H335+H336</f>
        <v>0</v>
      </c>
      <c r="I331" s="13">
        <f t="shared" si="137"/>
        <v>0</v>
      </c>
      <c r="J331" s="13">
        <f t="shared" si="137"/>
        <v>0</v>
      </c>
      <c r="K331" s="13">
        <f t="shared" si="137"/>
        <v>0</v>
      </c>
      <c r="L331" s="13">
        <f t="shared" si="137"/>
        <v>0</v>
      </c>
      <c r="M331" s="13">
        <f t="shared" si="137"/>
        <v>0</v>
      </c>
      <c r="N331" s="13">
        <f t="shared" si="137"/>
        <v>0</v>
      </c>
      <c r="O331" s="13">
        <f t="shared" si="137"/>
        <v>0</v>
      </c>
      <c r="P331" s="13">
        <f t="shared" si="137"/>
        <v>0</v>
      </c>
      <c r="Q331" s="13">
        <f t="shared" si="137"/>
        <v>0</v>
      </c>
      <c r="R331" s="13">
        <f t="shared" si="137"/>
        <v>0</v>
      </c>
      <c r="S331" s="13">
        <f t="shared" si="137"/>
        <v>0</v>
      </c>
      <c r="T331" s="13">
        <f t="shared" si="137"/>
        <v>226.5</v>
      </c>
      <c r="U331" s="13">
        <f t="shared" si="137"/>
        <v>226.5</v>
      </c>
      <c r="V331" s="13">
        <f t="shared" si="137"/>
        <v>0</v>
      </c>
      <c r="W331" s="13">
        <f t="shared" si="137"/>
        <v>0</v>
      </c>
      <c r="X331" s="13">
        <f t="shared" si="137"/>
        <v>0</v>
      </c>
      <c r="Y331" s="13">
        <f t="shared" si="137"/>
        <v>0</v>
      </c>
      <c r="Z331" s="13">
        <f t="shared" si="137"/>
        <v>0</v>
      </c>
      <c r="AA331" s="13">
        <f t="shared" si="137"/>
        <v>0</v>
      </c>
      <c r="AB331" s="13">
        <f t="shared" si="137"/>
        <v>0</v>
      </c>
      <c r="AC331" s="13">
        <f t="shared" si="137"/>
        <v>0</v>
      </c>
      <c r="AD331" s="13">
        <f t="shared" si="137"/>
        <v>0</v>
      </c>
      <c r="AE331" s="13">
        <f t="shared" si="137"/>
        <v>0</v>
      </c>
      <c r="AF331" s="131"/>
      <c r="AG331" s="134"/>
      <c r="AH331" s="15"/>
      <c r="AI331" s="15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</row>
    <row r="332" spans="1:62" ht="18.75" x14ac:dyDescent="0.3">
      <c r="A332" s="22" t="s">
        <v>26</v>
      </c>
      <c r="B332" s="23">
        <f t="shared" ref="B332:B336" si="138">H332+J332+L332+N332+P332+R332+T332+V332+X332+Z332+AB332+AD332</f>
        <v>158.30000000000001</v>
      </c>
      <c r="C332" s="23">
        <f>T332</f>
        <v>158.30000000000001</v>
      </c>
      <c r="D332" s="23">
        <f t="shared" ref="D332:D335" si="139">E332</f>
        <v>158.30000000000001</v>
      </c>
      <c r="E332" s="30">
        <f t="shared" ref="E332" si="140">M332+O332+Q332+S332+U332+W332+Y332+AA332+AC332+AE332</f>
        <v>158.30000000000001</v>
      </c>
      <c r="F332" s="120">
        <f t="shared" si="135"/>
        <v>100</v>
      </c>
      <c r="G332" s="120">
        <f t="shared" si="136"/>
        <v>100</v>
      </c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>
        <v>158.30000000000001</v>
      </c>
      <c r="U332" s="13">
        <v>158.30000000000001</v>
      </c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3"/>
      <c r="AG332" s="15"/>
      <c r="AH332" s="15"/>
      <c r="AI332" s="15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</row>
    <row r="333" spans="1:62" ht="18.75" x14ac:dyDescent="0.25">
      <c r="A333" s="57" t="s">
        <v>40</v>
      </c>
      <c r="B333" s="23">
        <f t="shared" si="138"/>
        <v>68.2</v>
      </c>
      <c r="C333" s="23">
        <f>T333</f>
        <v>68.2</v>
      </c>
      <c r="D333" s="23">
        <f t="shared" si="139"/>
        <v>68.2</v>
      </c>
      <c r="E333" s="30">
        <f t="shared" ref="E333:E334" si="141">I333+K333+M333+O333+Q333+S333+U333+W333+Y333+AA333+AC333+AE333</f>
        <v>68.2</v>
      </c>
      <c r="F333" s="120">
        <f t="shared" si="135"/>
        <v>100</v>
      </c>
      <c r="G333" s="120">
        <f t="shared" si="136"/>
        <v>100</v>
      </c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>
        <v>68.2</v>
      </c>
      <c r="U333" s="13">
        <v>68.2</v>
      </c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3"/>
      <c r="AG333" s="15"/>
      <c r="AH333" s="15"/>
      <c r="AI333" s="15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</row>
    <row r="334" spans="1:62" ht="37.5" x14ac:dyDescent="0.25">
      <c r="A334" s="57" t="s">
        <v>30</v>
      </c>
      <c r="B334" s="23">
        <f t="shared" si="138"/>
        <v>68.2</v>
      </c>
      <c r="C334" s="128">
        <f>T334</f>
        <v>68.2</v>
      </c>
      <c r="D334" s="23">
        <f t="shared" si="139"/>
        <v>68.2</v>
      </c>
      <c r="E334" s="30">
        <f t="shared" si="141"/>
        <v>68.2</v>
      </c>
      <c r="F334" s="120">
        <f t="shared" si="135"/>
        <v>100</v>
      </c>
      <c r="G334" s="120">
        <f t="shared" si="136"/>
        <v>100</v>
      </c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>
        <v>68.2</v>
      </c>
      <c r="U334" s="13">
        <v>68.2</v>
      </c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29" t="s">
        <v>140</v>
      </c>
      <c r="AG334" s="15"/>
      <c r="AH334" s="15"/>
      <c r="AI334" s="15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</row>
    <row r="335" spans="1:62" ht="18.75" x14ac:dyDescent="0.25">
      <c r="A335" s="57" t="s">
        <v>28</v>
      </c>
      <c r="B335" s="23">
        <f t="shared" si="138"/>
        <v>0</v>
      </c>
      <c r="C335" s="128">
        <f>T335</f>
        <v>0</v>
      </c>
      <c r="D335" s="23">
        <f t="shared" si="139"/>
        <v>0</v>
      </c>
      <c r="E335" s="30">
        <f t="shared" ref="E335" si="142">M335+O335+Q335+S335+U335+W335+Y335+AA335+AC335+AE335</f>
        <v>0</v>
      </c>
      <c r="F335" s="120">
        <f t="shared" si="135"/>
        <v>0</v>
      </c>
      <c r="G335" s="120">
        <f t="shared" si="136"/>
        <v>0</v>
      </c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3"/>
      <c r="AG335" s="15"/>
      <c r="AH335" s="15"/>
      <c r="AI335" s="15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</row>
    <row r="336" spans="1:62" ht="24" customHeight="1" x14ac:dyDescent="0.25">
      <c r="A336" s="57" t="s">
        <v>29</v>
      </c>
      <c r="B336" s="23">
        <f t="shared" si="138"/>
        <v>0</v>
      </c>
      <c r="C336" s="23">
        <f>T336</f>
        <v>0</v>
      </c>
      <c r="D336" s="23">
        <f t="shared" ref="D336:E336" si="143">J336+L336+N336+P336+R336+T336+V336+X336+Z336+AB336+AD336+AF336</f>
        <v>0</v>
      </c>
      <c r="E336" s="23">
        <f t="shared" si="143"/>
        <v>0</v>
      </c>
      <c r="F336" s="120">
        <f t="shared" si="135"/>
        <v>0</v>
      </c>
      <c r="G336" s="120">
        <f t="shared" si="136"/>
        <v>0</v>
      </c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3"/>
      <c r="AG336" s="15"/>
      <c r="AH336" s="15"/>
      <c r="AI336" s="15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</row>
    <row r="337" spans="1:62" ht="37.5" x14ac:dyDescent="0.25">
      <c r="A337" s="130" t="s">
        <v>141</v>
      </c>
      <c r="B337" s="23"/>
      <c r="C337" s="23"/>
      <c r="D337" s="23"/>
      <c r="E337" s="23"/>
      <c r="F337" s="120"/>
      <c r="G337" s="120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0"/>
      <c r="AG337" s="15"/>
      <c r="AH337" s="15"/>
      <c r="AI337" s="15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</row>
    <row r="338" spans="1:62" ht="18.75" x14ac:dyDescent="0.25">
      <c r="A338" s="56" t="s">
        <v>25</v>
      </c>
      <c r="B338" s="13">
        <f t="shared" ref="B338:E338" si="144">B339+B340+B342+B343</f>
        <v>2011.4</v>
      </c>
      <c r="C338" s="13">
        <f t="shared" si="144"/>
        <v>2011.4</v>
      </c>
      <c r="D338" s="13">
        <f t="shared" si="144"/>
        <v>2011.4</v>
      </c>
      <c r="E338" s="13">
        <f t="shared" si="144"/>
        <v>2011.4</v>
      </c>
      <c r="F338" s="121">
        <f t="shared" ref="F338:F343" si="145">IFERROR(E338/B338*100,0)</f>
        <v>100</v>
      </c>
      <c r="G338" s="121">
        <f t="shared" ref="G338:G343" si="146">IFERROR(E338/C338*100,0)</f>
        <v>100</v>
      </c>
      <c r="H338" s="13">
        <f t="shared" ref="H338:AE338" si="147">H339+H340+H342+H343</f>
        <v>0</v>
      </c>
      <c r="I338" s="13">
        <f t="shared" si="147"/>
        <v>0</v>
      </c>
      <c r="J338" s="13">
        <f t="shared" si="147"/>
        <v>0</v>
      </c>
      <c r="K338" s="13">
        <f t="shared" si="147"/>
        <v>0</v>
      </c>
      <c r="L338" s="13">
        <f t="shared" si="147"/>
        <v>0</v>
      </c>
      <c r="M338" s="13">
        <f t="shared" si="147"/>
        <v>0</v>
      </c>
      <c r="N338" s="13">
        <f t="shared" si="147"/>
        <v>0</v>
      </c>
      <c r="O338" s="13">
        <f t="shared" si="147"/>
        <v>0</v>
      </c>
      <c r="P338" s="13">
        <f t="shared" si="147"/>
        <v>0</v>
      </c>
      <c r="Q338" s="13">
        <f t="shared" si="147"/>
        <v>0</v>
      </c>
      <c r="R338" s="13">
        <f t="shared" si="147"/>
        <v>0</v>
      </c>
      <c r="S338" s="13">
        <f t="shared" si="147"/>
        <v>0</v>
      </c>
      <c r="T338" s="13">
        <f t="shared" si="147"/>
        <v>0</v>
      </c>
      <c r="U338" s="13">
        <f t="shared" si="147"/>
        <v>0</v>
      </c>
      <c r="V338" s="13">
        <f t="shared" si="147"/>
        <v>2011.4</v>
      </c>
      <c r="W338" s="13">
        <f t="shared" si="147"/>
        <v>2011.4</v>
      </c>
      <c r="X338" s="13">
        <f t="shared" si="147"/>
        <v>0</v>
      </c>
      <c r="Y338" s="13">
        <f t="shared" si="147"/>
        <v>0</v>
      </c>
      <c r="Z338" s="13">
        <f t="shared" si="147"/>
        <v>0</v>
      </c>
      <c r="AA338" s="13">
        <f t="shared" si="147"/>
        <v>0</v>
      </c>
      <c r="AB338" s="13">
        <f t="shared" si="147"/>
        <v>0</v>
      </c>
      <c r="AC338" s="13">
        <f t="shared" si="147"/>
        <v>0</v>
      </c>
      <c r="AD338" s="13">
        <f t="shared" si="147"/>
        <v>0</v>
      </c>
      <c r="AE338" s="13">
        <f t="shared" si="147"/>
        <v>0</v>
      </c>
      <c r="AF338" s="131"/>
      <c r="AG338" s="134"/>
      <c r="AH338" s="15"/>
      <c r="AI338" s="15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</row>
    <row r="339" spans="1:62" ht="18.75" x14ac:dyDescent="0.3">
      <c r="A339" s="22" t="s">
        <v>26</v>
      </c>
      <c r="B339" s="23">
        <f t="shared" ref="B339:B343" si="148">H339+J339+L339+N339+P339+R339+T339+V339+X339+Z339+AB339+AD339</f>
        <v>1406</v>
      </c>
      <c r="C339" s="128">
        <f t="shared" ref="C339:C340" si="149">V339</f>
        <v>1406</v>
      </c>
      <c r="D339" s="23">
        <f t="shared" ref="D339:D342" si="150">E339</f>
        <v>1406</v>
      </c>
      <c r="E339" s="30">
        <f t="shared" ref="E339" si="151">M339+O339+Q339+S339+U339+W339+Y339+AA339+AC339+AE339</f>
        <v>1406</v>
      </c>
      <c r="F339" s="120">
        <f t="shared" si="145"/>
        <v>100</v>
      </c>
      <c r="G339" s="120">
        <f t="shared" si="146"/>
        <v>100</v>
      </c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>
        <v>1406</v>
      </c>
      <c r="W339" s="13">
        <v>1406</v>
      </c>
      <c r="X339" s="13"/>
      <c r="Y339" s="13"/>
      <c r="Z339" s="13"/>
      <c r="AA339" s="13"/>
      <c r="AB339" s="13"/>
      <c r="AC339" s="13"/>
      <c r="AD339" s="13"/>
      <c r="AE339" s="13"/>
      <c r="AF339" s="133"/>
      <c r="AG339" s="15"/>
      <c r="AH339" s="15"/>
      <c r="AI339" s="15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</row>
    <row r="340" spans="1:62" ht="18.75" x14ac:dyDescent="0.25">
      <c r="A340" s="57" t="s">
        <v>40</v>
      </c>
      <c r="B340" s="23">
        <f t="shared" si="148"/>
        <v>605.4</v>
      </c>
      <c r="C340" s="128">
        <f t="shared" si="149"/>
        <v>605.4</v>
      </c>
      <c r="D340" s="23">
        <f t="shared" si="150"/>
        <v>605.4</v>
      </c>
      <c r="E340" s="30">
        <f t="shared" ref="E340:E341" si="152">I340+K340+M340+O340+Q340+S340+U340+W340+Y340+AA340+AC340+AE340</f>
        <v>605.4</v>
      </c>
      <c r="F340" s="120">
        <f t="shared" si="145"/>
        <v>100</v>
      </c>
      <c r="G340" s="120">
        <f t="shared" si="146"/>
        <v>100</v>
      </c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>
        <v>605.4</v>
      </c>
      <c r="W340" s="13">
        <v>605.4</v>
      </c>
      <c r="X340" s="13"/>
      <c r="Y340" s="13"/>
      <c r="Z340" s="13"/>
      <c r="AA340" s="13"/>
      <c r="AB340" s="13"/>
      <c r="AC340" s="13"/>
      <c r="AD340" s="13"/>
      <c r="AE340" s="13"/>
      <c r="AF340" s="133"/>
      <c r="AG340" s="15"/>
      <c r="AH340" s="15"/>
      <c r="AI340" s="15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</row>
    <row r="341" spans="1:62" ht="37.5" x14ac:dyDescent="0.25">
      <c r="A341" s="57" t="s">
        <v>30</v>
      </c>
      <c r="B341" s="23">
        <f t="shared" si="148"/>
        <v>605.4</v>
      </c>
      <c r="C341" s="128">
        <f>V341</f>
        <v>605.4</v>
      </c>
      <c r="D341" s="23">
        <f t="shared" si="150"/>
        <v>605.4</v>
      </c>
      <c r="E341" s="30">
        <f t="shared" si="152"/>
        <v>605.4</v>
      </c>
      <c r="F341" s="120">
        <f t="shared" si="145"/>
        <v>100</v>
      </c>
      <c r="G341" s="120">
        <f t="shared" si="146"/>
        <v>100</v>
      </c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>
        <v>605.4</v>
      </c>
      <c r="W341" s="13">
        <v>605.4</v>
      </c>
      <c r="X341" s="13"/>
      <c r="Y341" s="13"/>
      <c r="Z341" s="13"/>
      <c r="AA341" s="13"/>
      <c r="AB341" s="13"/>
      <c r="AC341" s="13"/>
      <c r="AD341" s="13"/>
      <c r="AE341" s="13"/>
      <c r="AF341" s="129" t="s">
        <v>142</v>
      </c>
      <c r="AG341" s="15"/>
      <c r="AH341" s="15"/>
      <c r="AI341" s="15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</row>
    <row r="342" spans="1:62" ht="18.75" x14ac:dyDescent="0.25">
      <c r="A342" s="57" t="s">
        <v>28</v>
      </c>
      <c r="B342" s="23">
        <f t="shared" si="148"/>
        <v>0</v>
      </c>
      <c r="C342" s="128">
        <f>T342</f>
        <v>0</v>
      </c>
      <c r="D342" s="23">
        <f t="shared" si="150"/>
        <v>0</v>
      </c>
      <c r="E342" s="30">
        <f t="shared" ref="E342" si="153">M342+O342+Q342+S342+U342+W342+Y342+AA342+AC342+AE342</f>
        <v>0</v>
      </c>
      <c r="F342" s="120">
        <f t="shared" si="145"/>
        <v>0</v>
      </c>
      <c r="G342" s="120">
        <f t="shared" si="146"/>
        <v>0</v>
      </c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3"/>
      <c r="AG342" s="15"/>
      <c r="AH342" s="15"/>
      <c r="AI342" s="15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</row>
    <row r="343" spans="1:62" ht="24" customHeight="1" x14ac:dyDescent="0.25">
      <c r="A343" s="57" t="s">
        <v>29</v>
      </c>
      <c r="B343" s="23">
        <f t="shared" si="148"/>
        <v>0</v>
      </c>
      <c r="C343" s="23">
        <f>T343</f>
        <v>0</v>
      </c>
      <c r="D343" s="23">
        <f t="shared" ref="D343:E343" si="154">J343+L343+N343+P343+R343+T343+V343+X343+Z343+AB343+AD343+AF343</f>
        <v>0</v>
      </c>
      <c r="E343" s="23">
        <f t="shared" si="154"/>
        <v>0</v>
      </c>
      <c r="F343" s="120">
        <f t="shared" si="145"/>
        <v>0</v>
      </c>
      <c r="G343" s="120">
        <f t="shared" si="146"/>
        <v>0</v>
      </c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3"/>
      <c r="AG343" s="15"/>
      <c r="AH343" s="15"/>
      <c r="AI343" s="15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</row>
    <row r="344" spans="1:62" ht="56.25" x14ac:dyDescent="0.25">
      <c r="A344" s="52" t="s">
        <v>41</v>
      </c>
      <c r="B344" s="83"/>
      <c r="C344" s="83"/>
      <c r="D344" s="83"/>
      <c r="E344" s="83"/>
      <c r="F344" s="48"/>
      <c r="G344" s="48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43"/>
      <c r="AG344" s="15"/>
      <c r="AH344" s="15"/>
      <c r="AI344" s="15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</row>
    <row r="345" spans="1:62" ht="18.75" x14ac:dyDescent="0.3">
      <c r="A345" s="19" t="s">
        <v>25</v>
      </c>
      <c r="B345" s="13">
        <f>B346+B347+B349+B350</f>
        <v>612744.99</v>
      </c>
      <c r="C345" s="13">
        <f>C346+C347+C349+C350</f>
        <v>305438.10000000003</v>
      </c>
      <c r="D345" s="13">
        <f>D346+D347+D349+D350</f>
        <v>251519</v>
      </c>
      <c r="E345" s="13">
        <f>E346+E347+E349+E350</f>
        <v>251519</v>
      </c>
      <c r="F345" s="26">
        <f>E345/B345*100</f>
        <v>41.04790803756714</v>
      </c>
      <c r="G345" s="26">
        <f>E345/C345*100</f>
        <v>82.346963263587597</v>
      </c>
      <c r="H345" s="13">
        <f>H346+H347+H349+H350</f>
        <v>21353.200000000004</v>
      </c>
      <c r="I345" s="13">
        <f t="shared" ref="I345:AE345" si="155">I346+I347+I349+I350</f>
        <v>18560.900000000001</v>
      </c>
      <c r="J345" s="13">
        <f t="shared" si="155"/>
        <v>29158.9</v>
      </c>
      <c r="K345" s="13">
        <f t="shared" si="155"/>
        <v>22886.799999999999</v>
      </c>
      <c r="L345" s="13">
        <f t="shared" si="155"/>
        <v>27726.400000000001</v>
      </c>
      <c r="M345" s="13">
        <f t="shared" si="155"/>
        <v>11799.2</v>
      </c>
      <c r="N345" s="13">
        <f t="shared" si="155"/>
        <v>28642</v>
      </c>
      <c r="O345" s="13">
        <f t="shared" si="155"/>
        <v>27722.699999999997</v>
      </c>
      <c r="P345" s="13">
        <f t="shared" si="155"/>
        <v>28276.899999999998</v>
      </c>
      <c r="Q345" s="13">
        <f t="shared" si="155"/>
        <v>30187.8</v>
      </c>
      <c r="R345" s="13">
        <f t="shared" si="155"/>
        <v>22089.500000000004</v>
      </c>
      <c r="S345" s="13">
        <f t="shared" si="155"/>
        <v>20071.199999999997</v>
      </c>
      <c r="T345" s="13">
        <f t="shared" si="155"/>
        <v>38819.400000000009</v>
      </c>
      <c r="U345" s="13">
        <f t="shared" si="155"/>
        <v>36622.200000000004</v>
      </c>
      <c r="V345" s="13">
        <f t="shared" si="155"/>
        <v>11228.9</v>
      </c>
      <c r="W345" s="13">
        <f t="shared" si="155"/>
        <v>12747.3</v>
      </c>
      <c r="X345" s="13">
        <f t="shared" si="155"/>
        <v>33416.6</v>
      </c>
      <c r="Y345" s="13">
        <f t="shared" si="155"/>
        <v>31018.6</v>
      </c>
      <c r="Z345" s="13">
        <f t="shared" si="155"/>
        <v>29835.500000000004</v>
      </c>
      <c r="AA345" s="13">
        <f t="shared" si="155"/>
        <v>27922.1</v>
      </c>
      <c r="AB345" s="13">
        <f t="shared" si="155"/>
        <v>34890.800000000003</v>
      </c>
      <c r="AC345" s="13">
        <f t="shared" si="155"/>
        <v>11978.800000000001</v>
      </c>
      <c r="AD345" s="13">
        <f t="shared" si="155"/>
        <v>307306.89</v>
      </c>
      <c r="AE345" s="13">
        <f t="shared" si="155"/>
        <v>0</v>
      </c>
      <c r="AF345" s="43"/>
      <c r="AG345" s="15"/>
      <c r="AH345" s="15"/>
      <c r="AI345" s="15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</row>
    <row r="346" spans="1:62" ht="18.75" x14ac:dyDescent="0.3">
      <c r="A346" s="19" t="s">
        <v>26</v>
      </c>
      <c r="B346" s="50">
        <f>B318+B298+B274+B259</f>
        <v>424577.58999999997</v>
      </c>
      <c r="C346" s="50">
        <f t="shared" ref="B346:F347" si="156">C318+C298+C274+C259</f>
        <v>152083.90000000002</v>
      </c>
      <c r="D346" s="50">
        <f t="shared" si="156"/>
        <v>116680.4</v>
      </c>
      <c r="E346" s="50">
        <f t="shared" si="156"/>
        <v>116680.4</v>
      </c>
      <c r="F346" s="26">
        <f>E346/B346*100</f>
        <v>27.481525814869318</v>
      </c>
      <c r="G346" s="26">
        <f>E346/C346*100</f>
        <v>76.721073039289479</v>
      </c>
      <c r="H346" s="50">
        <f t="shared" ref="H346:AE347" si="157">H318+H298+H274+H259</f>
        <v>11867.6</v>
      </c>
      <c r="I346" s="50">
        <f t="shared" si="157"/>
        <v>10733.7</v>
      </c>
      <c r="J346" s="50">
        <f t="shared" si="157"/>
        <v>16848</v>
      </c>
      <c r="K346" s="50">
        <f t="shared" si="157"/>
        <v>14609.4</v>
      </c>
      <c r="L346" s="50">
        <f t="shared" si="157"/>
        <v>15995</v>
      </c>
      <c r="M346" s="50">
        <f t="shared" si="157"/>
        <v>5350.3</v>
      </c>
      <c r="N346" s="50">
        <f t="shared" si="157"/>
        <v>15800</v>
      </c>
      <c r="O346" s="50">
        <f t="shared" si="157"/>
        <v>15407.1</v>
      </c>
      <c r="P346" s="50">
        <f t="shared" si="157"/>
        <v>15129</v>
      </c>
      <c r="Q346" s="50">
        <f t="shared" si="157"/>
        <v>16379.5</v>
      </c>
      <c r="R346" s="50">
        <f t="shared" si="157"/>
        <v>10233.1</v>
      </c>
      <c r="S346" s="50">
        <f t="shared" si="157"/>
        <v>9523.2999999999993</v>
      </c>
      <c r="T346" s="50">
        <f t="shared" si="157"/>
        <v>158.30000000000001</v>
      </c>
      <c r="U346" s="50">
        <f t="shared" si="157"/>
        <v>158.30000000000001</v>
      </c>
      <c r="V346" s="50">
        <f t="shared" si="157"/>
        <v>1406</v>
      </c>
      <c r="W346" s="50">
        <f t="shared" si="157"/>
        <v>1406</v>
      </c>
      <c r="X346" s="50">
        <f t="shared" si="157"/>
        <v>23645.200000000001</v>
      </c>
      <c r="Y346" s="50">
        <f t="shared" si="157"/>
        <v>19228.599999999999</v>
      </c>
      <c r="Z346" s="50">
        <f t="shared" si="157"/>
        <v>15714.7</v>
      </c>
      <c r="AA346" s="50">
        <f t="shared" si="157"/>
        <v>18280</v>
      </c>
      <c r="AB346" s="50">
        <f t="shared" si="157"/>
        <v>25287</v>
      </c>
      <c r="AC346" s="50">
        <f t="shared" si="157"/>
        <v>5604.2</v>
      </c>
      <c r="AD346" s="50">
        <f t="shared" si="157"/>
        <v>272493.69</v>
      </c>
      <c r="AE346" s="50">
        <f t="shared" si="157"/>
        <v>0</v>
      </c>
      <c r="AF346" s="43"/>
      <c r="AG346" s="15"/>
      <c r="AH346" s="15"/>
      <c r="AI346" s="15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</row>
    <row r="347" spans="1:62" ht="18.75" x14ac:dyDescent="0.3">
      <c r="A347" s="19" t="s">
        <v>27</v>
      </c>
      <c r="B347" s="50">
        <f t="shared" si="156"/>
        <v>166834.4</v>
      </c>
      <c r="C347" s="50">
        <f t="shared" si="156"/>
        <v>132579.20000000001</v>
      </c>
      <c r="D347" s="50">
        <f t="shared" si="156"/>
        <v>117477</v>
      </c>
      <c r="E347" s="50">
        <f t="shared" si="156"/>
        <v>117477</v>
      </c>
      <c r="F347" s="26">
        <f>E347/B347*100</f>
        <v>70.415334007854497</v>
      </c>
      <c r="G347" s="26">
        <f>E347/C347*100</f>
        <v>88.608922063189382</v>
      </c>
      <c r="H347" s="50">
        <f t="shared" si="157"/>
        <v>7935.2000000000007</v>
      </c>
      <c r="I347" s="50">
        <f t="shared" si="157"/>
        <v>7204.5</v>
      </c>
      <c r="J347" s="50">
        <f t="shared" si="157"/>
        <v>9365.2000000000007</v>
      </c>
      <c r="K347" s="50">
        <f t="shared" si="157"/>
        <v>7163.3</v>
      </c>
      <c r="L347" s="50">
        <f t="shared" si="157"/>
        <v>8785.7000000000007</v>
      </c>
      <c r="M347" s="50">
        <f t="shared" si="157"/>
        <v>4423.8</v>
      </c>
      <c r="N347" s="50">
        <f t="shared" si="157"/>
        <v>9896.2999999999993</v>
      </c>
      <c r="O347" s="50">
        <f t="shared" si="157"/>
        <v>9965</v>
      </c>
      <c r="P347" s="50">
        <f t="shared" si="157"/>
        <v>10822.3</v>
      </c>
      <c r="Q347" s="50">
        <f t="shared" si="157"/>
        <v>10933.3</v>
      </c>
      <c r="R347" s="50">
        <f t="shared" si="157"/>
        <v>11081.2</v>
      </c>
      <c r="S347" s="50">
        <f t="shared" si="157"/>
        <v>9502.4</v>
      </c>
      <c r="T347" s="50">
        <f t="shared" si="157"/>
        <v>38661.100000000006</v>
      </c>
      <c r="U347" s="50">
        <f t="shared" si="157"/>
        <v>36463.9</v>
      </c>
      <c r="V347" s="50">
        <f t="shared" si="157"/>
        <v>9822.9</v>
      </c>
      <c r="W347" s="50">
        <f t="shared" si="157"/>
        <v>11341.3</v>
      </c>
      <c r="X347" s="50">
        <f t="shared" si="157"/>
        <v>8066</v>
      </c>
      <c r="Y347" s="50">
        <f t="shared" si="157"/>
        <v>10108.599999999999</v>
      </c>
      <c r="Z347" s="50">
        <f t="shared" si="157"/>
        <v>11175.1</v>
      </c>
      <c r="AA347" s="50">
        <f t="shared" si="157"/>
        <v>6495.5</v>
      </c>
      <c r="AB347" s="50">
        <f t="shared" si="157"/>
        <v>6968.2</v>
      </c>
      <c r="AC347" s="50">
        <f t="shared" si="157"/>
        <v>3874</v>
      </c>
      <c r="AD347" s="50">
        <f t="shared" si="157"/>
        <v>34255.199999999997</v>
      </c>
      <c r="AE347" s="50">
        <f t="shared" si="157"/>
        <v>0</v>
      </c>
      <c r="AF347" s="43"/>
      <c r="AG347" s="15"/>
      <c r="AH347" s="15"/>
      <c r="AI347" s="15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</row>
    <row r="348" spans="1:62" ht="37.5" x14ac:dyDescent="0.3">
      <c r="A348" s="19" t="s">
        <v>30</v>
      </c>
      <c r="B348" s="50">
        <f>B320+B300</f>
        <v>1812.1</v>
      </c>
      <c r="C348" s="50">
        <f>C320+C300</f>
        <v>1782.3000000000002</v>
      </c>
      <c r="D348" s="50">
        <f>D320+D300</f>
        <v>1600.1</v>
      </c>
      <c r="E348" s="50">
        <f>E320+E300</f>
        <v>1600.1</v>
      </c>
      <c r="F348" s="26">
        <f>E348/B348*100</f>
        <v>88.300866398101647</v>
      </c>
      <c r="G348" s="26">
        <f>E348/C348*100</f>
        <v>89.777254109858035</v>
      </c>
      <c r="H348" s="50">
        <f>H320+H300</f>
        <v>82.7</v>
      </c>
      <c r="I348" s="50">
        <f t="shared" ref="I348:AE348" si="158">I320+I300</f>
        <v>33.200000000000003</v>
      </c>
      <c r="J348" s="50">
        <f t="shared" si="158"/>
        <v>157.19999999999999</v>
      </c>
      <c r="K348" s="50">
        <f t="shared" si="158"/>
        <v>59.5</v>
      </c>
      <c r="L348" s="50">
        <f t="shared" si="158"/>
        <v>157.19999999999999</v>
      </c>
      <c r="M348" s="50">
        <f t="shared" si="158"/>
        <v>108.1</v>
      </c>
      <c r="N348" s="50">
        <f t="shared" si="158"/>
        <v>157.19999999999999</v>
      </c>
      <c r="O348" s="50">
        <f t="shared" si="158"/>
        <v>125.4</v>
      </c>
      <c r="P348" s="50">
        <f t="shared" si="158"/>
        <v>124.1</v>
      </c>
      <c r="Q348" s="50">
        <f t="shared" si="158"/>
        <v>123</v>
      </c>
      <c r="R348" s="50">
        <f t="shared" si="158"/>
        <v>41.4</v>
      </c>
      <c r="S348" s="50">
        <f t="shared" si="158"/>
        <v>86.2</v>
      </c>
      <c r="T348" s="50">
        <f t="shared" si="158"/>
        <v>68.2</v>
      </c>
      <c r="U348" s="50">
        <f t="shared" si="158"/>
        <v>68.2</v>
      </c>
      <c r="V348" s="50">
        <f t="shared" si="158"/>
        <v>605.4</v>
      </c>
      <c r="W348" s="50">
        <f t="shared" si="158"/>
        <v>605.4</v>
      </c>
      <c r="X348" s="50">
        <f t="shared" si="158"/>
        <v>91</v>
      </c>
      <c r="Y348" s="50">
        <f t="shared" si="158"/>
        <v>89.8</v>
      </c>
      <c r="Z348" s="50">
        <f t="shared" si="158"/>
        <v>157.19999999999999</v>
      </c>
      <c r="AA348" s="50">
        <f t="shared" si="158"/>
        <v>167.8</v>
      </c>
      <c r="AB348" s="50">
        <f t="shared" si="158"/>
        <v>140.69999999999999</v>
      </c>
      <c r="AC348" s="50">
        <f t="shared" si="158"/>
        <v>133.5</v>
      </c>
      <c r="AD348" s="50">
        <f t="shared" si="158"/>
        <v>29.799999999999983</v>
      </c>
      <c r="AE348" s="50">
        <f t="shared" si="158"/>
        <v>0</v>
      </c>
      <c r="AF348" s="43"/>
      <c r="AG348" s="15"/>
      <c r="AH348" s="15"/>
      <c r="AI348" s="15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</row>
    <row r="349" spans="1:62" ht="18.75" x14ac:dyDescent="0.3">
      <c r="A349" s="19" t="s">
        <v>28</v>
      </c>
      <c r="B349" s="50">
        <f t="shared" ref="B349:E350" si="159">B321+B301+B276</f>
        <v>21333</v>
      </c>
      <c r="C349" s="50">
        <f t="shared" si="159"/>
        <v>20775</v>
      </c>
      <c r="D349" s="50">
        <f t="shared" si="159"/>
        <v>17361.599999999999</v>
      </c>
      <c r="E349" s="50">
        <f t="shared" si="159"/>
        <v>17361.599999999999</v>
      </c>
      <c r="F349" s="26">
        <f>E349/B349*100</f>
        <v>81.383771621431578</v>
      </c>
      <c r="G349" s="26">
        <f>E349/C349*100</f>
        <v>83.569675090252701</v>
      </c>
      <c r="H349" s="50">
        <f t="shared" ref="H349:AE350" si="160">H321+H301+H276</f>
        <v>1550.4</v>
      </c>
      <c r="I349" s="50">
        <f t="shared" si="160"/>
        <v>622.70000000000005</v>
      </c>
      <c r="J349" s="50">
        <f t="shared" si="160"/>
        <v>2945.7</v>
      </c>
      <c r="K349" s="50">
        <f t="shared" si="160"/>
        <v>1114.0999999999999</v>
      </c>
      <c r="L349" s="50">
        <f t="shared" si="160"/>
        <v>2945.7</v>
      </c>
      <c r="M349" s="50">
        <f t="shared" si="160"/>
        <v>2025.1</v>
      </c>
      <c r="N349" s="50">
        <f t="shared" si="160"/>
        <v>2945.7</v>
      </c>
      <c r="O349" s="50">
        <f t="shared" si="160"/>
        <v>2350.6</v>
      </c>
      <c r="P349" s="50">
        <f t="shared" si="160"/>
        <v>2325.6</v>
      </c>
      <c r="Q349" s="50">
        <f t="shared" si="160"/>
        <v>2875</v>
      </c>
      <c r="R349" s="50">
        <f t="shared" si="160"/>
        <v>775.2</v>
      </c>
      <c r="S349" s="50">
        <f t="shared" si="160"/>
        <v>1045.5</v>
      </c>
      <c r="T349" s="50">
        <f t="shared" si="160"/>
        <v>0</v>
      </c>
      <c r="U349" s="50">
        <f t="shared" si="160"/>
        <v>0</v>
      </c>
      <c r="V349" s="50">
        <f t="shared" si="160"/>
        <v>0</v>
      </c>
      <c r="W349" s="50">
        <f t="shared" si="160"/>
        <v>0</v>
      </c>
      <c r="X349" s="50">
        <f t="shared" si="160"/>
        <v>1705.4</v>
      </c>
      <c r="Y349" s="50">
        <f t="shared" si="160"/>
        <v>1681.4</v>
      </c>
      <c r="Z349" s="50">
        <f t="shared" si="160"/>
        <v>2945.7</v>
      </c>
      <c r="AA349" s="50">
        <f t="shared" si="160"/>
        <v>3146.6</v>
      </c>
      <c r="AB349" s="50">
        <f t="shared" si="160"/>
        <v>2635.6</v>
      </c>
      <c r="AC349" s="50">
        <f t="shared" si="160"/>
        <v>2500.6</v>
      </c>
      <c r="AD349" s="50">
        <f t="shared" si="160"/>
        <v>558</v>
      </c>
      <c r="AE349" s="50">
        <f t="shared" si="160"/>
        <v>0</v>
      </c>
      <c r="AF349" s="43"/>
      <c r="AG349" s="15"/>
      <c r="AH349" s="15"/>
      <c r="AI349" s="15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</row>
    <row r="350" spans="1:62" ht="18.75" x14ac:dyDescent="0.3">
      <c r="A350" s="19" t="s">
        <v>29</v>
      </c>
      <c r="B350" s="50">
        <f t="shared" si="159"/>
        <v>0</v>
      </c>
      <c r="C350" s="50">
        <f t="shared" si="159"/>
        <v>0</v>
      </c>
      <c r="D350" s="50">
        <f t="shared" si="159"/>
        <v>0</v>
      </c>
      <c r="E350" s="50">
        <f t="shared" si="159"/>
        <v>0</v>
      </c>
      <c r="F350" s="121">
        <f>IFERROR(E350/B350*100,0)</f>
        <v>0</v>
      </c>
      <c r="G350" s="121">
        <f>IFERROR(E350/C350*100,0)</f>
        <v>0</v>
      </c>
      <c r="H350" s="50">
        <f t="shared" si="160"/>
        <v>0</v>
      </c>
      <c r="I350" s="50">
        <f t="shared" si="160"/>
        <v>0</v>
      </c>
      <c r="J350" s="50">
        <f t="shared" si="160"/>
        <v>0</v>
      </c>
      <c r="K350" s="50">
        <f t="shared" si="160"/>
        <v>0</v>
      </c>
      <c r="L350" s="50">
        <f t="shared" si="160"/>
        <v>0</v>
      </c>
      <c r="M350" s="50">
        <f t="shared" si="160"/>
        <v>0</v>
      </c>
      <c r="N350" s="50">
        <f t="shared" si="160"/>
        <v>0</v>
      </c>
      <c r="O350" s="50">
        <f t="shared" si="160"/>
        <v>0</v>
      </c>
      <c r="P350" s="50">
        <f t="shared" si="160"/>
        <v>0</v>
      </c>
      <c r="Q350" s="50">
        <f t="shared" si="160"/>
        <v>0</v>
      </c>
      <c r="R350" s="50">
        <f t="shared" si="160"/>
        <v>0</v>
      </c>
      <c r="S350" s="50">
        <f t="shared" si="160"/>
        <v>0</v>
      </c>
      <c r="T350" s="50">
        <f t="shared" si="160"/>
        <v>0</v>
      </c>
      <c r="U350" s="50">
        <f t="shared" si="160"/>
        <v>0</v>
      </c>
      <c r="V350" s="50">
        <f t="shared" si="160"/>
        <v>0</v>
      </c>
      <c r="W350" s="50">
        <f t="shared" si="160"/>
        <v>0</v>
      </c>
      <c r="X350" s="50">
        <f t="shared" si="160"/>
        <v>0</v>
      </c>
      <c r="Y350" s="50">
        <f t="shared" si="160"/>
        <v>0</v>
      </c>
      <c r="Z350" s="50">
        <f t="shared" si="160"/>
        <v>0</v>
      </c>
      <c r="AA350" s="50">
        <f t="shared" si="160"/>
        <v>0</v>
      </c>
      <c r="AB350" s="50">
        <f t="shared" si="160"/>
        <v>0</v>
      </c>
      <c r="AC350" s="50">
        <f t="shared" si="160"/>
        <v>0</v>
      </c>
      <c r="AD350" s="50">
        <f t="shared" si="160"/>
        <v>0</v>
      </c>
      <c r="AE350" s="50">
        <f t="shared" si="160"/>
        <v>0</v>
      </c>
      <c r="AF350" s="43"/>
      <c r="AG350" s="15"/>
      <c r="AH350" s="15"/>
      <c r="AI350" s="15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</row>
    <row r="351" spans="1:62" ht="18.75" x14ac:dyDescent="0.3">
      <c r="A351" s="103" t="s">
        <v>128</v>
      </c>
      <c r="B351" s="104"/>
      <c r="C351" s="104"/>
      <c r="D351" s="104"/>
      <c r="E351" s="104"/>
      <c r="F351" s="105"/>
      <c r="G351" s="105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43"/>
      <c r="AG351" s="15"/>
      <c r="AH351" s="15"/>
      <c r="AI351" s="15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</row>
    <row r="352" spans="1:62" ht="18.75" x14ac:dyDescent="0.3">
      <c r="A352" s="106" t="s">
        <v>119</v>
      </c>
      <c r="B352" s="104">
        <f>B353+B354+B355+B356</f>
        <v>319938.28999999998</v>
      </c>
      <c r="C352" s="104">
        <f>C353+C354+C355+C356</f>
        <v>31725.1</v>
      </c>
      <c r="D352" s="104">
        <f>D353+D354+D355+D356</f>
        <v>6025</v>
      </c>
      <c r="E352" s="104">
        <f>E353+E354+E355+E356</f>
        <v>6025</v>
      </c>
      <c r="F352" s="104">
        <f>IFERROR(E352/B352*100,0)</f>
        <v>1.8831756586559241</v>
      </c>
      <c r="G352" s="104">
        <f>IFERROR(E352/C352*100,0)</f>
        <v>18.991271895124051</v>
      </c>
      <c r="H352" s="104">
        <f>H353+H354+H355+H356</f>
        <v>0</v>
      </c>
      <c r="I352" s="104">
        <f t="shared" ref="I352:AE352" si="161">I353+I354+I355+I356</f>
        <v>0</v>
      </c>
      <c r="J352" s="104">
        <f t="shared" si="161"/>
        <v>0</v>
      </c>
      <c r="K352" s="104">
        <f t="shared" si="161"/>
        <v>0</v>
      </c>
      <c r="L352" s="104">
        <f t="shared" si="161"/>
        <v>0</v>
      </c>
      <c r="M352" s="104">
        <f t="shared" si="161"/>
        <v>0</v>
      </c>
      <c r="N352" s="104">
        <f t="shared" si="161"/>
        <v>0</v>
      </c>
      <c r="O352" s="104">
        <f t="shared" si="161"/>
        <v>0</v>
      </c>
      <c r="P352" s="104">
        <f t="shared" si="161"/>
        <v>0</v>
      </c>
      <c r="Q352" s="104">
        <f t="shared" si="161"/>
        <v>0</v>
      </c>
      <c r="R352" s="104">
        <f t="shared" si="161"/>
        <v>0</v>
      </c>
      <c r="S352" s="104">
        <f t="shared" si="161"/>
        <v>0</v>
      </c>
      <c r="T352" s="104">
        <f t="shared" si="161"/>
        <v>4013.6</v>
      </c>
      <c r="U352" s="104">
        <f t="shared" si="161"/>
        <v>4013.6</v>
      </c>
      <c r="V352" s="104">
        <f t="shared" si="161"/>
        <v>2011.4</v>
      </c>
      <c r="W352" s="104">
        <f t="shared" si="161"/>
        <v>2011.4</v>
      </c>
      <c r="X352" s="104">
        <f t="shared" si="161"/>
        <v>14196.800000000001</v>
      </c>
      <c r="Y352" s="104">
        <f t="shared" si="161"/>
        <v>0</v>
      </c>
      <c r="Z352" s="104">
        <f t="shared" si="161"/>
        <v>0</v>
      </c>
      <c r="AA352" s="104">
        <f t="shared" si="161"/>
        <v>0</v>
      </c>
      <c r="AB352" s="104">
        <f t="shared" si="161"/>
        <v>11503.3</v>
      </c>
      <c r="AC352" s="104">
        <f t="shared" si="161"/>
        <v>0</v>
      </c>
      <c r="AD352" s="104">
        <f t="shared" si="161"/>
        <v>288213.19</v>
      </c>
      <c r="AE352" s="104">
        <f t="shared" si="161"/>
        <v>0</v>
      </c>
      <c r="AF352" s="43"/>
      <c r="AG352" s="15"/>
      <c r="AH352" s="15"/>
      <c r="AI352" s="15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</row>
    <row r="353" spans="1:62" ht="18.75" x14ac:dyDescent="0.3">
      <c r="A353" s="106" t="s">
        <v>28</v>
      </c>
      <c r="B353" s="98">
        <f>B262+B321</f>
        <v>0</v>
      </c>
      <c r="C353" s="98">
        <f>C262+C321</f>
        <v>0</v>
      </c>
      <c r="D353" s="98">
        <f>D262+D321</f>
        <v>0</v>
      </c>
      <c r="E353" s="98">
        <f>E262+E321</f>
        <v>0</v>
      </c>
      <c r="F353" s="120">
        <f>IFERROR(E353/B353*100,0)</f>
        <v>0</v>
      </c>
      <c r="G353" s="120">
        <f>IFERROR(E353/C353*100,0)</f>
        <v>0</v>
      </c>
      <c r="H353" s="98">
        <f t="shared" ref="H353:AE353" si="162">H262+H321</f>
        <v>0</v>
      </c>
      <c r="I353" s="98">
        <f t="shared" si="162"/>
        <v>0</v>
      </c>
      <c r="J353" s="98">
        <f t="shared" si="162"/>
        <v>0</v>
      </c>
      <c r="K353" s="98">
        <f t="shared" si="162"/>
        <v>0</v>
      </c>
      <c r="L353" s="98">
        <f t="shared" si="162"/>
        <v>0</v>
      </c>
      <c r="M353" s="98">
        <f t="shared" si="162"/>
        <v>0</v>
      </c>
      <c r="N353" s="98">
        <f t="shared" si="162"/>
        <v>0</v>
      </c>
      <c r="O353" s="98">
        <f t="shared" si="162"/>
        <v>0</v>
      </c>
      <c r="P353" s="98">
        <f t="shared" si="162"/>
        <v>0</v>
      </c>
      <c r="Q353" s="98">
        <f t="shared" si="162"/>
        <v>0</v>
      </c>
      <c r="R353" s="98">
        <f t="shared" si="162"/>
        <v>0</v>
      </c>
      <c r="S353" s="98">
        <f t="shared" si="162"/>
        <v>0</v>
      </c>
      <c r="T353" s="98">
        <f t="shared" si="162"/>
        <v>0</v>
      </c>
      <c r="U353" s="98">
        <f t="shared" si="162"/>
        <v>0</v>
      </c>
      <c r="V353" s="98">
        <f t="shared" si="162"/>
        <v>0</v>
      </c>
      <c r="W353" s="98">
        <f t="shared" si="162"/>
        <v>0</v>
      </c>
      <c r="X353" s="98">
        <f t="shared" si="162"/>
        <v>0</v>
      </c>
      <c r="Y353" s="98">
        <f t="shared" si="162"/>
        <v>0</v>
      </c>
      <c r="Z353" s="98">
        <f t="shared" si="162"/>
        <v>0</v>
      </c>
      <c r="AA353" s="98">
        <f t="shared" si="162"/>
        <v>0</v>
      </c>
      <c r="AB353" s="98">
        <f t="shared" si="162"/>
        <v>0</v>
      </c>
      <c r="AC353" s="98">
        <f t="shared" si="162"/>
        <v>0</v>
      </c>
      <c r="AD353" s="98">
        <f t="shared" si="162"/>
        <v>0</v>
      </c>
      <c r="AE353" s="98">
        <f t="shared" si="162"/>
        <v>0</v>
      </c>
      <c r="AF353" s="43"/>
      <c r="AG353" s="15"/>
      <c r="AH353" s="15"/>
      <c r="AI353" s="15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</row>
    <row r="354" spans="1:62" ht="18.75" x14ac:dyDescent="0.3">
      <c r="A354" s="106" t="s">
        <v>26</v>
      </c>
      <c r="B354" s="98">
        <f t="shared" ref="B354:E355" si="163">B259+B318</f>
        <v>282729.08999999997</v>
      </c>
      <c r="C354" s="98">
        <f t="shared" si="163"/>
        <v>24694.399999999998</v>
      </c>
      <c r="D354" s="98">
        <f t="shared" si="163"/>
        <v>1564.3</v>
      </c>
      <c r="E354" s="98">
        <f t="shared" si="163"/>
        <v>1564.3</v>
      </c>
      <c r="F354" s="120">
        <f>IFERROR(E354/B354*100,0)</f>
        <v>0.5532858327383291</v>
      </c>
      <c r="G354" s="120">
        <f>IFERROR(E354/C354*100,0)</f>
        <v>6.3346345730206046</v>
      </c>
      <c r="H354" s="98">
        <f t="shared" ref="H354:AE355" si="164">H259+H318</f>
        <v>0</v>
      </c>
      <c r="I354" s="98">
        <f t="shared" si="164"/>
        <v>0</v>
      </c>
      <c r="J354" s="98">
        <f t="shared" si="164"/>
        <v>0</v>
      </c>
      <c r="K354" s="98">
        <f t="shared" si="164"/>
        <v>0</v>
      </c>
      <c r="L354" s="98">
        <f t="shared" si="164"/>
        <v>0</v>
      </c>
      <c r="M354" s="98">
        <f t="shared" si="164"/>
        <v>0</v>
      </c>
      <c r="N354" s="98">
        <f t="shared" si="164"/>
        <v>0</v>
      </c>
      <c r="O354" s="98">
        <f t="shared" si="164"/>
        <v>0</v>
      </c>
      <c r="P354" s="98">
        <f t="shared" si="164"/>
        <v>0</v>
      </c>
      <c r="Q354" s="98">
        <f t="shared" si="164"/>
        <v>0</v>
      </c>
      <c r="R354" s="98">
        <f t="shared" si="164"/>
        <v>0</v>
      </c>
      <c r="S354" s="98">
        <f t="shared" si="164"/>
        <v>0</v>
      </c>
      <c r="T354" s="98">
        <f t="shared" si="164"/>
        <v>158.30000000000001</v>
      </c>
      <c r="U354" s="98">
        <f t="shared" si="164"/>
        <v>158.30000000000001</v>
      </c>
      <c r="V354" s="98">
        <f t="shared" si="164"/>
        <v>1406</v>
      </c>
      <c r="W354" s="98">
        <f t="shared" si="164"/>
        <v>1406</v>
      </c>
      <c r="X354" s="98">
        <f t="shared" si="164"/>
        <v>12777.1</v>
      </c>
      <c r="Y354" s="98">
        <f t="shared" si="164"/>
        <v>0</v>
      </c>
      <c r="Z354" s="98">
        <f t="shared" si="164"/>
        <v>0</v>
      </c>
      <c r="AA354" s="98">
        <f t="shared" si="164"/>
        <v>0</v>
      </c>
      <c r="AB354" s="98">
        <f t="shared" si="164"/>
        <v>10353</v>
      </c>
      <c r="AC354" s="98">
        <f t="shared" si="164"/>
        <v>0</v>
      </c>
      <c r="AD354" s="98">
        <f t="shared" si="164"/>
        <v>258034.69</v>
      </c>
      <c r="AE354" s="98">
        <f t="shared" si="164"/>
        <v>0</v>
      </c>
      <c r="AF354" s="43"/>
      <c r="AG354" s="15"/>
      <c r="AH354" s="15"/>
      <c r="AI354" s="15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</row>
    <row r="355" spans="1:62" ht="18.75" x14ac:dyDescent="0.3">
      <c r="A355" s="106" t="s">
        <v>27</v>
      </c>
      <c r="B355" s="98">
        <f t="shared" si="163"/>
        <v>37209.199999999997</v>
      </c>
      <c r="C355" s="98">
        <f t="shared" si="163"/>
        <v>7030.7</v>
      </c>
      <c r="D355" s="98">
        <f t="shared" si="163"/>
        <v>4460.7</v>
      </c>
      <c r="E355" s="98">
        <f t="shared" si="163"/>
        <v>4460.7</v>
      </c>
      <c r="F355" s="120">
        <f>IFERROR(E355/B355*100,0)</f>
        <v>11.988164217451597</v>
      </c>
      <c r="G355" s="120">
        <f>IFERROR(E355/C355*100,0)</f>
        <v>63.446029556089719</v>
      </c>
      <c r="H355" s="98">
        <f t="shared" si="164"/>
        <v>0</v>
      </c>
      <c r="I355" s="98">
        <f t="shared" si="164"/>
        <v>0</v>
      </c>
      <c r="J355" s="98">
        <f t="shared" si="164"/>
        <v>0</v>
      </c>
      <c r="K355" s="98">
        <f t="shared" si="164"/>
        <v>0</v>
      </c>
      <c r="L355" s="98">
        <f t="shared" si="164"/>
        <v>0</v>
      </c>
      <c r="M355" s="98">
        <f t="shared" si="164"/>
        <v>0</v>
      </c>
      <c r="N355" s="98">
        <f t="shared" si="164"/>
        <v>0</v>
      </c>
      <c r="O355" s="98">
        <f t="shared" si="164"/>
        <v>0</v>
      </c>
      <c r="P355" s="98">
        <f t="shared" si="164"/>
        <v>0</v>
      </c>
      <c r="Q355" s="98">
        <f t="shared" si="164"/>
        <v>0</v>
      </c>
      <c r="R355" s="98">
        <f t="shared" si="164"/>
        <v>0</v>
      </c>
      <c r="S355" s="98">
        <f t="shared" si="164"/>
        <v>0</v>
      </c>
      <c r="T355" s="98">
        <f t="shared" si="164"/>
        <v>3855.2999999999997</v>
      </c>
      <c r="U355" s="98">
        <f t="shared" si="164"/>
        <v>3855.2999999999997</v>
      </c>
      <c r="V355" s="98">
        <f t="shared" si="164"/>
        <v>605.4</v>
      </c>
      <c r="W355" s="98">
        <f t="shared" si="164"/>
        <v>605.4</v>
      </c>
      <c r="X355" s="98">
        <f t="shared" si="164"/>
        <v>1419.7</v>
      </c>
      <c r="Y355" s="98">
        <f t="shared" si="164"/>
        <v>0</v>
      </c>
      <c r="Z355" s="98">
        <f t="shared" si="164"/>
        <v>0</v>
      </c>
      <c r="AA355" s="98">
        <f t="shared" si="164"/>
        <v>0</v>
      </c>
      <c r="AB355" s="98">
        <f t="shared" si="164"/>
        <v>1150.3</v>
      </c>
      <c r="AC355" s="98">
        <f t="shared" si="164"/>
        <v>0</v>
      </c>
      <c r="AD355" s="98">
        <f t="shared" si="164"/>
        <v>30178.5</v>
      </c>
      <c r="AE355" s="98">
        <f t="shared" si="164"/>
        <v>0</v>
      </c>
      <c r="AF355" s="43"/>
      <c r="AG355" s="15"/>
      <c r="AH355" s="15"/>
      <c r="AI355" s="15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</row>
    <row r="356" spans="1:62" ht="18.75" x14ac:dyDescent="0.3">
      <c r="A356" s="106" t="s">
        <v>120</v>
      </c>
      <c r="B356" s="98">
        <f>B263+B322</f>
        <v>0</v>
      </c>
      <c r="C356" s="98">
        <f>C263+C322</f>
        <v>0</v>
      </c>
      <c r="D356" s="98">
        <f>D263+D322</f>
        <v>0</v>
      </c>
      <c r="E356" s="98">
        <f>E263+E322</f>
        <v>0</v>
      </c>
      <c r="F356" s="120">
        <f>IFERROR(E356/B356*100,0)</f>
        <v>0</v>
      </c>
      <c r="G356" s="120">
        <f>IFERROR(E356/C356*100,0)</f>
        <v>0</v>
      </c>
      <c r="H356" s="98">
        <f t="shared" ref="H356:AE356" si="165">H263+H322</f>
        <v>0</v>
      </c>
      <c r="I356" s="98">
        <f t="shared" si="165"/>
        <v>0</v>
      </c>
      <c r="J356" s="98">
        <f t="shared" si="165"/>
        <v>0</v>
      </c>
      <c r="K356" s="98">
        <f t="shared" si="165"/>
        <v>0</v>
      </c>
      <c r="L356" s="98">
        <f t="shared" si="165"/>
        <v>0</v>
      </c>
      <c r="M356" s="98">
        <f t="shared" si="165"/>
        <v>0</v>
      </c>
      <c r="N356" s="98">
        <f t="shared" si="165"/>
        <v>0</v>
      </c>
      <c r="O356" s="98">
        <f t="shared" si="165"/>
        <v>0</v>
      </c>
      <c r="P356" s="98">
        <f t="shared" si="165"/>
        <v>0</v>
      </c>
      <c r="Q356" s="98">
        <f t="shared" si="165"/>
        <v>0</v>
      </c>
      <c r="R356" s="98">
        <f t="shared" si="165"/>
        <v>0</v>
      </c>
      <c r="S356" s="98">
        <f t="shared" si="165"/>
        <v>0</v>
      </c>
      <c r="T356" s="98">
        <f t="shared" si="165"/>
        <v>0</v>
      </c>
      <c r="U356" s="98">
        <f t="shared" si="165"/>
        <v>0</v>
      </c>
      <c r="V356" s="98">
        <f t="shared" si="165"/>
        <v>0</v>
      </c>
      <c r="W356" s="98">
        <f t="shared" si="165"/>
        <v>0</v>
      </c>
      <c r="X356" s="98">
        <f t="shared" si="165"/>
        <v>0</v>
      </c>
      <c r="Y356" s="98">
        <f t="shared" si="165"/>
        <v>0</v>
      </c>
      <c r="Z356" s="98">
        <f t="shared" si="165"/>
        <v>0</v>
      </c>
      <c r="AA356" s="98">
        <f t="shared" si="165"/>
        <v>0</v>
      </c>
      <c r="AB356" s="98">
        <f t="shared" si="165"/>
        <v>0</v>
      </c>
      <c r="AC356" s="98">
        <f t="shared" si="165"/>
        <v>0</v>
      </c>
      <c r="AD356" s="98">
        <f t="shared" si="165"/>
        <v>0</v>
      </c>
      <c r="AE356" s="98">
        <f t="shared" si="165"/>
        <v>0</v>
      </c>
      <c r="AF356" s="43"/>
      <c r="AG356" s="15"/>
      <c r="AH356" s="15"/>
      <c r="AI356" s="15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</row>
    <row r="357" spans="1:62" ht="18.75" x14ac:dyDescent="0.3">
      <c r="A357" s="107" t="s">
        <v>129</v>
      </c>
      <c r="B357" s="108"/>
      <c r="C357" s="108"/>
      <c r="D357" s="108"/>
      <c r="E357" s="108"/>
      <c r="F357" s="109"/>
      <c r="G357" s="109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10"/>
      <c r="AE357" s="111"/>
      <c r="AF357" s="43"/>
      <c r="AG357" s="15"/>
      <c r="AH357" s="15"/>
      <c r="AI357" s="15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</row>
    <row r="358" spans="1:62" ht="18.75" x14ac:dyDescent="0.3">
      <c r="A358" s="107" t="s">
        <v>119</v>
      </c>
      <c r="B358" s="111">
        <f>B359+B360+B361+B362</f>
        <v>565418.9</v>
      </c>
      <c r="C358" s="111">
        <f>C359+C360+C361+C362</f>
        <v>527759.69999999995</v>
      </c>
      <c r="D358" s="111">
        <f>D359+D360+D361+D362</f>
        <v>474552.89999999997</v>
      </c>
      <c r="E358" s="111">
        <f>E359+E360+E361+E362</f>
        <v>474552.89999999997</v>
      </c>
      <c r="F358" s="111">
        <f>IFERROR(E358/B358*100,0)</f>
        <v>83.929437095222667</v>
      </c>
      <c r="G358" s="111">
        <f>IFERROR(E358/C358*100,0)</f>
        <v>89.918366256461042</v>
      </c>
      <c r="H358" s="111">
        <f>H359+H360+H361+H362</f>
        <v>41238.699999999997</v>
      </c>
      <c r="I358" s="111">
        <f t="shared" ref="I358:AE358" si="166">I359+I360+I361+I362</f>
        <v>36532.300000000003</v>
      </c>
      <c r="J358" s="111">
        <f t="shared" si="166"/>
        <v>55529.3</v>
      </c>
      <c r="K358" s="111">
        <f t="shared" si="166"/>
        <v>44719</v>
      </c>
      <c r="L358" s="111">
        <f t="shared" si="166"/>
        <v>52664.3</v>
      </c>
      <c r="M358" s="111">
        <f t="shared" si="166"/>
        <v>21681.399999999998</v>
      </c>
      <c r="N358" s="111">
        <f t="shared" si="166"/>
        <v>54495.5</v>
      </c>
      <c r="O358" s="111">
        <f t="shared" si="166"/>
        <v>53220.2</v>
      </c>
      <c r="P358" s="111">
        <f t="shared" si="166"/>
        <v>54352.299999999996</v>
      </c>
      <c r="Q358" s="111">
        <f t="shared" si="166"/>
        <v>57623.600000000006</v>
      </c>
      <c r="R358" s="111">
        <f t="shared" si="166"/>
        <v>43445.200000000004</v>
      </c>
      <c r="S358" s="111">
        <f t="shared" si="166"/>
        <v>39183.099999999991</v>
      </c>
      <c r="T358" s="111">
        <f t="shared" si="166"/>
        <v>69611.600000000006</v>
      </c>
      <c r="U358" s="111">
        <f t="shared" si="166"/>
        <v>65217.200000000004</v>
      </c>
      <c r="V358" s="111">
        <f t="shared" si="166"/>
        <v>18435</v>
      </c>
      <c r="W358" s="111">
        <f t="shared" si="166"/>
        <v>21471.8</v>
      </c>
      <c r="X358" s="111">
        <f t="shared" si="166"/>
        <v>36825.200000000004</v>
      </c>
      <c r="Y358" s="111">
        <f t="shared" si="166"/>
        <v>60445.599999999999</v>
      </c>
      <c r="Z358" s="111">
        <f t="shared" si="166"/>
        <v>56882.499999999993</v>
      </c>
      <c r="AA358" s="111">
        <f t="shared" si="166"/>
        <v>52865.4</v>
      </c>
      <c r="AB358" s="111">
        <f t="shared" si="166"/>
        <v>44280.1</v>
      </c>
      <c r="AC358" s="111">
        <f t="shared" si="166"/>
        <v>21590.5</v>
      </c>
      <c r="AD358" s="111">
        <f t="shared" si="166"/>
        <v>37659.199999999997</v>
      </c>
      <c r="AE358" s="111">
        <f t="shared" si="166"/>
        <v>0</v>
      </c>
      <c r="AF358" s="43"/>
      <c r="AG358" s="15"/>
      <c r="AH358" s="15"/>
      <c r="AI358" s="15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</row>
    <row r="359" spans="1:62" ht="18.75" x14ac:dyDescent="0.3">
      <c r="A359" s="107" t="s">
        <v>28</v>
      </c>
      <c r="B359" s="98">
        <f t="shared" ref="B359:E362" si="167">SUM(B273,B297)</f>
        <v>292806.7</v>
      </c>
      <c r="C359" s="98">
        <f t="shared" si="167"/>
        <v>273713</v>
      </c>
      <c r="D359" s="98">
        <f t="shared" si="167"/>
        <v>245494</v>
      </c>
      <c r="E359" s="98">
        <f t="shared" si="167"/>
        <v>245494</v>
      </c>
      <c r="F359" s="120">
        <f>IFERROR(E359/B359*100,0)</f>
        <v>83.841660727025712</v>
      </c>
      <c r="G359" s="120">
        <f>IFERROR(E359/C359*100,0)</f>
        <v>89.690296040012711</v>
      </c>
      <c r="H359" s="98">
        <f t="shared" ref="H359:AE362" si="168">SUM(H273,H297)</f>
        <v>21353.200000000001</v>
      </c>
      <c r="I359" s="98">
        <f t="shared" si="168"/>
        <v>18560.900000000001</v>
      </c>
      <c r="J359" s="98">
        <f t="shared" si="168"/>
        <v>29158.9</v>
      </c>
      <c r="K359" s="98">
        <f t="shared" si="168"/>
        <v>22886.799999999999</v>
      </c>
      <c r="L359" s="98">
        <f t="shared" si="168"/>
        <v>27726.400000000001</v>
      </c>
      <c r="M359" s="98">
        <f t="shared" si="168"/>
        <v>11799.2</v>
      </c>
      <c r="N359" s="98">
        <f t="shared" si="168"/>
        <v>28642</v>
      </c>
      <c r="O359" s="98">
        <f t="shared" si="168"/>
        <v>27722.699999999997</v>
      </c>
      <c r="P359" s="98">
        <f t="shared" si="168"/>
        <v>28276.899999999998</v>
      </c>
      <c r="Q359" s="98">
        <f t="shared" si="168"/>
        <v>30187.8</v>
      </c>
      <c r="R359" s="98">
        <f t="shared" si="168"/>
        <v>22089.5</v>
      </c>
      <c r="S359" s="98">
        <f t="shared" si="168"/>
        <v>20071.199999999997</v>
      </c>
      <c r="T359" s="98">
        <f t="shared" si="168"/>
        <v>34805.800000000003</v>
      </c>
      <c r="U359" s="98">
        <f t="shared" si="168"/>
        <v>32608.600000000002</v>
      </c>
      <c r="V359" s="98">
        <f t="shared" si="168"/>
        <v>9217.5</v>
      </c>
      <c r="W359" s="98">
        <f t="shared" si="168"/>
        <v>10735.9</v>
      </c>
      <c r="X359" s="98">
        <f t="shared" si="168"/>
        <v>19219.8</v>
      </c>
      <c r="Y359" s="98">
        <f t="shared" si="168"/>
        <v>31018.6</v>
      </c>
      <c r="Z359" s="98">
        <f t="shared" si="168"/>
        <v>29835.5</v>
      </c>
      <c r="AA359" s="98">
        <f t="shared" si="168"/>
        <v>27922.1</v>
      </c>
      <c r="AB359" s="98">
        <f t="shared" si="168"/>
        <v>23387.499999999996</v>
      </c>
      <c r="AC359" s="98">
        <f t="shared" si="168"/>
        <v>11978.800000000001</v>
      </c>
      <c r="AD359" s="98">
        <f t="shared" si="168"/>
        <v>19093.7</v>
      </c>
      <c r="AE359" s="98">
        <f t="shared" si="168"/>
        <v>0</v>
      </c>
      <c r="AF359" s="43"/>
      <c r="AG359" s="15"/>
      <c r="AH359" s="15"/>
      <c r="AI359" s="15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</row>
    <row r="360" spans="1:62" ht="18.75" x14ac:dyDescent="0.3">
      <c r="A360" s="107" t="s">
        <v>26</v>
      </c>
      <c r="B360" s="98">
        <f t="shared" si="167"/>
        <v>141848.5</v>
      </c>
      <c r="C360" s="98">
        <f t="shared" si="167"/>
        <v>127389.50000000001</v>
      </c>
      <c r="D360" s="98">
        <f t="shared" si="167"/>
        <v>115116.09999999999</v>
      </c>
      <c r="E360" s="98">
        <f t="shared" si="167"/>
        <v>115116.09999999999</v>
      </c>
      <c r="F360" s="120">
        <f>IFERROR(E360/B360*100,0)</f>
        <v>81.154259650260656</v>
      </c>
      <c r="G360" s="120">
        <f>IFERROR(E360/C360*100,0)</f>
        <v>90.365453981686073</v>
      </c>
      <c r="H360" s="98">
        <f t="shared" si="168"/>
        <v>11867.6</v>
      </c>
      <c r="I360" s="98">
        <f t="shared" si="168"/>
        <v>10733.7</v>
      </c>
      <c r="J360" s="98">
        <f t="shared" si="168"/>
        <v>16848</v>
      </c>
      <c r="K360" s="98">
        <f t="shared" si="168"/>
        <v>14609.4</v>
      </c>
      <c r="L360" s="98">
        <f t="shared" si="168"/>
        <v>15995</v>
      </c>
      <c r="M360" s="98">
        <f t="shared" si="168"/>
        <v>5350.3</v>
      </c>
      <c r="N360" s="98">
        <f t="shared" si="168"/>
        <v>15800</v>
      </c>
      <c r="O360" s="98">
        <f t="shared" si="168"/>
        <v>15407.1</v>
      </c>
      <c r="P360" s="98">
        <f t="shared" si="168"/>
        <v>15129</v>
      </c>
      <c r="Q360" s="98">
        <f t="shared" si="168"/>
        <v>16379.5</v>
      </c>
      <c r="R360" s="98">
        <f t="shared" si="168"/>
        <v>10233.1</v>
      </c>
      <c r="S360" s="98">
        <f t="shared" si="168"/>
        <v>9523.2999999999993</v>
      </c>
      <c r="T360" s="98">
        <f t="shared" si="168"/>
        <v>0</v>
      </c>
      <c r="U360" s="98">
        <f t="shared" si="168"/>
        <v>0</v>
      </c>
      <c r="V360" s="98">
        <f t="shared" si="168"/>
        <v>0</v>
      </c>
      <c r="W360" s="98">
        <f t="shared" si="168"/>
        <v>0</v>
      </c>
      <c r="X360" s="98">
        <f t="shared" si="168"/>
        <v>10868.1</v>
      </c>
      <c r="Y360" s="98">
        <f t="shared" si="168"/>
        <v>19228.599999999999</v>
      </c>
      <c r="Z360" s="98">
        <f t="shared" si="168"/>
        <v>15714.7</v>
      </c>
      <c r="AA360" s="98">
        <f t="shared" si="168"/>
        <v>18280</v>
      </c>
      <c r="AB360" s="98">
        <f t="shared" si="168"/>
        <v>14934</v>
      </c>
      <c r="AC360" s="98">
        <f t="shared" si="168"/>
        <v>5604.2</v>
      </c>
      <c r="AD360" s="98">
        <f t="shared" si="168"/>
        <v>14459</v>
      </c>
      <c r="AE360" s="98">
        <f t="shared" si="168"/>
        <v>0</v>
      </c>
      <c r="AF360" s="43"/>
      <c r="AG360" s="15"/>
      <c r="AH360" s="15"/>
      <c r="AI360" s="15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</row>
    <row r="361" spans="1:62" ht="18.75" x14ac:dyDescent="0.3">
      <c r="A361" s="107" t="s">
        <v>27</v>
      </c>
      <c r="B361" s="98">
        <f t="shared" si="167"/>
        <v>129625.2</v>
      </c>
      <c r="C361" s="98">
        <f t="shared" si="167"/>
        <v>125548.5</v>
      </c>
      <c r="D361" s="98">
        <f t="shared" si="167"/>
        <v>113016.3</v>
      </c>
      <c r="E361" s="98">
        <f t="shared" si="167"/>
        <v>113016.3</v>
      </c>
      <c r="F361" s="120">
        <f>IFERROR(E361/B361*100,0)</f>
        <v>87.186982160876127</v>
      </c>
      <c r="G361" s="120">
        <f>IFERROR(E361/C361*100,0)</f>
        <v>90.018040836808083</v>
      </c>
      <c r="H361" s="98">
        <f t="shared" si="168"/>
        <v>7935.2000000000007</v>
      </c>
      <c r="I361" s="98">
        <f t="shared" si="168"/>
        <v>7204.5</v>
      </c>
      <c r="J361" s="98">
        <f t="shared" si="168"/>
        <v>9365.2000000000007</v>
      </c>
      <c r="K361" s="98">
        <f t="shared" si="168"/>
        <v>7163.3</v>
      </c>
      <c r="L361" s="98">
        <f t="shared" si="168"/>
        <v>8785.7000000000007</v>
      </c>
      <c r="M361" s="98">
        <f t="shared" si="168"/>
        <v>4423.8</v>
      </c>
      <c r="N361" s="98">
        <f t="shared" si="168"/>
        <v>9896.2999999999993</v>
      </c>
      <c r="O361" s="98">
        <f t="shared" si="168"/>
        <v>9965</v>
      </c>
      <c r="P361" s="98">
        <f t="shared" si="168"/>
        <v>10822.3</v>
      </c>
      <c r="Q361" s="98">
        <f t="shared" si="168"/>
        <v>10933.3</v>
      </c>
      <c r="R361" s="98">
        <f t="shared" si="168"/>
        <v>11081.2</v>
      </c>
      <c r="S361" s="98">
        <f t="shared" si="168"/>
        <v>9502.4</v>
      </c>
      <c r="T361" s="98">
        <f t="shared" si="168"/>
        <v>34805.800000000003</v>
      </c>
      <c r="U361" s="98">
        <f t="shared" si="168"/>
        <v>32608.600000000002</v>
      </c>
      <c r="V361" s="98">
        <f t="shared" si="168"/>
        <v>9217.5</v>
      </c>
      <c r="W361" s="98">
        <f t="shared" si="168"/>
        <v>10735.9</v>
      </c>
      <c r="X361" s="98">
        <f t="shared" si="168"/>
        <v>6646.3</v>
      </c>
      <c r="Y361" s="98">
        <f t="shared" si="168"/>
        <v>10108.599999999999</v>
      </c>
      <c r="Z361" s="98">
        <f t="shared" si="168"/>
        <v>11175.1</v>
      </c>
      <c r="AA361" s="98">
        <f t="shared" si="168"/>
        <v>6495.5</v>
      </c>
      <c r="AB361" s="98">
        <f t="shared" si="168"/>
        <v>5817.9</v>
      </c>
      <c r="AC361" s="98">
        <f t="shared" si="168"/>
        <v>3874</v>
      </c>
      <c r="AD361" s="98">
        <f t="shared" si="168"/>
        <v>4076.7</v>
      </c>
      <c r="AE361" s="98">
        <f t="shared" si="168"/>
        <v>0</v>
      </c>
      <c r="AF361" s="43"/>
      <c r="AG361" s="15"/>
      <c r="AH361" s="15"/>
      <c r="AI361" s="15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</row>
    <row r="362" spans="1:62" ht="18.75" x14ac:dyDescent="0.3">
      <c r="A362" s="107" t="s">
        <v>120</v>
      </c>
      <c r="B362" s="98">
        <f t="shared" si="167"/>
        <v>1138.5</v>
      </c>
      <c r="C362" s="98">
        <f t="shared" si="167"/>
        <v>1108.7</v>
      </c>
      <c r="D362" s="98">
        <f t="shared" si="167"/>
        <v>926.5</v>
      </c>
      <c r="E362" s="98">
        <f t="shared" si="167"/>
        <v>926.5</v>
      </c>
      <c r="F362" s="120">
        <f>IFERROR(E362/B362*100,0)</f>
        <v>81.379007465963994</v>
      </c>
      <c r="G362" s="120">
        <f>IFERROR(E362/C362*100,0)</f>
        <v>83.56633895553351</v>
      </c>
      <c r="H362" s="98">
        <f t="shared" si="168"/>
        <v>82.7</v>
      </c>
      <c r="I362" s="98">
        <f t="shared" si="168"/>
        <v>33.200000000000003</v>
      </c>
      <c r="J362" s="98">
        <f t="shared" si="168"/>
        <v>157.19999999999999</v>
      </c>
      <c r="K362" s="98">
        <f t="shared" si="168"/>
        <v>59.5</v>
      </c>
      <c r="L362" s="98">
        <f t="shared" si="168"/>
        <v>157.19999999999999</v>
      </c>
      <c r="M362" s="98">
        <f t="shared" si="168"/>
        <v>108.1</v>
      </c>
      <c r="N362" s="98">
        <f t="shared" si="168"/>
        <v>157.19999999999999</v>
      </c>
      <c r="O362" s="98">
        <f t="shared" si="168"/>
        <v>125.4</v>
      </c>
      <c r="P362" s="98">
        <f t="shared" si="168"/>
        <v>124.1</v>
      </c>
      <c r="Q362" s="98">
        <f t="shared" si="168"/>
        <v>123</v>
      </c>
      <c r="R362" s="98">
        <f t="shared" si="168"/>
        <v>41.4</v>
      </c>
      <c r="S362" s="98">
        <f t="shared" si="168"/>
        <v>86.2</v>
      </c>
      <c r="T362" s="98">
        <f t="shared" si="168"/>
        <v>0</v>
      </c>
      <c r="U362" s="98">
        <f t="shared" si="168"/>
        <v>0</v>
      </c>
      <c r="V362" s="98">
        <f t="shared" si="168"/>
        <v>0</v>
      </c>
      <c r="W362" s="98">
        <f t="shared" si="168"/>
        <v>0</v>
      </c>
      <c r="X362" s="98">
        <f t="shared" si="168"/>
        <v>91</v>
      </c>
      <c r="Y362" s="98">
        <f t="shared" si="168"/>
        <v>89.8</v>
      </c>
      <c r="Z362" s="98">
        <f t="shared" si="168"/>
        <v>157.19999999999999</v>
      </c>
      <c r="AA362" s="98">
        <f t="shared" si="168"/>
        <v>167.8</v>
      </c>
      <c r="AB362" s="98">
        <f t="shared" si="168"/>
        <v>140.69999999999999</v>
      </c>
      <c r="AC362" s="98">
        <f t="shared" si="168"/>
        <v>133.5</v>
      </c>
      <c r="AD362" s="98">
        <f t="shared" si="168"/>
        <v>29.799999999999983</v>
      </c>
      <c r="AE362" s="98">
        <f t="shared" si="168"/>
        <v>0</v>
      </c>
      <c r="AF362" s="43"/>
      <c r="AG362" s="15"/>
      <c r="AH362" s="15"/>
      <c r="AI362" s="15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</row>
    <row r="363" spans="1:62" ht="47.25" customHeight="1" x14ac:dyDescent="0.25">
      <c r="A363" s="84" t="s">
        <v>42</v>
      </c>
      <c r="B363" s="13">
        <f>B364+B365+B367+B368</f>
        <v>3161224.2899999996</v>
      </c>
      <c r="C363" s="13">
        <f>C364+C365+C367+C368-0.1</f>
        <v>2620974.6999999997</v>
      </c>
      <c r="D363" s="13">
        <f>D364+D365+D367+D368</f>
        <v>2514609.6399999997</v>
      </c>
      <c r="E363" s="13">
        <f>E364+E365+E367+E368</f>
        <v>2514609.6399999997</v>
      </c>
      <c r="F363" s="26">
        <f>E363/B363*100</f>
        <v>79.545435860231223</v>
      </c>
      <c r="G363" s="26">
        <f>E363/C363*100</f>
        <v>95.941774638267205</v>
      </c>
      <c r="H363" s="13">
        <f>H364+H365+H367+H368</f>
        <v>202781.90000000002</v>
      </c>
      <c r="I363" s="13">
        <f t="shared" ref="I363:AE363" si="169">I364+I365+I367+I368</f>
        <v>195877.69999999998</v>
      </c>
      <c r="J363" s="13">
        <f t="shared" si="169"/>
        <v>280589.7</v>
      </c>
      <c r="K363" s="13">
        <f t="shared" si="169"/>
        <v>266502.09999999998</v>
      </c>
      <c r="L363" s="13">
        <f t="shared" si="169"/>
        <v>255247</v>
      </c>
      <c r="M363" s="13">
        <f t="shared" si="169"/>
        <v>236109.8</v>
      </c>
      <c r="N363" s="13">
        <f t="shared" si="169"/>
        <v>259190.49999999997</v>
      </c>
      <c r="O363" s="13">
        <f t="shared" si="169"/>
        <v>256505.69999999998</v>
      </c>
      <c r="P363" s="13">
        <f t="shared" si="169"/>
        <v>457684.4</v>
      </c>
      <c r="Q363" s="13">
        <f t="shared" si="169"/>
        <v>451994.5</v>
      </c>
      <c r="R363" s="13">
        <f t="shared" si="169"/>
        <v>253094.40000000002</v>
      </c>
      <c r="S363" s="13">
        <f t="shared" si="169"/>
        <v>230011.8</v>
      </c>
      <c r="T363" s="13">
        <f t="shared" si="169"/>
        <v>222113.40000000002</v>
      </c>
      <c r="U363" s="13">
        <f t="shared" si="169"/>
        <v>232556.30000000002</v>
      </c>
      <c r="V363" s="13">
        <f t="shared" si="169"/>
        <v>122629.8</v>
      </c>
      <c r="W363" s="13">
        <f t="shared" si="169"/>
        <v>124394.80000000002</v>
      </c>
      <c r="X363" s="13">
        <f t="shared" si="169"/>
        <v>184707.59999999998</v>
      </c>
      <c r="Y363" s="13">
        <f t="shared" si="169"/>
        <v>190514.80000000002</v>
      </c>
      <c r="Z363" s="13">
        <f t="shared" si="169"/>
        <v>191210.40000000002</v>
      </c>
      <c r="AA363" s="13">
        <f t="shared" si="169"/>
        <v>196749.24</v>
      </c>
      <c r="AB363" s="13">
        <f t="shared" si="169"/>
        <v>196520.9</v>
      </c>
      <c r="AC363" s="13">
        <f t="shared" si="169"/>
        <v>133509.79999999999</v>
      </c>
      <c r="AD363" s="13">
        <f t="shared" si="169"/>
        <v>535454.29</v>
      </c>
      <c r="AE363" s="13">
        <f t="shared" si="169"/>
        <v>0</v>
      </c>
      <c r="AF363" s="36"/>
      <c r="AG363" s="15"/>
      <c r="AH363" s="15"/>
      <c r="AI363" s="15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</row>
    <row r="364" spans="1:62" ht="18.75" x14ac:dyDescent="0.3">
      <c r="A364" s="19" t="s">
        <v>26</v>
      </c>
      <c r="B364" s="13">
        <f t="shared" ref="B364:E365" si="170">B346+B239+B125</f>
        <v>2296527.8899999997</v>
      </c>
      <c r="C364" s="13">
        <f t="shared" si="170"/>
        <v>1841878.1</v>
      </c>
      <c r="D364" s="13">
        <f t="shared" si="170"/>
        <v>1778755.9</v>
      </c>
      <c r="E364" s="13">
        <f t="shared" si="170"/>
        <v>1778755.9</v>
      </c>
      <c r="F364" s="26">
        <f>E364/B364*100</f>
        <v>77.454138821714906</v>
      </c>
      <c r="G364" s="26">
        <f>E364/C364*100</f>
        <v>96.572943670919358</v>
      </c>
      <c r="H364" s="13">
        <f t="shared" ref="H364:AE365" si="171">H346+H239+H125</f>
        <v>117065.8</v>
      </c>
      <c r="I364" s="13">
        <f t="shared" si="171"/>
        <v>113708.59999999999</v>
      </c>
      <c r="J364" s="13">
        <f t="shared" si="171"/>
        <v>195327</v>
      </c>
      <c r="K364" s="13">
        <f t="shared" si="171"/>
        <v>186867.3</v>
      </c>
      <c r="L364" s="13">
        <f t="shared" si="171"/>
        <v>174431</v>
      </c>
      <c r="M364" s="13">
        <f t="shared" si="171"/>
        <v>162257.59999999998</v>
      </c>
      <c r="N364" s="13">
        <f t="shared" si="171"/>
        <v>177882.19999999998</v>
      </c>
      <c r="O364" s="13">
        <f t="shared" si="171"/>
        <v>178135.69999999998</v>
      </c>
      <c r="P364" s="13">
        <f t="shared" si="171"/>
        <v>374838.5</v>
      </c>
      <c r="Q364" s="13">
        <f t="shared" si="171"/>
        <v>374915.8</v>
      </c>
      <c r="R364" s="13">
        <f t="shared" si="171"/>
        <v>180368.6</v>
      </c>
      <c r="S364" s="13">
        <f t="shared" si="171"/>
        <v>171200.09999999998</v>
      </c>
      <c r="T364" s="13">
        <f t="shared" si="171"/>
        <v>125868.6</v>
      </c>
      <c r="U364" s="13">
        <f t="shared" si="171"/>
        <v>127255.50000000001</v>
      </c>
      <c r="V364" s="13">
        <f t="shared" si="171"/>
        <v>84072.7</v>
      </c>
      <c r="W364" s="13">
        <f t="shared" si="171"/>
        <v>88142.7</v>
      </c>
      <c r="X364" s="13">
        <f t="shared" si="171"/>
        <v>139668.9</v>
      </c>
      <c r="Y364" s="13">
        <f t="shared" si="171"/>
        <v>133670.39999999999</v>
      </c>
      <c r="Z364" s="13">
        <f t="shared" si="171"/>
        <v>129449.5</v>
      </c>
      <c r="AA364" s="13">
        <f t="shared" si="171"/>
        <v>135660.70000000001</v>
      </c>
      <c r="AB364" s="13">
        <f t="shared" si="171"/>
        <v>142905.29999999999</v>
      </c>
      <c r="AC364" s="13">
        <f t="shared" si="171"/>
        <v>106941.49999999999</v>
      </c>
      <c r="AD364" s="13">
        <f t="shared" si="171"/>
        <v>454649.79000000004</v>
      </c>
      <c r="AE364" s="13">
        <f t="shared" si="171"/>
        <v>0</v>
      </c>
      <c r="AF364" s="36"/>
      <c r="AG364" s="15"/>
      <c r="AH364" s="15"/>
      <c r="AI364" s="15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</row>
    <row r="365" spans="1:62" ht="18.75" x14ac:dyDescent="0.3">
      <c r="A365" s="19" t="s">
        <v>27</v>
      </c>
      <c r="B365" s="13">
        <f t="shared" si="170"/>
        <v>760096.00000000012</v>
      </c>
      <c r="C365" s="13">
        <f t="shared" si="170"/>
        <v>683691.2</v>
      </c>
      <c r="D365" s="13">
        <f t="shared" si="170"/>
        <v>643861.64</v>
      </c>
      <c r="E365" s="13">
        <f t="shared" si="170"/>
        <v>643861.64</v>
      </c>
      <c r="F365" s="26">
        <f>E365/B365*100</f>
        <v>84.707936892182033</v>
      </c>
      <c r="G365" s="26">
        <f>E365/C365*100</f>
        <v>94.174334845907055</v>
      </c>
      <c r="H365" s="13">
        <f t="shared" si="171"/>
        <v>80052.399999999994</v>
      </c>
      <c r="I365" s="13">
        <f t="shared" si="171"/>
        <v>77686.3</v>
      </c>
      <c r="J365" s="13">
        <f t="shared" si="171"/>
        <v>78203.7</v>
      </c>
      <c r="K365" s="13">
        <f t="shared" si="171"/>
        <v>74668.700000000012</v>
      </c>
      <c r="L365" s="13">
        <f t="shared" si="171"/>
        <v>68198.3</v>
      </c>
      <c r="M365" s="13">
        <f t="shared" si="171"/>
        <v>62627.200000000004</v>
      </c>
      <c r="N365" s="13">
        <f t="shared" si="171"/>
        <v>66962</v>
      </c>
      <c r="O365" s="13">
        <f t="shared" si="171"/>
        <v>72098.400000000009</v>
      </c>
      <c r="P365" s="13">
        <f t="shared" si="171"/>
        <v>67571.400000000009</v>
      </c>
      <c r="Q365" s="13">
        <f t="shared" si="171"/>
        <v>67661.900000000009</v>
      </c>
      <c r="R365" s="13">
        <f t="shared" si="171"/>
        <v>58647.8</v>
      </c>
      <c r="S365" s="13">
        <f t="shared" si="171"/>
        <v>51665.2</v>
      </c>
      <c r="T365" s="13">
        <f t="shared" si="171"/>
        <v>95240.200000000012</v>
      </c>
      <c r="U365" s="13">
        <f t="shared" si="171"/>
        <v>93094.199999999983</v>
      </c>
      <c r="V365" s="13">
        <f t="shared" si="171"/>
        <v>36472.5</v>
      </c>
      <c r="W365" s="13">
        <f t="shared" si="171"/>
        <v>34614.400000000001</v>
      </c>
      <c r="X365" s="13">
        <f t="shared" si="171"/>
        <v>38966.699999999997</v>
      </c>
      <c r="Y365" s="13">
        <f t="shared" si="171"/>
        <v>43589.599999999999</v>
      </c>
      <c r="Z365" s="13">
        <f t="shared" si="171"/>
        <v>50221.900000000009</v>
      </c>
      <c r="AA365" s="13">
        <f t="shared" si="171"/>
        <v>50447.74</v>
      </c>
      <c r="AB365" s="13">
        <f t="shared" si="171"/>
        <v>43180.5</v>
      </c>
      <c r="AC365" s="13">
        <f t="shared" si="171"/>
        <v>15706.899999999998</v>
      </c>
      <c r="AD365" s="13">
        <f t="shared" si="171"/>
        <v>76378.600000000006</v>
      </c>
      <c r="AE365" s="13">
        <f t="shared" si="171"/>
        <v>0</v>
      </c>
      <c r="AF365" s="36"/>
      <c r="AG365" s="15"/>
      <c r="AH365" s="15"/>
      <c r="AI365" s="15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</row>
    <row r="366" spans="1:62" ht="37.5" x14ac:dyDescent="0.3">
      <c r="A366" s="19" t="s">
        <v>30</v>
      </c>
      <c r="B366" s="13">
        <f>B348+B127</f>
        <v>4622.3999999999996</v>
      </c>
      <c r="C366" s="13">
        <f>C348+C127</f>
        <v>4529.8999999999996</v>
      </c>
      <c r="D366" s="13">
        <f>D348+D127</f>
        <v>4343.8</v>
      </c>
      <c r="E366" s="13">
        <f>E348+E127</f>
        <v>4343.8</v>
      </c>
      <c r="F366" s="26">
        <f>E366/B366*100</f>
        <v>93.972827968155087</v>
      </c>
      <c r="G366" s="26">
        <f>E366/C366*100</f>
        <v>95.891741539548349</v>
      </c>
      <c r="H366" s="13">
        <f t="shared" ref="H366:AE366" si="172">H348+H127</f>
        <v>82.7</v>
      </c>
      <c r="I366" s="13">
        <f t="shared" si="172"/>
        <v>33.200000000000003</v>
      </c>
      <c r="J366" s="13">
        <f t="shared" si="172"/>
        <v>157.19999999999999</v>
      </c>
      <c r="K366" s="13">
        <f t="shared" si="172"/>
        <v>59.5</v>
      </c>
      <c r="L366" s="13">
        <f t="shared" si="172"/>
        <v>157.19999999999999</v>
      </c>
      <c r="M366" s="13">
        <f t="shared" si="172"/>
        <v>108.1</v>
      </c>
      <c r="N366" s="13">
        <f t="shared" si="172"/>
        <v>570.59999999999991</v>
      </c>
      <c r="O366" s="13">
        <f t="shared" si="172"/>
        <v>538.79999999999995</v>
      </c>
      <c r="P366" s="13">
        <f t="shared" si="172"/>
        <v>124.1</v>
      </c>
      <c r="Q366" s="13">
        <f t="shared" si="172"/>
        <v>123</v>
      </c>
      <c r="R366" s="13">
        <f t="shared" si="172"/>
        <v>1364.5</v>
      </c>
      <c r="S366" s="13">
        <f t="shared" si="172"/>
        <v>1409.3</v>
      </c>
      <c r="T366" s="13">
        <f t="shared" si="172"/>
        <v>250.2</v>
      </c>
      <c r="U366" s="13">
        <f t="shared" si="172"/>
        <v>250.2</v>
      </c>
      <c r="V366" s="13">
        <f t="shared" si="172"/>
        <v>1168.4000000000001</v>
      </c>
      <c r="W366" s="13">
        <f t="shared" si="172"/>
        <v>981.7</v>
      </c>
      <c r="X366" s="13">
        <f t="shared" si="172"/>
        <v>91</v>
      </c>
      <c r="Y366" s="13">
        <f t="shared" si="172"/>
        <v>89.8</v>
      </c>
      <c r="Z366" s="13">
        <f t="shared" si="172"/>
        <v>423.3</v>
      </c>
      <c r="AA366" s="13">
        <f t="shared" si="172"/>
        <v>301.8</v>
      </c>
      <c r="AB366" s="13">
        <f t="shared" si="172"/>
        <v>140.69999999999999</v>
      </c>
      <c r="AC366" s="13">
        <f t="shared" si="172"/>
        <v>448.4</v>
      </c>
      <c r="AD366" s="13">
        <f t="shared" si="172"/>
        <v>92.500000000000142</v>
      </c>
      <c r="AE366" s="13">
        <f t="shared" si="172"/>
        <v>0</v>
      </c>
      <c r="AF366" s="36"/>
      <c r="AG366" s="15"/>
      <c r="AH366" s="15"/>
      <c r="AI366" s="15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</row>
    <row r="367" spans="1:62" ht="18.75" x14ac:dyDescent="0.3">
      <c r="A367" s="19" t="s">
        <v>28</v>
      </c>
      <c r="B367" s="13">
        <f t="shared" ref="B367:E368" si="173">B349+B241+B128</f>
        <v>70548.600000000006</v>
      </c>
      <c r="C367" s="13">
        <f t="shared" si="173"/>
        <v>63630.700000000004</v>
      </c>
      <c r="D367" s="13">
        <f t="shared" si="173"/>
        <v>60217.3</v>
      </c>
      <c r="E367" s="13">
        <f t="shared" si="173"/>
        <v>60217.3</v>
      </c>
      <c r="F367" s="26">
        <f>E367/B367*100</f>
        <v>85.355768930921371</v>
      </c>
      <c r="G367" s="26">
        <f>E367/C367*100</f>
        <v>94.63560828342294</v>
      </c>
      <c r="H367" s="13">
        <f t="shared" ref="H367:AE368" si="174">H349+H241+H128</f>
        <v>5663.7000000000007</v>
      </c>
      <c r="I367" s="13">
        <f t="shared" si="174"/>
        <v>4482.8</v>
      </c>
      <c r="J367" s="13">
        <f t="shared" si="174"/>
        <v>7059</v>
      </c>
      <c r="K367" s="13">
        <f t="shared" si="174"/>
        <v>4966.1000000000004</v>
      </c>
      <c r="L367" s="13">
        <f t="shared" si="174"/>
        <v>7059</v>
      </c>
      <c r="M367" s="13">
        <f t="shared" si="174"/>
        <v>5666.2999999999993</v>
      </c>
      <c r="N367" s="13">
        <f t="shared" si="174"/>
        <v>7072.3</v>
      </c>
      <c r="O367" s="13">
        <f t="shared" si="174"/>
        <v>6271.6</v>
      </c>
      <c r="P367" s="13">
        <f t="shared" si="174"/>
        <v>9363.1</v>
      </c>
      <c r="Q367" s="13">
        <f t="shared" si="174"/>
        <v>9416.7999999999993</v>
      </c>
      <c r="R367" s="13">
        <f t="shared" si="174"/>
        <v>8284.6</v>
      </c>
      <c r="S367" s="13">
        <f t="shared" si="174"/>
        <v>7028.5</v>
      </c>
      <c r="T367" s="13">
        <f t="shared" si="174"/>
        <v>1004.5999999999999</v>
      </c>
      <c r="U367" s="13">
        <f t="shared" si="174"/>
        <v>3127.4</v>
      </c>
      <c r="V367" s="13">
        <f t="shared" si="174"/>
        <v>1003</v>
      </c>
      <c r="W367" s="13">
        <f t="shared" si="174"/>
        <v>556.1</v>
      </c>
      <c r="X367" s="13">
        <f t="shared" si="174"/>
        <v>5925.2999999999993</v>
      </c>
      <c r="Y367" s="13">
        <f t="shared" si="174"/>
        <v>5083.7000000000007</v>
      </c>
      <c r="Z367" s="13">
        <f t="shared" si="174"/>
        <v>7039</v>
      </c>
      <c r="AA367" s="13">
        <f t="shared" si="174"/>
        <v>6597.9</v>
      </c>
      <c r="AB367" s="13">
        <f t="shared" si="174"/>
        <v>6649.1</v>
      </c>
      <c r="AC367" s="13">
        <f t="shared" si="174"/>
        <v>7138.1</v>
      </c>
      <c r="AD367" s="13">
        <f t="shared" si="174"/>
        <v>4425.8999999999996</v>
      </c>
      <c r="AE367" s="13">
        <f t="shared" si="174"/>
        <v>0</v>
      </c>
      <c r="AF367" s="36"/>
      <c r="AG367" s="15"/>
      <c r="AH367" s="15"/>
      <c r="AI367" s="15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</row>
    <row r="368" spans="1:62" ht="18.75" x14ac:dyDescent="0.3">
      <c r="A368" s="19" t="s">
        <v>29</v>
      </c>
      <c r="B368" s="58">
        <f t="shared" si="173"/>
        <v>34051.800000000003</v>
      </c>
      <c r="C368" s="58">
        <f t="shared" si="173"/>
        <v>31774.800000000003</v>
      </c>
      <c r="D368" s="58">
        <f t="shared" si="173"/>
        <v>31774.800000000003</v>
      </c>
      <c r="E368" s="58">
        <f t="shared" si="173"/>
        <v>31774.800000000003</v>
      </c>
      <c r="F368" s="121">
        <f>IFERROR(E368/B368*100,0)</f>
        <v>93.313128821383899</v>
      </c>
      <c r="G368" s="121">
        <f>IFERROR(E368/C368*100,0)</f>
        <v>100</v>
      </c>
      <c r="H368" s="58">
        <f t="shared" si="174"/>
        <v>0</v>
      </c>
      <c r="I368" s="58">
        <f t="shared" si="174"/>
        <v>0</v>
      </c>
      <c r="J368" s="58">
        <f t="shared" si="174"/>
        <v>0</v>
      </c>
      <c r="K368" s="58">
        <f t="shared" si="174"/>
        <v>0</v>
      </c>
      <c r="L368" s="58">
        <f t="shared" si="174"/>
        <v>5558.7</v>
      </c>
      <c r="M368" s="58">
        <f t="shared" si="174"/>
        <v>5558.7</v>
      </c>
      <c r="N368" s="58">
        <f t="shared" si="174"/>
        <v>7274</v>
      </c>
      <c r="O368" s="58">
        <f t="shared" si="174"/>
        <v>0</v>
      </c>
      <c r="P368" s="58">
        <f t="shared" si="174"/>
        <v>5911.4</v>
      </c>
      <c r="Q368" s="58">
        <f t="shared" si="174"/>
        <v>0</v>
      </c>
      <c r="R368" s="58">
        <f t="shared" si="174"/>
        <v>5793.4</v>
      </c>
      <c r="S368" s="58">
        <f t="shared" si="174"/>
        <v>118</v>
      </c>
      <c r="T368" s="58">
        <f t="shared" si="174"/>
        <v>0</v>
      </c>
      <c r="U368" s="58">
        <f t="shared" si="174"/>
        <v>9079.2000000000007</v>
      </c>
      <c r="V368" s="58">
        <f t="shared" si="174"/>
        <v>1081.5999999999999</v>
      </c>
      <c r="W368" s="58">
        <f t="shared" si="174"/>
        <v>1081.5999999999999</v>
      </c>
      <c r="X368" s="58">
        <f t="shared" si="174"/>
        <v>146.70000000000073</v>
      </c>
      <c r="Y368" s="58">
        <f t="shared" si="174"/>
        <v>8171.1</v>
      </c>
      <c r="Z368" s="58">
        <f t="shared" si="174"/>
        <v>4500</v>
      </c>
      <c r="AA368" s="58">
        <f t="shared" si="174"/>
        <v>4042.9</v>
      </c>
      <c r="AB368" s="58">
        <f t="shared" si="174"/>
        <v>3786</v>
      </c>
      <c r="AC368" s="58">
        <f t="shared" si="174"/>
        <v>3723.3</v>
      </c>
      <c r="AD368" s="58">
        <f t="shared" si="174"/>
        <v>0</v>
      </c>
      <c r="AE368" s="58">
        <f t="shared" si="174"/>
        <v>0</v>
      </c>
      <c r="AF368" s="36"/>
      <c r="AG368" s="15"/>
      <c r="AH368" s="15"/>
      <c r="AI368" s="15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</row>
    <row r="369" spans="1:62" ht="56.25" x14ac:dyDescent="0.3">
      <c r="A369" s="106" t="s">
        <v>130</v>
      </c>
      <c r="B369" s="104"/>
      <c r="C369" s="104"/>
      <c r="D369" s="104"/>
      <c r="E369" s="104"/>
      <c r="F369" s="114"/>
      <c r="G369" s="11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43"/>
      <c r="AG369" s="15"/>
      <c r="AH369" s="15"/>
      <c r="AI369" s="15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</row>
    <row r="370" spans="1:62" ht="18.75" x14ac:dyDescent="0.3">
      <c r="A370" s="106" t="s">
        <v>119</v>
      </c>
      <c r="B370" s="104">
        <f>B371+B372+B373+B374</f>
        <v>378866.58999999997</v>
      </c>
      <c r="C370" s="104">
        <f>C371+C372+C373+C374</f>
        <v>85719.5</v>
      </c>
      <c r="D370" s="104">
        <f>D371+D372+D373+D374</f>
        <v>55209.74</v>
      </c>
      <c r="E370" s="104">
        <f>E371+E372+E373+E374</f>
        <v>55209.739999999991</v>
      </c>
      <c r="F370" s="104">
        <f>IFERROR(E370/B370*100,0)</f>
        <v>14.572343262043768</v>
      </c>
      <c r="G370" s="104">
        <f>IFERROR(E370/C370*100,0)</f>
        <v>64.407445213749483</v>
      </c>
      <c r="H370" s="104">
        <f>H371+H372+H373+H374</f>
        <v>6233.9</v>
      </c>
      <c r="I370" s="104">
        <f t="shared" ref="I370:AE370" si="175">I371+I372+I373+I374</f>
        <v>6233.9</v>
      </c>
      <c r="J370" s="104">
        <f t="shared" si="175"/>
        <v>6328.9</v>
      </c>
      <c r="K370" s="104">
        <f t="shared" si="175"/>
        <v>5327.3</v>
      </c>
      <c r="L370" s="104">
        <f t="shared" si="175"/>
        <v>6340.5999999999995</v>
      </c>
      <c r="M370" s="104">
        <f t="shared" si="175"/>
        <v>6651.3</v>
      </c>
      <c r="N370" s="104">
        <f t="shared" si="175"/>
        <v>6234.9</v>
      </c>
      <c r="O370" s="104">
        <f t="shared" si="175"/>
        <v>6234.9</v>
      </c>
      <c r="P370" s="104">
        <f t="shared" si="175"/>
        <v>6262.9</v>
      </c>
      <c r="Q370" s="104">
        <f t="shared" si="175"/>
        <v>6727</v>
      </c>
      <c r="R370" s="104">
        <f t="shared" si="175"/>
        <v>1300</v>
      </c>
      <c r="S370" s="104">
        <f t="shared" si="175"/>
        <v>1526.8</v>
      </c>
      <c r="T370" s="104">
        <f t="shared" si="175"/>
        <v>4013.6</v>
      </c>
      <c r="U370" s="104">
        <f t="shared" si="175"/>
        <v>4013.6</v>
      </c>
      <c r="V370" s="104">
        <f t="shared" si="175"/>
        <v>2113.4</v>
      </c>
      <c r="W370" s="104">
        <f t="shared" si="175"/>
        <v>2013.4</v>
      </c>
      <c r="X370" s="104">
        <f t="shared" si="175"/>
        <v>20428.8</v>
      </c>
      <c r="Y370" s="104">
        <f t="shared" si="175"/>
        <v>6332</v>
      </c>
      <c r="Z370" s="104">
        <f t="shared" si="175"/>
        <v>6237.2999999999993</v>
      </c>
      <c r="AA370" s="104">
        <f t="shared" si="175"/>
        <v>6231.84</v>
      </c>
      <c r="AB370" s="104">
        <f t="shared" si="175"/>
        <v>20227.199999999997</v>
      </c>
      <c r="AC370" s="104">
        <f t="shared" si="175"/>
        <v>3917.7</v>
      </c>
      <c r="AD370" s="104">
        <f t="shared" si="175"/>
        <v>293145.09000000003</v>
      </c>
      <c r="AE370" s="104">
        <f t="shared" si="175"/>
        <v>0</v>
      </c>
      <c r="AF370" s="43"/>
      <c r="AG370" s="15"/>
      <c r="AH370" s="15"/>
      <c r="AI370" s="15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</row>
    <row r="371" spans="1:62" ht="18.75" x14ac:dyDescent="0.3">
      <c r="A371" s="106" t="s">
        <v>28</v>
      </c>
      <c r="B371" s="98">
        <f t="shared" ref="B371:E374" si="176">SUM(B133,B245,B353)</f>
        <v>0</v>
      </c>
      <c r="C371" s="98">
        <f t="shared" si="176"/>
        <v>0</v>
      </c>
      <c r="D371" s="98">
        <f t="shared" si="176"/>
        <v>0</v>
      </c>
      <c r="E371" s="98">
        <f t="shared" si="176"/>
        <v>0</v>
      </c>
      <c r="F371" s="120">
        <f>IFERROR(E371/B371*100,0)</f>
        <v>0</v>
      </c>
      <c r="G371" s="120">
        <f>IFERROR(E371/C371*100,0)</f>
        <v>0</v>
      </c>
      <c r="H371" s="98">
        <f>SUM(H133,H245,H353)</f>
        <v>0</v>
      </c>
      <c r="I371" s="98">
        <f t="shared" ref="I371:AE374" si="177">SUM(I133,I245,I353)</f>
        <v>0</v>
      </c>
      <c r="J371" s="98">
        <f t="shared" si="177"/>
        <v>0</v>
      </c>
      <c r="K371" s="98">
        <f t="shared" si="177"/>
        <v>0</v>
      </c>
      <c r="L371" s="98">
        <f t="shared" si="177"/>
        <v>0</v>
      </c>
      <c r="M371" s="98">
        <f t="shared" si="177"/>
        <v>0</v>
      </c>
      <c r="N371" s="98">
        <f t="shared" si="177"/>
        <v>0</v>
      </c>
      <c r="O371" s="98">
        <f t="shared" si="177"/>
        <v>0</v>
      </c>
      <c r="P371" s="98">
        <f t="shared" si="177"/>
        <v>0</v>
      </c>
      <c r="Q371" s="98">
        <f t="shared" si="177"/>
        <v>0</v>
      </c>
      <c r="R371" s="98">
        <f t="shared" si="177"/>
        <v>0</v>
      </c>
      <c r="S371" s="98">
        <f t="shared" si="177"/>
        <v>0</v>
      </c>
      <c r="T371" s="98">
        <f t="shared" si="177"/>
        <v>0</v>
      </c>
      <c r="U371" s="98">
        <f t="shared" si="177"/>
        <v>0</v>
      </c>
      <c r="V371" s="98">
        <f t="shared" si="177"/>
        <v>0</v>
      </c>
      <c r="W371" s="98">
        <f t="shared" si="177"/>
        <v>0</v>
      </c>
      <c r="X371" s="98">
        <f t="shared" si="177"/>
        <v>0</v>
      </c>
      <c r="Y371" s="98">
        <f t="shared" si="177"/>
        <v>0</v>
      </c>
      <c r="Z371" s="98">
        <f t="shared" si="177"/>
        <v>0</v>
      </c>
      <c r="AA371" s="98">
        <f t="shared" si="177"/>
        <v>0</v>
      </c>
      <c r="AB371" s="98">
        <f t="shared" si="177"/>
        <v>0</v>
      </c>
      <c r="AC371" s="98">
        <f t="shared" si="177"/>
        <v>0</v>
      </c>
      <c r="AD371" s="98">
        <f t="shared" si="177"/>
        <v>0</v>
      </c>
      <c r="AE371" s="98">
        <f t="shared" si="177"/>
        <v>0</v>
      </c>
      <c r="AF371" s="43"/>
      <c r="AG371" s="15"/>
      <c r="AH371" s="15"/>
      <c r="AI371" s="15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</row>
    <row r="372" spans="1:62" ht="18.75" x14ac:dyDescent="0.3">
      <c r="A372" s="106" t="s">
        <v>26</v>
      </c>
      <c r="B372" s="98">
        <f t="shared" si="176"/>
        <v>282729.08999999997</v>
      </c>
      <c r="C372" s="98">
        <f t="shared" si="176"/>
        <v>24694.399999999998</v>
      </c>
      <c r="D372" s="98">
        <f t="shared" si="176"/>
        <v>1564.3</v>
      </c>
      <c r="E372" s="98">
        <f t="shared" si="176"/>
        <v>1564.3</v>
      </c>
      <c r="F372" s="120">
        <f>IFERROR(E372/B372*100,0)</f>
        <v>0.5532858327383291</v>
      </c>
      <c r="G372" s="120">
        <f>IFERROR(E372/C372*100,0)</f>
        <v>6.3346345730206046</v>
      </c>
      <c r="H372" s="98">
        <f>SUM(H134,H246,H354)</f>
        <v>0</v>
      </c>
      <c r="I372" s="98">
        <f t="shared" si="177"/>
        <v>0</v>
      </c>
      <c r="J372" s="98">
        <f t="shared" si="177"/>
        <v>0</v>
      </c>
      <c r="K372" s="98">
        <f t="shared" si="177"/>
        <v>0</v>
      </c>
      <c r="L372" s="98">
        <f t="shared" si="177"/>
        <v>0</v>
      </c>
      <c r="M372" s="98">
        <f t="shared" si="177"/>
        <v>0</v>
      </c>
      <c r="N372" s="98">
        <f t="shared" si="177"/>
        <v>0</v>
      </c>
      <c r="O372" s="98">
        <f t="shared" si="177"/>
        <v>0</v>
      </c>
      <c r="P372" s="98">
        <f t="shared" si="177"/>
        <v>0</v>
      </c>
      <c r="Q372" s="98">
        <f t="shared" si="177"/>
        <v>0</v>
      </c>
      <c r="R372" s="98">
        <f t="shared" si="177"/>
        <v>0</v>
      </c>
      <c r="S372" s="98">
        <f t="shared" si="177"/>
        <v>0</v>
      </c>
      <c r="T372" s="98">
        <f t="shared" si="177"/>
        <v>158.30000000000001</v>
      </c>
      <c r="U372" s="98">
        <f t="shared" si="177"/>
        <v>158.30000000000001</v>
      </c>
      <c r="V372" s="98">
        <f t="shared" si="177"/>
        <v>1406</v>
      </c>
      <c r="W372" s="98">
        <f t="shared" si="177"/>
        <v>1406</v>
      </c>
      <c r="X372" s="98">
        <f t="shared" si="177"/>
        <v>12777.1</v>
      </c>
      <c r="Y372" s="98">
        <f t="shared" si="177"/>
        <v>0</v>
      </c>
      <c r="Z372" s="98">
        <f t="shared" si="177"/>
        <v>0</v>
      </c>
      <c r="AA372" s="98">
        <f t="shared" si="177"/>
        <v>0</v>
      </c>
      <c r="AB372" s="98">
        <f t="shared" si="177"/>
        <v>10353</v>
      </c>
      <c r="AC372" s="98">
        <f t="shared" si="177"/>
        <v>0</v>
      </c>
      <c r="AD372" s="98">
        <f t="shared" si="177"/>
        <v>258034.69</v>
      </c>
      <c r="AE372" s="98">
        <f t="shared" si="177"/>
        <v>0</v>
      </c>
      <c r="AF372" s="43"/>
      <c r="AG372" s="15"/>
      <c r="AH372" s="15"/>
      <c r="AI372" s="15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</row>
    <row r="373" spans="1:62" ht="18.75" x14ac:dyDescent="0.3">
      <c r="A373" s="106" t="s">
        <v>27</v>
      </c>
      <c r="B373" s="98">
        <f t="shared" si="176"/>
        <v>96137.5</v>
      </c>
      <c r="C373" s="98">
        <f t="shared" si="176"/>
        <v>61025.1</v>
      </c>
      <c r="D373" s="98">
        <f t="shared" si="176"/>
        <v>53645.439999999995</v>
      </c>
      <c r="E373" s="98">
        <f t="shared" si="176"/>
        <v>53645.439999999988</v>
      </c>
      <c r="F373" s="120">
        <f>IFERROR(E373/B373*100,0)</f>
        <v>55.800743726433474</v>
      </c>
      <c r="G373" s="120">
        <f>IFERROR(E373/C373*100,0)</f>
        <v>87.907172622412716</v>
      </c>
      <c r="H373" s="98">
        <f>SUM(H135,H247,H355)</f>
        <v>6233.9</v>
      </c>
      <c r="I373" s="98">
        <f t="shared" si="177"/>
        <v>6233.9</v>
      </c>
      <c r="J373" s="98">
        <f t="shared" si="177"/>
        <v>6328.9</v>
      </c>
      <c r="K373" s="98">
        <f t="shared" si="177"/>
        <v>5327.3</v>
      </c>
      <c r="L373" s="98">
        <f t="shared" si="177"/>
        <v>6340.5999999999995</v>
      </c>
      <c r="M373" s="98">
        <f t="shared" si="177"/>
        <v>6651.3</v>
      </c>
      <c r="N373" s="98">
        <f t="shared" si="177"/>
        <v>6234.9</v>
      </c>
      <c r="O373" s="98">
        <f t="shared" si="177"/>
        <v>6234.9</v>
      </c>
      <c r="P373" s="98">
        <f t="shared" si="177"/>
        <v>6262.9</v>
      </c>
      <c r="Q373" s="98">
        <f t="shared" si="177"/>
        <v>6727</v>
      </c>
      <c r="R373" s="98">
        <f t="shared" si="177"/>
        <v>1300</v>
      </c>
      <c r="S373" s="98">
        <f t="shared" si="177"/>
        <v>1526.8</v>
      </c>
      <c r="T373" s="98">
        <f t="shared" si="177"/>
        <v>3855.2999999999997</v>
      </c>
      <c r="U373" s="98">
        <f t="shared" si="177"/>
        <v>3855.2999999999997</v>
      </c>
      <c r="V373" s="98">
        <f t="shared" si="177"/>
        <v>707.4</v>
      </c>
      <c r="W373" s="98">
        <f t="shared" si="177"/>
        <v>607.4</v>
      </c>
      <c r="X373" s="98">
        <f t="shared" si="177"/>
        <v>7651.7</v>
      </c>
      <c r="Y373" s="98">
        <f t="shared" si="177"/>
        <v>6332</v>
      </c>
      <c r="Z373" s="98">
        <f t="shared" si="177"/>
        <v>6237.2999999999993</v>
      </c>
      <c r="AA373" s="98">
        <f t="shared" si="177"/>
        <v>6231.84</v>
      </c>
      <c r="AB373" s="98">
        <f t="shared" si="177"/>
        <v>9874.1999999999989</v>
      </c>
      <c r="AC373" s="98">
        <f t="shared" si="177"/>
        <v>3917.7</v>
      </c>
      <c r="AD373" s="98">
        <f t="shared" si="177"/>
        <v>35110.400000000001</v>
      </c>
      <c r="AE373" s="98">
        <f t="shared" si="177"/>
        <v>0</v>
      </c>
      <c r="AF373" s="43"/>
      <c r="AG373" s="15"/>
      <c r="AH373" s="15"/>
      <c r="AI373" s="15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</row>
    <row r="374" spans="1:62" ht="18.75" x14ac:dyDescent="0.3">
      <c r="A374" s="106" t="s">
        <v>120</v>
      </c>
      <c r="B374" s="98">
        <f t="shared" si="176"/>
        <v>0</v>
      </c>
      <c r="C374" s="98">
        <f t="shared" si="176"/>
        <v>0</v>
      </c>
      <c r="D374" s="98">
        <f t="shared" si="176"/>
        <v>0</v>
      </c>
      <c r="E374" s="98">
        <f t="shared" si="176"/>
        <v>0</v>
      </c>
      <c r="F374" s="120">
        <f>IFERROR(E374/B374*100,0)</f>
        <v>0</v>
      </c>
      <c r="G374" s="120">
        <f>IFERROR(E374/C374*100,0)</f>
        <v>0</v>
      </c>
      <c r="H374" s="98">
        <f>SUM(H136,H248,H356)</f>
        <v>0</v>
      </c>
      <c r="I374" s="98">
        <f t="shared" si="177"/>
        <v>0</v>
      </c>
      <c r="J374" s="98">
        <f t="shared" si="177"/>
        <v>0</v>
      </c>
      <c r="K374" s="98">
        <f t="shared" si="177"/>
        <v>0</v>
      </c>
      <c r="L374" s="98">
        <f t="shared" si="177"/>
        <v>0</v>
      </c>
      <c r="M374" s="98">
        <f t="shared" si="177"/>
        <v>0</v>
      </c>
      <c r="N374" s="98">
        <f t="shared" si="177"/>
        <v>0</v>
      </c>
      <c r="O374" s="98">
        <f t="shared" si="177"/>
        <v>0</v>
      </c>
      <c r="P374" s="98">
        <f t="shared" si="177"/>
        <v>0</v>
      </c>
      <c r="Q374" s="98">
        <f t="shared" si="177"/>
        <v>0</v>
      </c>
      <c r="R374" s="98">
        <f t="shared" si="177"/>
        <v>0</v>
      </c>
      <c r="S374" s="98">
        <f t="shared" si="177"/>
        <v>0</v>
      </c>
      <c r="T374" s="98">
        <f t="shared" si="177"/>
        <v>0</v>
      </c>
      <c r="U374" s="98">
        <f t="shared" si="177"/>
        <v>0</v>
      </c>
      <c r="V374" s="98">
        <f t="shared" si="177"/>
        <v>0</v>
      </c>
      <c r="W374" s="98">
        <f t="shared" si="177"/>
        <v>0</v>
      </c>
      <c r="X374" s="98">
        <f t="shared" si="177"/>
        <v>0</v>
      </c>
      <c r="Y374" s="98">
        <f t="shared" si="177"/>
        <v>0</v>
      </c>
      <c r="Z374" s="98">
        <f t="shared" si="177"/>
        <v>0</v>
      </c>
      <c r="AA374" s="98">
        <f t="shared" si="177"/>
        <v>0</v>
      </c>
      <c r="AB374" s="98">
        <f t="shared" si="177"/>
        <v>0</v>
      </c>
      <c r="AC374" s="98">
        <f t="shared" si="177"/>
        <v>0</v>
      </c>
      <c r="AD374" s="98">
        <f t="shared" si="177"/>
        <v>0</v>
      </c>
      <c r="AE374" s="98">
        <f t="shared" si="177"/>
        <v>0</v>
      </c>
      <c r="AF374" s="43"/>
      <c r="AG374" s="15"/>
      <c r="AH374" s="15"/>
      <c r="AI374" s="15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</row>
    <row r="375" spans="1:62" ht="31.5" customHeight="1" x14ac:dyDescent="0.35">
      <c r="A375" s="115" t="s">
        <v>131</v>
      </c>
      <c r="B375" s="104"/>
      <c r="C375" s="104"/>
      <c r="D375" s="104"/>
      <c r="E375" s="104"/>
      <c r="F375" s="114"/>
      <c r="G375" s="11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43"/>
      <c r="AG375" s="15"/>
      <c r="AH375" s="15"/>
      <c r="AI375" s="15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</row>
    <row r="376" spans="1:62" ht="18.75" x14ac:dyDescent="0.3">
      <c r="A376" s="106" t="s">
        <v>119</v>
      </c>
      <c r="B376" s="104">
        <f>B377+B378+B379+B380</f>
        <v>0</v>
      </c>
      <c r="C376" s="104">
        <f>C377+C378+C379+C380</f>
        <v>0</v>
      </c>
      <c r="D376" s="104">
        <f>D377+D378+D379+D380</f>
        <v>0</v>
      </c>
      <c r="E376" s="104">
        <f>E377+E378+E379+E380</f>
        <v>0</v>
      </c>
      <c r="F376" s="104">
        <f>IFERROR(E376/B376*100,0)</f>
        <v>0</v>
      </c>
      <c r="G376" s="104">
        <f>IFERROR(E376/C376*100,0)</f>
        <v>0</v>
      </c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43"/>
      <c r="AG376" s="15"/>
      <c r="AH376" s="15"/>
      <c r="AI376" s="15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</row>
    <row r="377" spans="1:62" ht="18.75" x14ac:dyDescent="0.3">
      <c r="A377" s="106" t="s">
        <v>28</v>
      </c>
      <c r="B377" s="98"/>
      <c r="C377" s="98"/>
      <c r="D377" s="98"/>
      <c r="E377" s="98"/>
      <c r="F377" s="120">
        <f>IFERROR(E377/B377*100,0)</f>
        <v>0</v>
      </c>
      <c r="G377" s="120">
        <f>IFERROR(E377/C377*100,0)</f>
        <v>0</v>
      </c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  <c r="AD377" s="98"/>
      <c r="AE377" s="98"/>
      <c r="AF377" s="43"/>
      <c r="AG377" s="15"/>
      <c r="AH377" s="15"/>
      <c r="AI377" s="15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</row>
    <row r="378" spans="1:62" ht="18.75" x14ac:dyDescent="0.3">
      <c r="A378" s="106" t="s">
        <v>26</v>
      </c>
      <c r="B378" s="98"/>
      <c r="C378" s="98"/>
      <c r="D378" s="98"/>
      <c r="E378" s="98"/>
      <c r="F378" s="120">
        <f>IFERROR(E378/B378*100,0)</f>
        <v>0</v>
      </c>
      <c r="G378" s="120">
        <f>IFERROR(E378/C378*100,0)</f>
        <v>0</v>
      </c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  <c r="AD378" s="98"/>
      <c r="AE378" s="98"/>
      <c r="AF378" s="43"/>
      <c r="AG378" s="15"/>
      <c r="AH378" s="15"/>
      <c r="AI378" s="15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</row>
    <row r="379" spans="1:62" ht="18.75" x14ac:dyDescent="0.3">
      <c r="A379" s="106" t="s">
        <v>27</v>
      </c>
      <c r="B379" s="98"/>
      <c r="C379" s="98"/>
      <c r="D379" s="98"/>
      <c r="E379" s="98"/>
      <c r="F379" s="120">
        <f>IFERROR(E379/B379*100,0)</f>
        <v>0</v>
      </c>
      <c r="G379" s="120">
        <f>IFERROR(E379/C379*100,0)</f>
        <v>0</v>
      </c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F379" s="43"/>
      <c r="AG379" s="15"/>
      <c r="AH379" s="15"/>
      <c r="AI379" s="15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</row>
    <row r="380" spans="1:62" ht="18.75" x14ac:dyDescent="0.3">
      <c r="A380" s="106" t="s">
        <v>120</v>
      </c>
      <c r="B380" s="98"/>
      <c r="C380" s="98"/>
      <c r="D380" s="98"/>
      <c r="E380" s="98"/>
      <c r="F380" s="120">
        <f>IFERROR(E380/B380*100,0)</f>
        <v>0</v>
      </c>
      <c r="G380" s="120">
        <f>IFERROR(E380/C380*100,0)</f>
        <v>0</v>
      </c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  <c r="AD380" s="98"/>
      <c r="AE380" s="98"/>
      <c r="AF380" s="43"/>
      <c r="AG380" s="15"/>
      <c r="AH380" s="15"/>
      <c r="AI380" s="15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</row>
    <row r="381" spans="1:62" ht="31.5" customHeight="1" x14ac:dyDescent="0.35">
      <c r="A381" s="115" t="s">
        <v>132</v>
      </c>
      <c r="B381" s="104"/>
      <c r="C381" s="104"/>
      <c r="D381" s="104"/>
      <c r="E381" s="104"/>
      <c r="F381" s="114"/>
      <c r="G381" s="11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43"/>
      <c r="AG381" s="15"/>
      <c r="AH381" s="15"/>
      <c r="AI381" s="15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</row>
    <row r="382" spans="1:62" ht="18.75" x14ac:dyDescent="0.3">
      <c r="A382" s="106" t="s">
        <v>119</v>
      </c>
      <c r="B382" s="104">
        <f>B383+B384+B385+B386</f>
        <v>0</v>
      </c>
      <c r="C382" s="104">
        <f>C383+C384+C385+C386</f>
        <v>0</v>
      </c>
      <c r="D382" s="104">
        <f>D383+D384+D385+D386</f>
        <v>0</v>
      </c>
      <c r="E382" s="104">
        <f>E383+E384+E385+E386</f>
        <v>0</v>
      </c>
      <c r="F382" s="104">
        <f>IFERROR(E382/B382*100,0)</f>
        <v>0</v>
      </c>
      <c r="G382" s="104">
        <f>IFERROR(E382/C382*100,0)</f>
        <v>0</v>
      </c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43"/>
      <c r="AG382" s="15"/>
      <c r="AH382" s="15"/>
      <c r="AI382" s="15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</row>
    <row r="383" spans="1:62" ht="18.75" x14ac:dyDescent="0.3">
      <c r="A383" s="106" t="s">
        <v>28</v>
      </c>
      <c r="B383" s="98"/>
      <c r="C383" s="98"/>
      <c r="D383" s="98"/>
      <c r="E383" s="98"/>
      <c r="F383" s="120">
        <f>IFERROR(E383/B383*100,0)</f>
        <v>0</v>
      </c>
      <c r="G383" s="120">
        <f>IFERROR(E383/C383*100,0)</f>
        <v>0</v>
      </c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43"/>
      <c r="AG383" s="15"/>
      <c r="AH383" s="15"/>
      <c r="AI383" s="15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</row>
    <row r="384" spans="1:62" ht="18.75" x14ac:dyDescent="0.3">
      <c r="A384" s="106" t="s">
        <v>26</v>
      </c>
      <c r="B384" s="98"/>
      <c r="C384" s="98"/>
      <c r="D384" s="98"/>
      <c r="E384" s="98"/>
      <c r="F384" s="120">
        <f>IFERROR(E384/B384*100,0)</f>
        <v>0</v>
      </c>
      <c r="G384" s="120">
        <f>IFERROR(E384/C384*100,0)</f>
        <v>0</v>
      </c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8"/>
      <c r="AD384" s="98"/>
      <c r="AE384" s="98"/>
      <c r="AF384" s="43"/>
      <c r="AG384" s="15"/>
      <c r="AH384" s="15"/>
      <c r="AI384" s="15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</row>
    <row r="385" spans="1:62" ht="18.75" x14ac:dyDescent="0.3">
      <c r="A385" s="106" t="s">
        <v>27</v>
      </c>
      <c r="B385" s="98"/>
      <c r="C385" s="98"/>
      <c r="D385" s="98"/>
      <c r="E385" s="98"/>
      <c r="F385" s="120">
        <f>IFERROR(E385/B385*100,0)</f>
        <v>0</v>
      </c>
      <c r="G385" s="120">
        <f>IFERROR(E385/C385*100,0)</f>
        <v>0</v>
      </c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  <c r="AD385" s="98"/>
      <c r="AE385" s="98"/>
      <c r="AF385" s="43"/>
      <c r="AG385" s="15"/>
      <c r="AH385" s="15"/>
      <c r="AI385" s="15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</row>
    <row r="386" spans="1:62" ht="18.75" x14ac:dyDescent="0.3">
      <c r="A386" s="106" t="s">
        <v>120</v>
      </c>
      <c r="B386" s="98"/>
      <c r="C386" s="98"/>
      <c r="D386" s="98"/>
      <c r="E386" s="98"/>
      <c r="F386" s="120">
        <f>IFERROR(E386/B386*100,0)</f>
        <v>0</v>
      </c>
      <c r="G386" s="120">
        <f>IFERROR(E386/C386*100,0)</f>
        <v>0</v>
      </c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F386" s="43"/>
      <c r="AG386" s="15"/>
      <c r="AH386" s="15"/>
      <c r="AI386" s="15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</row>
    <row r="387" spans="1:62" ht="56.25" x14ac:dyDescent="0.3">
      <c r="A387" s="107" t="s">
        <v>133</v>
      </c>
      <c r="B387" s="111"/>
      <c r="C387" s="111"/>
      <c r="D387" s="111"/>
      <c r="E387" s="111"/>
      <c r="F387" s="116"/>
      <c r="G387" s="116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  <c r="AA387" s="111"/>
      <c r="AB387" s="111"/>
      <c r="AC387" s="111"/>
      <c r="AD387" s="111"/>
      <c r="AE387" s="111"/>
      <c r="AF387" s="43"/>
      <c r="AG387" s="15"/>
      <c r="AH387" s="15"/>
      <c r="AI387" s="15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</row>
    <row r="388" spans="1:62" ht="18.75" x14ac:dyDescent="0.3">
      <c r="A388" s="107" t="s">
        <v>119</v>
      </c>
      <c r="B388" s="111">
        <f>B389+B390+B391+B392</f>
        <v>3054969.8999999994</v>
      </c>
      <c r="C388" s="111">
        <f>C389+C390+C391+C392</f>
        <v>2789302</v>
      </c>
      <c r="D388" s="111">
        <f>D389+D390+D391+D392</f>
        <v>2688458.8</v>
      </c>
      <c r="E388" s="111">
        <f>E389+E390+E391+E392</f>
        <v>2688458.8</v>
      </c>
      <c r="F388" s="111">
        <f>IFERROR(E388/B388*100,0)</f>
        <v>88.002791778734064</v>
      </c>
      <c r="G388" s="111">
        <f>IFERROR(E388/C388*100,0)</f>
        <v>96.384643900158522</v>
      </c>
      <c r="H388" s="111">
        <f>H389+H390+H391+H392</f>
        <v>216433.5</v>
      </c>
      <c r="I388" s="111">
        <f t="shared" ref="I388:AE388" si="178">I389+I390+I391+I392</f>
        <v>207615.19999999998</v>
      </c>
      <c r="J388" s="111">
        <f t="shared" si="178"/>
        <v>300631.2</v>
      </c>
      <c r="K388" s="111">
        <f t="shared" si="178"/>
        <v>283007</v>
      </c>
      <c r="L388" s="111">
        <f t="shared" si="178"/>
        <v>273844.30000000005</v>
      </c>
      <c r="M388" s="111">
        <f t="shared" si="178"/>
        <v>239340.69999999995</v>
      </c>
      <c r="N388" s="111">
        <f t="shared" si="178"/>
        <v>278809.10000000003</v>
      </c>
      <c r="O388" s="111">
        <f t="shared" si="178"/>
        <v>275768.3</v>
      </c>
      <c r="P388" s="111">
        <f t="shared" si="178"/>
        <v>477496.9</v>
      </c>
      <c r="Q388" s="111">
        <f t="shared" si="178"/>
        <v>472703.3</v>
      </c>
      <c r="R388" s="111">
        <f t="shared" si="178"/>
        <v>273150.09999999998</v>
      </c>
      <c r="S388" s="111">
        <f t="shared" si="178"/>
        <v>247596.9</v>
      </c>
      <c r="T388" s="111">
        <f t="shared" si="178"/>
        <v>252905.60000000003</v>
      </c>
      <c r="U388" s="111">
        <f t="shared" si="178"/>
        <v>261151.30000000002</v>
      </c>
      <c r="V388" s="111">
        <f t="shared" si="178"/>
        <v>129733.9</v>
      </c>
      <c r="W388" s="111">
        <f t="shared" si="178"/>
        <v>133117.30000000002</v>
      </c>
      <c r="X388" s="111">
        <f t="shared" si="178"/>
        <v>181884.2</v>
      </c>
      <c r="Y388" s="111">
        <f t="shared" si="178"/>
        <v>213609.8</v>
      </c>
      <c r="Z388" s="111">
        <f t="shared" si="178"/>
        <v>212020.1</v>
      </c>
      <c r="AA388" s="111">
        <f t="shared" si="178"/>
        <v>215460.7</v>
      </c>
      <c r="AB388" s="111">
        <f t="shared" si="178"/>
        <v>197186.3</v>
      </c>
      <c r="AC388" s="111">
        <f t="shared" si="178"/>
        <v>139203.79999999999</v>
      </c>
      <c r="AD388" s="111">
        <f t="shared" si="178"/>
        <v>260874.7</v>
      </c>
      <c r="AE388" s="111">
        <f t="shared" si="178"/>
        <v>0</v>
      </c>
      <c r="AF388" s="43"/>
      <c r="AG388" s="15"/>
      <c r="AH388" s="15"/>
      <c r="AI388" s="15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</row>
    <row r="389" spans="1:62" ht="18.75" x14ac:dyDescent="0.3">
      <c r="A389" s="107" t="s">
        <v>28</v>
      </c>
      <c r="B389" s="98">
        <f t="shared" ref="B389:E392" si="179">SUM(B139,B165,B251,B359)</f>
        <v>342022.30000000005</v>
      </c>
      <c r="C389" s="98">
        <f t="shared" si="179"/>
        <v>316568.7</v>
      </c>
      <c r="D389" s="98">
        <f t="shared" si="179"/>
        <v>288349.7</v>
      </c>
      <c r="E389" s="98">
        <f t="shared" si="179"/>
        <v>288349.7</v>
      </c>
      <c r="F389" s="120">
        <f>IFERROR(E389/B389*100,0)</f>
        <v>84.307280548665972</v>
      </c>
      <c r="G389" s="120">
        <f>IFERROR(E389/C389*100,0)</f>
        <v>91.08597912554211</v>
      </c>
      <c r="H389" s="98">
        <f>SUM(H139,H165,H251,H359)</f>
        <v>25466.5</v>
      </c>
      <c r="I389" s="98">
        <f t="shared" ref="I389:AE392" si="180">SUM(I139,I165,I251,I359)</f>
        <v>22421</v>
      </c>
      <c r="J389" s="98">
        <f t="shared" si="180"/>
        <v>33272.200000000004</v>
      </c>
      <c r="K389" s="98">
        <f t="shared" si="180"/>
        <v>26738.799999999999</v>
      </c>
      <c r="L389" s="98">
        <f t="shared" si="180"/>
        <v>31839.7</v>
      </c>
      <c r="M389" s="98">
        <f t="shared" si="180"/>
        <v>15440.400000000001</v>
      </c>
      <c r="N389" s="98">
        <f t="shared" si="180"/>
        <v>32768.6</v>
      </c>
      <c r="O389" s="98">
        <f t="shared" si="180"/>
        <v>31643.699999999997</v>
      </c>
      <c r="P389" s="98">
        <f t="shared" si="180"/>
        <v>35314.399999999994</v>
      </c>
      <c r="Q389" s="98">
        <f t="shared" si="180"/>
        <v>36729.599999999999</v>
      </c>
      <c r="R389" s="98">
        <f t="shared" si="180"/>
        <v>29598.9</v>
      </c>
      <c r="S389" s="98">
        <f t="shared" si="180"/>
        <v>26054.199999999997</v>
      </c>
      <c r="T389" s="98">
        <f t="shared" si="180"/>
        <v>35810.400000000001</v>
      </c>
      <c r="U389" s="98">
        <f t="shared" si="180"/>
        <v>35736</v>
      </c>
      <c r="V389" s="98">
        <f t="shared" si="180"/>
        <v>10220.5</v>
      </c>
      <c r="W389" s="98">
        <f t="shared" si="180"/>
        <v>11292</v>
      </c>
      <c r="X389" s="98">
        <f t="shared" si="180"/>
        <v>23439.699999999997</v>
      </c>
      <c r="Y389" s="98">
        <f t="shared" si="180"/>
        <v>34420.9</v>
      </c>
      <c r="Z389" s="98">
        <f t="shared" si="180"/>
        <v>33928.800000000003</v>
      </c>
      <c r="AA389" s="98">
        <f t="shared" si="180"/>
        <v>31373.399999999998</v>
      </c>
      <c r="AB389" s="98">
        <f t="shared" si="180"/>
        <v>27400.999999999996</v>
      </c>
      <c r="AC389" s="98">
        <f t="shared" si="180"/>
        <v>16616.300000000003</v>
      </c>
      <c r="AD389" s="98">
        <f t="shared" si="180"/>
        <v>22961.599999999999</v>
      </c>
      <c r="AE389" s="98">
        <f t="shared" si="180"/>
        <v>0</v>
      </c>
      <c r="AF389" s="43"/>
      <c r="AG389" s="15"/>
      <c r="AH389" s="15"/>
      <c r="AI389" s="15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</row>
    <row r="390" spans="1:62" ht="18.75" x14ac:dyDescent="0.3">
      <c r="A390" s="107" t="s">
        <v>26</v>
      </c>
      <c r="B390" s="98">
        <f t="shared" si="179"/>
        <v>2013798.7999999998</v>
      </c>
      <c r="C390" s="98">
        <f t="shared" si="179"/>
        <v>1817183.7</v>
      </c>
      <c r="D390" s="98">
        <f t="shared" si="179"/>
        <v>1777191.6</v>
      </c>
      <c r="E390" s="98">
        <f t="shared" si="179"/>
        <v>1777191.6</v>
      </c>
      <c r="F390" s="120">
        <f>IFERROR(E390/B390*100,0)</f>
        <v>88.250703099038503</v>
      </c>
      <c r="G390" s="120">
        <f>IFERROR(E390/C390*100,0)</f>
        <v>97.799226352294497</v>
      </c>
      <c r="H390" s="98">
        <f>SUM(H140,H166,H252,H360)</f>
        <v>117065.8</v>
      </c>
      <c r="I390" s="98">
        <f t="shared" si="180"/>
        <v>113708.59999999999</v>
      </c>
      <c r="J390" s="98">
        <f t="shared" si="180"/>
        <v>195327</v>
      </c>
      <c r="K390" s="98">
        <f t="shared" si="180"/>
        <v>186867.3</v>
      </c>
      <c r="L390" s="98">
        <f t="shared" si="180"/>
        <v>174431</v>
      </c>
      <c r="M390" s="98">
        <f t="shared" si="180"/>
        <v>162257.59999999998</v>
      </c>
      <c r="N390" s="98">
        <f t="shared" si="180"/>
        <v>177882.19999999998</v>
      </c>
      <c r="O390" s="98">
        <f t="shared" si="180"/>
        <v>178135.69999999998</v>
      </c>
      <c r="P390" s="98">
        <f t="shared" si="180"/>
        <v>374838.5</v>
      </c>
      <c r="Q390" s="98">
        <f t="shared" si="180"/>
        <v>374915.8</v>
      </c>
      <c r="R390" s="98">
        <f t="shared" si="180"/>
        <v>180368.6</v>
      </c>
      <c r="S390" s="98">
        <f t="shared" si="180"/>
        <v>171200.09999999998</v>
      </c>
      <c r="T390" s="98">
        <f t="shared" si="180"/>
        <v>125710.3</v>
      </c>
      <c r="U390" s="98">
        <f t="shared" si="180"/>
        <v>127097.20000000001</v>
      </c>
      <c r="V390" s="98">
        <f t="shared" si="180"/>
        <v>82666.7</v>
      </c>
      <c r="W390" s="98">
        <f t="shared" si="180"/>
        <v>86736.7</v>
      </c>
      <c r="X390" s="98">
        <f t="shared" si="180"/>
        <v>126891.8</v>
      </c>
      <c r="Y390" s="98">
        <f t="shared" si="180"/>
        <v>133670.39999999999</v>
      </c>
      <c r="Z390" s="98">
        <f t="shared" si="180"/>
        <v>129449.5</v>
      </c>
      <c r="AA390" s="98">
        <f t="shared" si="180"/>
        <v>135660.70000000001</v>
      </c>
      <c r="AB390" s="98">
        <f t="shared" si="180"/>
        <v>132552.29999999999</v>
      </c>
      <c r="AC390" s="98">
        <f t="shared" si="180"/>
        <v>106941.49999999999</v>
      </c>
      <c r="AD390" s="98">
        <f t="shared" si="180"/>
        <v>196615.1</v>
      </c>
      <c r="AE390" s="98">
        <f t="shared" si="180"/>
        <v>0</v>
      </c>
      <c r="AF390" s="43"/>
      <c r="AG390" s="15"/>
      <c r="AH390" s="15"/>
      <c r="AI390" s="15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</row>
    <row r="391" spans="1:62" ht="18.75" x14ac:dyDescent="0.3">
      <c r="A391" s="107" t="s">
        <v>27</v>
      </c>
      <c r="B391" s="98">
        <f t="shared" si="179"/>
        <v>663958.5</v>
      </c>
      <c r="C391" s="98">
        <f t="shared" si="179"/>
        <v>622666.10000000009</v>
      </c>
      <c r="D391" s="98">
        <f t="shared" si="179"/>
        <v>590216.19999999995</v>
      </c>
      <c r="E391" s="98">
        <f t="shared" si="179"/>
        <v>590216.19999999995</v>
      </c>
      <c r="F391" s="120">
        <f>IFERROR(E391/B391*100,0)</f>
        <v>88.893537773821691</v>
      </c>
      <c r="G391" s="120">
        <f>IFERROR(E391/C391*100,0)</f>
        <v>94.78855521442388</v>
      </c>
      <c r="H391" s="98">
        <f>SUM(H141,H167,H253,H361)</f>
        <v>73818.499999999985</v>
      </c>
      <c r="I391" s="98">
        <f t="shared" si="180"/>
        <v>71452.399999999994</v>
      </c>
      <c r="J391" s="98">
        <f t="shared" si="180"/>
        <v>71874.8</v>
      </c>
      <c r="K391" s="98">
        <f t="shared" si="180"/>
        <v>69341.399999999994</v>
      </c>
      <c r="L391" s="98">
        <f t="shared" si="180"/>
        <v>61857.7</v>
      </c>
      <c r="M391" s="98">
        <f t="shared" si="180"/>
        <v>55975.900000000009</v>
      </c>
      <c r="N391" s="98">
        <f t="shared" si="180"/>
        <v>60727.100000000006</v>
      </c>
      <c r="O391" s="98">
        <f t="shared" si="180"/>
        <v>65863.5</v>
      </c>
      <c r="P391" s="98">
        <f t="shared" si="180"/>
        <v>61308.5</v>
      </c>
      <c r="Q391" s="98">
        <f t="shared" si="180"/>
        <v>60934.900000000009</v>
      </c>
      <c r="R391" s="98">
        <f t="shared" si="180"/>
        <v>57347.8</v>
      </c>
      <c r="S391" s="98">
        <f t="shared" si="180"/>
        <v>50138.400000000001</v>
      </c>
      <c r="T391" s="98">
        <f t="shared" si="180"/>
        <v>91384.900000000009</v>
      </c>
      <c r="U391" s="98">
        <f t="shared" si="180"/>
        <v>89238.9</v>
      </c>
      <c r="V391" s="98">
        <f t="shared" si="180"/>
        <v>35765.1</v>
      </c>
      <c r="W391" s="98">
        <f t="shared" si="180"/>
        <v>34007</v>
      </c>
      <c r="X391" s="98">
        <f t="shared" si="180"/>
        <v>31315</v>
      </c>
      <c r="Y391" s="98">
        <f t="shared" si="180"/>
        <v>37257.599999999999</v>
      </c>
      <c r="Z391" s="98">
        <f t="shared" si="180"/>
        <v>43984.6</v>
      </c>
      <c r="AA391" s="98">
        <f t="shared" si="180"/>
        <v>44215.9</v>
      </c>
      <c r="AB391" s="98">
        <f t="shared" si="180"/>
        <v>33306.300000000003</v>
      </c>
      <c r="AC391" s="98">
        <f t="shared" si="180"/>
        <v>11789.2</v>
      </c>
      <c r="AD391" s="98">
        <f t="shared" si="180"/>
        <v>41268.199999999997</v>
      </c>
      <c r="AE391" s="98">
        <f t="shared" si="180"/>
        <v>0</v>
      </c>
      <c r="AF391" s="43"/>
      <c r="AG391" s="15"/>
      <c r="AH391" s="15"/>
      <c r="AI391" s="15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</row>
    <row r="392" spans="1:62" ht="18.75" x14ac:dyDescent="0.3">
      <c r="A392" s="107" t="s">
        <v>120</v>
      </c>
      <c r="B392" s="98">
        <f t="shared" si="179"/>
        <v>35190.300000000003</v>
      </c>
      <c r="C392" s="98">
        <f t="shared" si="179"/>
        <v>32883.5</v>
      </c>
      <c r="D392" s="98">
        <f t="shared" si="179"/>
        <v>32701.300000000003</v>
      </c>
      <c r="E392" s="98">
        <f t="shared" si="179"/>
        <v>32701.300000000003</v>
      </c>
      <c r="F392" s="120">
        <f>IFERROR(E392/B392*100,0)</f>
        <v>92.927028186744636</v>
      </c>
      <c r="G392" s="120">
        <f>IFERROR(E392/C392*100,0)</f>
        <v>99.445922727203623</v>
      </c>
      <c r="H392" s="98">
        <f>SUM(H142,H168,H254,H362)</f>
        <v>82.7</v>
      </c>
      <c r="I392" s="98">
        <f t="shared" si="180"/>
        <v>33.200000000000003</v>
      </c>
      <c r="J392" s="98">
        <f t="shared" si="180"/>
        <v>157.19999999999999</v>
      </c>
      <c r="K392" s="98">
        <f t="shared" si="180"/>
        <v>59.5</v>
      </c>
      <c r="L392" s="98">
        <f t="shared" si="180"/>
        <v>5715.9</v>
      </c>
      <c r="M392" s="98">
        <f t="shared" si="180"/>
        <v>5666.8</v>
      </c>
      <c r="N392" s="98">
        <f t="shared" si="180"/>
        <v>7431.2</v>
      </c>
      <c r="O392" s="98">
        <f t="shared" si="180"/>
        <v>125.4</v>
      </c>
      <c r="P392" s="98">
        <f t="shared" si="180"/>
        <v>6035.5</v>
      </c>
      <c r="Q392" s="98">
        <f t="shared" si="180"/>
        <v>123</v>
      </c>
      <c r="R392" s="98">
        <f t="shared" si="180"/>
        <v>5834.7999999999993</v>
      </c>
      <c r="S392" s="98">
        <f t="shared" si="180"/>
        <v>204.2</v>
      </c>
      <c r="T392" s="98">
        <f t="shared" si="180"/>
        <v>0</v>
      </c>
      <c r="U392" s="98">
        <f t="shared" si="180"/>
        <v>9079.2000000000007</v>
      </c>
      <c r="V392" s="98">
        <f t="shared" si="180"/>
        <v>1081.5999999999999</v>
      </c>
      <c r="W392" s="98">
        <f t="shared" si="180"/>
        <v>1081.5999999999999</v>
      </c>
      <c r="X392" s="98">
        <f t="shared" si="180"/>
        <v>237.70000000000073</v>
      </c>
      <c r="Y392" s="98">
        <f t="shared" si="180"/>
        <v>8260.9</v>
      </c>
      <c r="Z392" s="98">
        <f t="shared" si="180"/>
        <v>4657.2</v>
      </c>
      <c r="AA392" s="98">
        <f t="shared" si="180"/>
        <v>4210.7</v>
      </c>
      <c r="AB392" s="98">
        <f t="shared" si="180"/>
        <v>3926.7</v>
      </c>
      <c r="AC392" s="98">
        <f t="shared" si="180"/>
        <v>3856.8</v>
      </c>
      <c r="AD392" s="98">
        <f t="shared" si="180"/>
        <v>29.799999999999983</v>
      </c>
      <c r="AE392" s="98">
        <f t="shared" si="180"/>
        <v>0</v>
      </c>
      <c r="AF392" s="43"/>
      <c r="AG392" s="15"/>
      <c r="AH392" s="15"/>
      <c r="AI392" s="15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</row>
    <row r="393" spans="1:62" ht="15.75" x14ac:dyDescent="0.2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5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</row>
    <row r="394" spans="1:62" ht="64.5" customHeight="1" x14ac:dyDescent="0.25">
      <c r="A394" s="166" t="s">
        <v>143</v>
      </c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3"/>
      <c r="AF394" s="59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</row>
    <row r="395" spans="1:62" ht="15.75" x14ac:dyDescent="0.25">
      <c r="A395" s="6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62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</row>
    <row r="396" spans="1:62" ht="18.75" x14ac:dyDescent="0.25">
      <c r="A396" s="166" t="s">
        <v>43</v>
      </c>
      <c r="B396" s="166"/>
      <c r="C396" s="166"/>
      <c r="D396" s="166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66"/>
      <c r="AD396" s="166"/>
      <c r="AE396" s="3"/>
      <c r="AF396" s="63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</row>
    <row r="397" spans="1:62" ht="15.75" x14ac:dyDescent="0.2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5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</row>
    <row r="398" spans="1:62" ht="15.75" x14ac:dyDescent="0.2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5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</row>
    <row r="399" spans="1:62" ht="15.75" x14ac:dyDescent="0.2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5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</row>
  </sheetData>
  <mergeCells count="92">
    <mergeCell ref="A394:AD394"/>
    <mergeCell ref="A396:AD396"/>
    <mergeCell ref="A309:AE309"/>
    <mergeCell ref="AF309:AF312"/>
    <mergeCell ref="A316:AD316"/>
    <mergeCell ref="A323:AE323"/>
    <mergeCell ref="AF323:BJ323"/>
    <mergeCell ref="A296:AD296"/>
    <mergeCell ref="A303:AE303"/>
    <mergeCell ref="AF324:AF329"/>
    <mergeCell ref="AG324:AG329"/>
    <mergeCell ref="A278:AE278"/>
    <mergeCell ref="A284:AE284"/>
    <mergeCell ref="AF285:AF289"/>
    <mergeCell ref="A290:AE290"/>
    <mergeCell ref="AF291:AF295"/>
    <mergeCell ref="AF104:AF110"/>
    <mergeCell ref="A111:AE111"/>
    <mergeCell ref="A255:AD255"/>
    <mergeCell ref="A257:AD257"/>
    <mergeCell ref="A264:AE264"/>
    <mergeCell ref="A226:AE226"/>
    <mergeCell ref="AF227:AF235"/>
    <mergeCell ref="A232:AE232"/>
    <mergeCell ref="A190:AE190"/>
    <mergeCell ref="A169:AD169"/>
    <mergeCell ref="A171:AE171"/>
    <mergeCell ref="A174:AE174"/>
    <mergeCell ref="AF184:AF189"/>
    <mergeCell ref="AF190:AF193"/>
    <mergeCell ref="A178:AE178"/>
    <mergeCell ref="A184:AE184"/>
    <mergeCell ref="A272:AD272"/>
    <mergeCell ref="A196:AE196"/>
    <mergeCell ref="A202:AE202"/>
    <mergeCell ref="AF202:AF207"/>
    <mergeCell ref="A208:AE208"/>
    <mergeCell ref="A214:AE214"/>
    <mergeCell ref="A220:AE220"/>
    <mergeCell ref="A151:AE151"/>
    <mergeCell ref="AF112:AF117"/>
    <mergeCell ref="A118:AE118"/>
    <mergeCell ref="A10:AD10"/>
    <mergeCell ref="A12:AE12"/>
    <mergeCell ref="A18:AE18"/>
    <mergeCell ref="A43:AE43"/>
    <mergeCell ref="A61:AE61"/>
    <mergeCell ref="A67:AE67"/>
    <mergeCell ref="AF18:AF23"/>
    <mergeCell ref="A24:AE24"/>
    <mergeCell ref="AF24:AF29"/>
    <mergeCell ref="A31:AE31"/>
    <mergeCell ref="A37:AE37"/>
    <mergeCell ref="AF43:AF46"/>
    <mergeCell ref="A49:AE49"/>
    <mergeCell ref="AB6:AC7"/>
    <mergeCell ref="AF6:AF8"/>
    <mergeCell ref="P6:Q7"/>
    <mergeCell ref="AD6:AE7"/>
    <mergeCell ref="A143:AD143"/>
    <mergeCell ref="AF49:AF52"/>
    <mergeCell ref="A55:AE55"/>
    <mergeCell ref="AF55:AF60"/>
    <mergeCell ref="AF67:AF72"/>
    <mergeCell ref="A73:AE73"/>
    <mergeCell ref="AF73:AF79"/>
    <mergeCell ref="A79:AE79"/>
    <mergeCell ref="A85:AE85"/>
    <mergeCell ref="A91:AE91"/>
    <mergeCell ref="A97:AE97"/>
    <mergeCell ref="A104:AE104"/>
    <mergeCell ref="T1:Y1"/>
    <mergeCell ref="T2:AD2"/>
    <mergeCell ref="A3:O3"/>
    <mergeCell ref="T3:AD3"/>
    <mergeCell ref="A4:O4"/>
    <mergeCell ref="N6:O7"/>
    <mergeCell ref="R6:S7"/>
    <mergeCell ref="T6:U7"/>
    <mergeCell ref="V6:W7"/>
    <mergeCell ref="A145:AE145"/>
    <mergeCell ref="F6:G7"/>
    <mergeCell ref="H6:I7"/>
    <mergeCell ref="J6:K7"/>
    <mergeCell ref="L6:M7"/>
    <mergeCell ref="A6:A8"/>
    <mergeCell ref="B6:B7"/>
    <mergeCell ref="C6:C7"/>
    <mergeCell ref="D6:D7"/>
    <mergeCell ref="E6:E7"/>
    <mergeCell ref="X6:Y7"/>
    <mergeCell ref="Z6:AA7"/>
  </mergeCells>
  <pageMargins left="0" right="0" top="0" bottom="0" header="0.31496062992125984" footer="0.31496062992125984"/>
  <pageSetup paperSize="9" scale="4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opLeftCell="A13" workbookViewId="0">
      <selection activeCell="D20" sqref="D20"/>
    </sheetView>
  </sheetViews>
  <sheetFormatPr defaultRowHeight="15" x14ac:dyDescent="0.25"/>
  <cols>
    <col min="2" max="2" width="28.140625" customWidth="1"/>
    <col min="11" max="16" width="14.85546875" customWidth="1"/>
    <col min="17" max="17" width="11.85546875" customWidth="1"/>
  </cols>
  <sheetData>
    <row r="1" spans="1:18" s="77" customFormat="1" ht="25.15" customHeight="1" x14ac:dyDescent="0.2">
      <c r="A1" s="191" t="s">
        <v>47</v>
      </c>
      <c r="B1" s="192" t="s">
        <v>48</v>
      </c>
      <c r="C1" s="192" t="s">
        <v>49</v>
      </c>
      <c r="D1" s="194" t="s">
        <v>101</v>
      </c>
      <c r="E1" s="194"/>
      <c r="F1" s="194"/>
      <c r="G1" s="194"/>
      <c r="H1" s="194"/>
      <c r="I1" s="194"/>
      <c r="J1" s="75"/>
      <c r="K1" s="195" t="s">
        <v>50</v>
      </c>
      <c r="L1" s="195"/>
      <c r="M1" s="195"/>
      <c r="N1" s="195"/>
      <c r="O1" s="195"/>
      <c r="P1" s="195"/>
      <c r="Q1" s="76"/>
      <c r="R1" s="76"/>
    </row>
    <row r="2" spans="1:18" s="77" customFormat="1" ht="93" customHeight="1" thickBot="1" x14ac:dyDescent="0.25">
      <c r="A2" s="191"/>
      <c r="B2" s="193"/>
      <c r="C2" s="192"/>
      <c r="D2" s="78" t="s">
        <v>102</v>
      </c>
      <c r="E2" s="78" t="s">
        <v>103</v>
      </c>
      <c r="F2" s="78" t="s">
        <v>51</v>
      </c>
      <c r="G2" s="78" t="s">
        <v>52</v>
      </c>
      <c r="H2" s="78" t="s">
        <v>104</v>
      </c>
      <c r="I2" s="78" t="s">
        <v>53</v>
      </c>
      <c r="J2" s="78" t="s">
        <v>105</v>
      </c>
      <c r="K2" s="196"/>
      <c r="L2" s="196"/>
      <c r="M2" s="196"/>
      <c r="N2" s="196"/>
      <c r="O2" s="196"/>
      <c r="P2" s="196"/>
      <c r="Q2" s="76"/>
      <c r="R2" s="76"/>
    </row>
    <row r="3" spans="1:18" s="65" customFormat="1" ht="72" customHeight="1" x14ac:dyDescent="0.2">
      <c r="A3" s="167">
        <v>1</v>
      </c>
      <c r="B3" s="170" t="s">
        <v>106</v>
      </c>
      <c r="C3" s="66" t="s">
        <v>28</v>
      </c>
      <c r="D3" s="67"/>
      <c r="E3" s="67"/>
      <c r="F3" s="67"/>
      <c r="G3" s="68"/>
      <c r="H3" s="67"/>
      <c r="I3" s="68"/>
      <c r="J3" s="68">
        <f t="shared" ref="J3:J6" si="0">IFERROR(H3/E3*100,0)</f>
        <v>0</v>
      </c>
      <c r="K3" s="182" t="s">
        <v>112</v>
      </c>
      <c r="L3" s="183"/>
      <c r="M3" s="183"/>
      <c r="N3" s="183"/>
      <c r="O3" s="183"/>
      <c r="P3" s="184"/>
      <c r="Q3" s="64"/>
      <c r="R3" s="64"/>
    </row>
    <row r="4" spans="1:18" s="65" customFormat="1" ht="36.75" customHeight="1" x14ac:dyDescent="0.2">
      <c r="A4" s="168"/>
      <c r="B4" s="171"/>
      <c r="C4" s="69" t="s">
        <v>26</v>
      </c>
      <c r="D4" s="70">
        <v>3840</v>
      </c>
      <c r="E4" s="70">
        <v>360</v>
      </c>
      <c r="F4" s="70">
        <v>360</v>
      </c>
      <c r="G4" s="71">
        <f t="shared" ref="G4:G19" si="1">F4/D4*100</f>
        <v>9.375</v>
      </c>
      <c r="H4" s="70">
        <v>360</v>
      </c>
      <c r="I4" s="71">
        <f t="shared" ref="I4" si="2">IFERROR(H4/F4*100,0)</f>
        <v>100</v>
      </c>
      <c r="J4" s="71">
        <f>IFERROR(H4/E4*100,0)</f>
        <v>100</v>
      </c>
      <c r="K4" s="185"/>
      <c r="L4" s="186"/>
      <c r="M4" s="186"/>
      <c r="N4" s="186"/>
      <c r="O4" s="186"/>
      <c r="P4" s="187"/>
      <c r="Q4" s="81"/>
      <c r="R4" s="64"/>
    </row>
    <row r="5" spans="1:18" s="65" customFormat="1" ht="36.75" customHeight="1" x14ac:dyDescent="0.2">
      <c r="A5" s="168"/>
      <c r="B5" s="171"/>
      <c r="C5" s="69" t="s">
        <v>45</v>
      </c>
      <c r="D5" s="70"/>
      <c r="E5" s="70"/>
      <c r="F5" s="70"/>
      <c r="G5" s="71"/>
      <c r="H5" s="70"/>
      <c r="I5" s="71"/>
      <c r="J5" s="71">
        <f t="shared" si="0"/>
        <v>0</v>
      </c>
      <c r="K5" s="185"/>
      <c r="L5" s="186"/>
      <c r="M5" s="186"/>
      <c r="N5" s="186"/>
      <c r="O5" s="186"/>
      <c r="P5" s="187"/>
      <c r="Q5" s="64"/>
      <c r="R5" s="64"/>
    </row>
    <row r="6" spans="1:18" s="65" customFormat="1" ht="27.75" customHeight="1" thickBot="1" x14ac:dyDescent="0.25">
      <c r="A6" s="169"/>
      <c r="B6" s="172"/>
      <c r="C6" s="72" t="s">
        <v>46</v>
      </c>
      <c r="D6" s="73">
        <f>D3+D4+D5</f>
        <v>3840</v>
      </c>
      <c r="E6" s="73">
        <f>E3+E4+E5</f>
        <v>360</v>
      </c>
      <c r="F6" s="73">
        <f>F3+F4+F5</f>
        <v>360</v>
      </c>
      <c r="G6" s="74">
        <f t="shared" si="1"/>
        <v>9.375</v>
      </c>
      <c r="H6" s="73">
        <f>H3+H4+H5</f>
        <v>360</v>
      </c>
      <c r="I6" s="73">
        <f t="shared" ref="I6" si="3">IFERROR(H6/F6*100,0)</f>
        <v>100</v>
      </c>
      <c r="J6" s="73">
        <f t="shared" si="0"/>
        <v>100</v>
      </c>
      <c r="K6" s="188"/>
      <c r="L6" s="189"/>
      <c r="M6" s="189"/>
      <c r="N6" s="189"/>
      <c r="O6" s="189"/>
      <c r="P6" s="190"/>
      <c r="Q6" s="64"/>
      <c r="R6" s="64"/>
    </row>
    <row r="7" spans="1:18" s="65" customFormat="1" ht="59.25" customHeight="1" x14ac:dyDescent="0.2">
      <c r="A7" s="167">
        <v>2</v>
      </c>
      <c r="B7" s="170" t="s">
        <v>107</v>
      </c>
      <c r="C7" s="66" t="s">
        <v>28</v>
      </c>
      <c r="D7" s="67"/>
      <c r="E7" s="67"/>
      <c r="F7" s="67"/>
      <c r="G7" s="68"/>
      <c r="H7" s="67"/>
      <c r="I7" s="68"/>
      <c r="J7" s="68">
        <f t="shared" ref="J7:J10" si="4">IFERROR(H7/E7*100,0)</f>
        <v>0</v>
      </c>
      <c r="K7" s="182" t="s">
        <v>113</v>
      </c>
      <c r="L7" s="183"/>
      <c r="M7" s="183"/>
      <c r="N7" s="183"/>
      <c r="O7" s="183"/>
      <c r="P7" s="184"/>
      <c r="Q7" s="64"/>
      <c r="R7" s="64"/>
    </row>
    <row r="8" spans="1:18" s="65" customFormat="1" ht="36.75" customHeight="1" x14ac:dyDescent="0.2">
      <c r="A8" s="168"/>
      <c r="B8" s="171"/>
      <c r="C8" s="69" t="s">
        <v>26</v>
      </c>
      <c r="D8" s="70">
        <v>16389.7</v>
      </c>
      <c r="E8" s="70">
        <v>1500</v>
      </c>
      <c r="F8" s="70">
        <v>1500</v>
      </c>
      <c r="G8" s="71">
        <f t="shared" si="1"/>
        <v>9.1520894220150453</v>
      </c>
      <c r="H8" s="70">
        <v>1500</v>
      </c>
      <c r="I8" s="71">
        <f t="shared" ref="I8" si="5">IFERROR(H8/F8*100,0)</f>
        <v>100</v>
      </c>
      <c r="J8" s="71">
        <f t="shared" si="4"/>
        <v>100</v>
      </c>
      <c r="K8" s="185"/>
      <c r="L8" s="186"/>
      <c r="M8" s="186"/>
      <c r="N8" s="186"/>
      <c r="O8" s="186"/>
      <c r="P8" s="187"/>
      <c r="Q8" s="81"/>
      <c r="R8" s="64"/>
    </row>
    <row r="9" spans="1:18" s="65" customFormat="1" ht="36.75" customHeight="1" x14ac:dyDescent="0.2">
      <c r="A9" s="168"/>
      <c r="B9" s="171"/>
      <c r="C9" s="69" t="s">
        <v>45</v>
      </c>
      <c r="D9" s="70"/>
      <c r="E9" s="70"/>
      <c r="F9" s="70"/>
      <c r="G9" s="71"/>
      <c r="H9" s="70"/>
      <c r="I9" s="71"/>
      <c r="J9" s="71">
        <f t="shared" si="4"/>
        <v>0</v>
      </c>
      <c r="K9" s="185"/>
      <c r="L9" s="186"/>
      <c r="M9" s="186"/>
      <c r="N9" s="186"/>
      <c r="O9" s="186"/>
      <c r="P9" s="187"/>
      <c r="Q9" s="64"/>
      <c r="R9" s="64"/>
    </row>
    <row r="10" spans="1:18" s="65" customFormat="1" ht="36.75" customHeight="1" thickBot="1" x14ac:dyDescent="0.25">
      <c r="A10" s="169"/>
      <c r="B10" s="172"/>
      <c r="C10" s="72" t="s">
        <v>46</v>
      </c>
      <c r="D10" s="73">
        <f>D7+D8+D9</f>
        <v>16389.7</v>
      </c>
      <c r="E10" s="73">
        <f>E7+E8+E9</f>
        <v>1500</v>
      </c>
      <c r="F10" s="73">
        <f>F7+F8+F9</f>
        <v>1500</v>
      </c>
      <c r="G10" s="74">
        <f t="shared" si="1"/>
        <v>9.1520894220150453</v>
      </c>
      <c r="H10" s="73">
        <f>H7+H8+H9</f>
        <v>1500</v>
      </c>
      <c r="I10" s="73">
        <f t="shared" ref="I10" si="6">IFERROR(H10/F10*100,0)</f>
        <v>100</v>
      </c>
      <c r="J10" s="73">
        <f t="shared" si="4"/>
        <v>100</v>
      </c>
      <c r="K10" s="188"/>
      <c r="L10" s="189"/>
      <c r="M10" s="189"/>
      <c r="N10" s="189"/>
      <c r="O10" s="189"/>
      <c r="P10" s="190"/>
      <c r="Q10" s="64"/>
      <c r="R10" s="64"/>
    </row>
    <row r="11" spans="1:18" s="65" customFormat="1" ht="36.75" customHeight="1" x14ac:dyDescent="0.2">
      <c r="A11" s="167">
        <v>3</v>
      </c>
      <c r="B11" s="170" t="s">
        <v>109</v>
      </c>
      <c r="C11" s="66" t="s">
        <v>28</v>
      </c>
      <c r="D11" s="67"/>
      <c r="E11" s="67"/>
      <c r="F11" s="67"/>
      <c r="G11" s="68"/>
      <c r="H11" s="67"/>
      <c r="I11" s="68"/>
      <c r="J11" s="68">
        <f t="shared" ref="J11:J14" si="7">IFERROR(H11/E11*100,0)</f>
        <v>0</v>
      </c>
      <c r="K11" s="182" t="s">
        <v>108</v>
      </c>
      <c r="L11" s="183"/>
      <c r="M11" s="183"/>
      <c r="N11" s="183"/>
      <c r="O11" s="183"/>
      <c r="P11" s="184"/>
      <c r="Q11" s="64"/>
      <c r="R11" s="64"/>
    </row>
    <row r="12" spans="1:18" s="65" customFormat="1" ht="51.75" customHeight="1" x14ac:dyDescent="0.2">
      <c r="A12" s="168"/>
      <c r="B12" s="171"/>
      <c r="C12" s="69" t="s">
        <v>26</v>
      </c>
      <c r="D12" s="70">
        <v>22809.200000000001</v>
      </c>
      <c r="E12" s="70"/>
      <c r="F12" s="70"/>
      <c r="G12" s="71">
        <f t="shared" si="1"/>
        <v>0</v>
      </c>
      <c r="H12" s="70"/>
      <c r="I12" s="71">
        <f t="shared" ref="I12:I13" si="8">IFERROR(H12/F12*100,0)</f>
        <v>0</v>
      </c>
      <c r="J12" s="71">
        <f t="shared" si="7"/>
        <v>0</v>
      </c>
      <c r="K12" s="185"/>
      <c r="L12" s="186"/>
      <c r="M12" s="186"/>
      <c r="N12" s="186"/>
      <c r="O12" s="186"/>
      <c r="P12" s="187"/>
      <c r="Q12" s="81"/>
      <c r="R12" s="64"/>
    </row>
    <row r="13" spans="1:18" s="65" customFormat="1" ht="36.75" customHeight="1" x14ac:dyDescent="0.2">
      <c r="A13" s="168"/>
      <c r="B13" s="171"/>
      <c r="C13" s="69" t="s">
        <v>45</v>
      </c>
      <c r="D13" s="70">
        <f>19762.3-1770.8</f>
        <v>17991.5</v>
      </c>
      <c r="E13" s="70"/>
      <c r="F13" s="70"/>
      <c r="G13" s="71">
        <f t="shared" si="1"/>
        <v>0</v>
      </c>
      <c r="H13" s="70"/>
      <c r="I13" s="71">
        <f t="shared" si="8"/>
        <v>0</v>
      </c>
      <c r="J13" s="71">
        <f t="shared" si="7"/>
        <v>0</v>
      </c>
      <c r="K13" s="185"/>
      <c r="L13" s="186"/>
      <c r="M13" s="186"/>
      <c r="N13" s="186"/>
      <c r="O13" s="186"/>
      <c r="P13" s="187"/>
      <c r="Q13" s="81"/>
      <c r="R13" s="64"/>
    </row>
    <row r="14" spans="1:18" s="65" customFormat="1" ht="39" customHeight="1" thickBot="1" x14ac:dyDescent="0.25">
      <c r="A14" s="169"/>
      <c r="B14" s="172"/>
      <c r="C14" s="72" t="s">
        <v>46</v>
      </c>
      <c r="D14" s="73">
        <f>D11+D12+D13</f>
        <v>40800.699999999997</v>
      </c>
      <c r="E14" s="73">
        <f>E11+E12+E13</f>
        <v>0</v>
      </c>
      <c r="F14" s="73">
        <f>F11+F12+F13</f>
        <v>0</v>
      </c>
      <c r="G14" s="74">
        <f t="shared" si="1"/>
        <v>0</v>
      </c>
      <c r="H14" s="73">
        <f>H11+H12+H13</f>
        <v>0</v>
      </c>
      <c r="I14" s="73">
        <f t="shared" ref="I14" si="9">IFERROR(H14/F14*100,0)</f>
        <v>0</v>
      </c>
      <c r="J14" s="73">
        <f t="shared" si="7"/>
        <v>0</v>
      </c>
      <c r="K14" s="188"/>
      <c r="L14" s="189"/>
      <c r="M14" s="189"/>
      <c r="N14" s="189"/>
      <c r="O14" s="189"/>
      <c r="P14" s="190"/>
      <c r="Q14" s="81"/>
      <c r="R14" s="64"/>
    </row>
    <row r="15" spans="1:18" s="65" customFormat="1" ht="36.75" customHeight="1" x14ac:dyDescent="0.2">
      <c r="A15" s="167">
        <v>7</v>
      </c>
      <c r="B15" s="170" t="s">
        <v>110</v>
      </c>
      <c r="C15" s="66" t="s">
        <v>28</v>
      </c>
      <c r="D15" s="67"/>
      <c r="E15" s="67"/>
      <c r="F15" s="67"/>
      <c r="G15" s="68" t="e">
        <f t="shared" ref="G15:G18" si="10">F15/D15*100</f>
        <v>#DIV/0!</v>
      </c>
      <c r="H15" s="67"/>
      <c r="I15" s="68"/>
      <c r="J15" s="68">
        <f t="shared" ref="J15:J18" si="11">IFERROR(H15/E15*100,0)</f>
        <v>0</v>
      </c>
      <c r="K15" s="173" t="s">
        <v>111</v>
      </c>
      <c r="L15" s="174"/>
      <c r="M15" s="174"/>
      <c r="N15" s="174"/>
      <c r="O15" s="174"/>
      <c r="P15" s="175"/>
      <c r="Q15" s="64"/>
      <c r="R15" s="64"/>
    </row>
    <row r="16" spans="1:18" s="65" customFormat="1" ht="36.75" customHeight="1" x14ac:dyDescent="0.2">
      <c r="A16" s="168"/>
      <c r="B16" s="171"/>
      <c r="C16" s="69" t="s">
        <v>26</v>
      </c>
      <c r="D16" s="70">
        <v>293913.2</v>
      </c>
      <c r="E16" s="70"/>
      <c r="F16" s="70"/>
      <c r="G16" s="71">
        <f t="shared" si="10"/>
        <v>0</v>
      </c>
      <c r="H16" s="70"/>
      <c r="I16" s="71">
        <f t="shared" ref="I16:I21" si="12">IFERROR(H16/F16*100,0)</f>
        <v>0</v>
      </c>
      <c r="J16" s="71">
        <f t="shared" si="11"/>
        <v>0</v>
      </c>
      <c r="K16" s="176"/>
      <c r="L16" s="177"/>
      <c r="M16" s="177"/>
      <c r="N16" s="177"/>
      <c r="O16" s="177"/>
      <c r="P16" s="178"/>
      <c r="Q16" s="64"/>
      <c r="R16" s="64"/>
    </row>
    <row r="17" spans="1:18" s="65" customFormat="1" ht="36.75" customHeight="1" x14ac:dyDescent="0.2">
      <c r="A17" s="168"/>
      <c r="B17" s="171"/>
      <c r="C17" s="69" t="s">
        <v>45</v>
      </c>
      <c r="D17" s="70">
        <v>32657.1</v>
      </c>
      <c r="E17" s="70"/>
      <c r="F17" s="70"/>
      <c r="G17" s="71">
        <f t="shared" si="10"/>
        <v>0</v>
      </c>
      <c r="H17" s="70"/>
      <c r="I17" s="71">
        <f t="shared" si="12"/>
        <v>0</v>
      </c>
      <c r="J17" s="71">
        <f t="shared" si="11"/>
        <v>0</v>
      </c>
      <c r="K17" s="176"/>
      <c r="L17" s="177"/>
      <c r="M17" s="177"/>
      <c r="N17" s="177"/>
      <c r="O17" s="177"/>
      <c r="P17" s="178"/>
      <c r="Q17" s="64"/>
      <c r="R17" s="64"/>
    </row>
    <row r="18" spans="1:18" s="65" customFormat="1" ht="55.5" customHeight="1" thickBot="1" x14ac:dyDescent="0.25">
      <c r="A18" s="169"/>
      <c r="B18" s="172"/>
      <c r="C18" s="72" t="s">
        <v>46</v>
      </c>
      <c r="D18" s="73">
        <f>D15+D16+D17</f>
        <v>326570.3</v>
      </c>
      <c r="E18" s="73">
        <f>E15+E16+E17</f>
        <v>0</v>
      </c>
      <c r="F18" s="73">
        <f>F15+F16+F17</f>
        <v>0</v>
      </c>
      <c r="G18" s="74">
        <f t="shared" si="10"/>
        <v>0</v>
      </c>
      <c r="H18" s="73">
        <f>H15+H16+H17</f>
        <v>0</v>
      </c>
      <c r="I18" s="73">
        <f t="shared" si="12"/>
        <v>0</v>
      </c>
      <c r="J18" s="73">
        <f t="shared" si="11"/>
        <v>0</v>
      </c>
      <c r="K18" s="179"/>
      <c r="L18" s="180"/>
      <c r="M18" s="180"/>
      <c r="N18" s="180"/>
      <c r="O18" s="180"/>
      <c r="P18" s="181"/>
      <c r="Q18" s="64"/>
      <c r="R18" s="64"/>
    </row>
    <row r="19" spans="1:18" s="65" customFormat="1" ht="36.75" customHeight="1" x14ac:dyDescent="0.2">
      <c r="A19" s="167"/>
      <c r="B19" s="170" t="s">
        <v>54</v>
      </c>
      <c r="C19" s="66" t="s">
        <v>28</v>
      </c>
      <c r="D19" s="67">
        <f>D15+D11+D7+D3</f>
        <v>0</v>
      </c>
      <c r="E19" s="67">
        <f t="shared" ref="E19:F19" si="13">E15+E11+E7+E3</f>
        <v>0</v>
      </c>
      <c r="F19" s="67">
        <f t="shared" si="13"/>
        <v>0</v>
      </c>
      <c r="G19" s="68" t="e">
        <f t="shared" si="1"/>
        <v>#DIV/0!</v>
      </c>
      <c r="H19" s="67">
        <f t="shared" ref="H19" si="14">H15+H11+H7+H3</f>
        <v>0</v>
      </c>
      <c r="I19" s="71">
        <f t="shared" si="12"/>
        <v>0</v>
      </c>
      <c r="J19" s="68">
        <f t="shared" ref="J19:J22" si="15">IFERROR(H19/E19*100,0)</f>
        <v>0</v>
      </c>
      <c r="K19" s="173"/>
      <c r="L19" s="174"/>
      <c r="M19" s="174"/>
      <c r="N19" s="174"/>
      <c r="O19" s="174"/>
      <c r="P19" s="175"/>
      <c r="Q19" s="64"/>
      <c r="R19" s="64"/>
    </row>
    <row r="20" spans="1:18" s="65" customFormat="1" ht="36.75" customHeight="1" x14ac:dyDescent="0.2">
      <c r="A20" s="168"/>
      <c r="B20" s="171"/>
      <c r="C20" s="69" t="s">
        <v>26</v>
      </c>
      <c r="D20" s="67">
        <f t="shared" ref="D20:F21" si="16">D16+D12+D8+D4</f>
        <v>336952.10000000003</v>
      </c>
      <c r="E20" s="67">
        <f t="shared" si="16"/>
        <v>1860</v>
      </c>
      <c r="F20" s="67">
        <f t="shared" si="16"/>
        <v>1860</v>
      </c>
      <c r="G20" s="68">
        <f t="shared" ref="G20:G21" si="17">F20/D20*100</f>
        <v>0.55200724375957289</v>
      </c>
      <c r="H20" s="67">
        <f t="shared" ref="H20" si="18">H16+H12+H8+H4</f>
        <v>1860</v>
      </c>
      <c r="I20" s="71">
        <f t="shared" si="12"/>
        <v>100</v>
      </c>
      <c r="J20" s="68">
        <f t="shared" ref="J20:J21" si="19">IFERROR(H20/E20*100,0)</f>
        <v>100</v>
      </c>
      <c r="K20" s="176"/>
      <c r="L20" s="177"/>
      <c r="M20" s="177"/>
      <c r="N20" s="177"/>
      <c r="O20" s="177"/>
      <c r="P20" s="178"/>
      <c r="Q20" s="64"/>
      <c r="R20" s="64"/>
    </row>
    <row r="21" spans="1:18" s="65" customFormat="1" ht="36.75" customHeight="1" x14ac:dyDescent="0.2">
      <c r="A21" s="168"/>
      <c r="B21" s="171"/>
      <c r="C21" s="69" t="s">
        <v>45</v>
      </c>
      <c r="D21" s="67">
        <f t="shared" si="16"/>
        <v>50648.6</v>
      </c>
      <c r="E21" s="67">
        <f t="shared" si="16"/>
        <v>0</v>
      </c>
      <c r="F21" s="67">
        <f t="shared" si="16"/>
        <v>0</v>
      </c>
      <c r="G21" s="68">
        <f t="shared" si="17"/>
        <v>0</v>
      </c>
      <c r="H21" s="67">
        <f t="shared" ref="H21" si="20">H17+H13+H9+H5</f>
        <v>0</v>
      </c>
      <c r="I21" s="71">
        <f t="shared" si="12"/>
        <v>0</v>
      </c>
      <c r="J21" s="68">
        <f t="shared" si="19"/>
        <v>0</v>
      </c>
      <c r="K21" s="176"/>
      <c r="L21" s="177"/>
      <c r="M21" s="177"/>
      <c r="N21" s="177"/>
      <c r="O21" s="177"/>
      <c r="P21" s="178"/>
      <c r="Q21" s="64"/>
      <c r="R21" s="64"/>
    </row>
    <row r="22" spans="1:18" s="65" customFormat="1" ht="28.5" customHeight="1" thickBot="1" x14ac:dyDescent="0.25">
      <c r="A22" s="169"/>
      <c r="B22" s="172"/>
      <c r="C22" s="72" t="s">
        <v>46</v>
      </c>
      <c r="D22" s="73">
        <f>D19+D20+D21</f>
        <v>387600.7</v>
      </c>
      <c r="E22" s="73">
        <f>E19+E20+E21</f>
        <v>1860</v>
      </c>
      <c r="F22" s="73">
        <f>F19+F20+F21</f>
        <v>1860</v>
      </c>
      <c r="G22" s="74">
        <f>F22/D22*100</f>
        <v>0.47987529434286363</v>
      </c>
      <c r="H22" s="73">
        <f>H19+H20+H21</f>
        <v>1860</v>
      </c>
      <c r="I22" s="73">
        <f t="shared" ref="I22" si="21">IFERROR(H22/F22*100,0)</f>
        <v>100</v>
      </c>
      <c r="J22" s="73">
        <f t="shared" si="15"/>
        <v>100</v>
      </c>
      <c r="K22" s="179"/>
      <c r="L22" s="180"/>
      <c r="M22" s="180"/>
      <c r="N22" s="180"/>
      <c r="O22" s="180"/>
      <c r="P22" s="181"/>
      <c r="Q22" s="64"/>
      <c r="R22" s="64"/>
    </row>
  </sheetData>
  <mergeCells count="20">
    <mergeCell ref="A3:A6"/>
    <mergeCell ref="B3:B6"/>
    <mergeCell ref="K3:P6"/>
    <mergeCell ref="A7:A10"/>
    <mergeCell ref="B7:B10"/>
    <mergeCell ref="K7:P10"/>
    <mergeCell ref="A1:A2"/>
    <mergeCell ref="B1:B2"/>
    <mergeCell ref="C1:C2"/>
    <mergeCell ref="D1:I1"/>
    <mergeCell ref="K1:P2"/>
    <mergeCell ref="A19:A22"/>
    <mergeCell ref="B19:B22"/>
    <mergeCell ref="K19:P22"/>
    <mergeCell ref="A11:A14"/>
    <mergeCell ref="B11:B14"/>
    <mergeCell ref="K11:P14"/>
    <mergeCell ref="A15:A18"/>
    <mergeCell ref="B15:B18"/>
    <mergeCell ref="K15:P18"/>
  </mergeCells>
  <pageMargins left="0" right="0" top="0" bottom="0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к СОВЕЩ. по программам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2022-12-06T10:54:59Z</dcterms:modified>
</cp:coreProperties>
</file>