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май" sheetId="1" r:id="rId1"/>
  </sheets>
  <calcPr calcId="145621"/>
</workbook>
</file>

<file path=xl/calcChain.xml><?xml version="1.0" encoding="utf-8"?>
<calcChain xmlns="http://schemas.openxmlformats.org/spreadsheetml/2006/main">
  <c r="Q41" i="1" l="1"/>
  <c r="Q34" i="1"/>
  <c r="Q33" i="1"/>
  <c r="Q19" i="1"/>
  <c r="Q16" i="1" l="1"/>
  <c r="G140" i="1" l="1"/>
  <c r="F140" i="1"/>
  <c r="G139" i="1"/>
  <c r="F139" i="1"/>
  <c r="G136" i="1"/>
  <c r="F136" i="1"/>
  <c r="E134" i="1"/>
  <c r="D134" i="1"/>
  <c r="D127" i="1" s="1"/>
  <c r="C134" i="1"/>
  <c r="B134" i="1"/>
  <c r="E133" i="1"/>
  <c r="D133" i="1"/>
  <c r="D126" i="1" s="1"/>
  <c r="C133" i="1"/>
  <c r="B133" i="1"/>
  <c r="B126" i="1" s="1"/>
  <c r="D131" i="1"/>
  <c r="E130" i="1"/>
  <c r="D130" i="1"/>
  <c r="D123" i="1" s="1"/>
  <c r="C130" i="1"/>
  <c r="B130" i="1"/>
  <c r="AE127" i="1"/>
  <c r="AE134" i="1" s="1"/>
  <c r="AD127" i="1"/>
  <c r="AD134" i="1" s="1"/>
  <c r="AC127" i="1"/>
  <c r="AC134" i="1" s="1"/>
  <c r="AB127" i="1"/>
  <c r="AB134" i="1" s="1"/>
  <c r="AA127" i="1"/>
  <c r="AA134" i="1" s="1"/>
  <c r="Z127" i="1"/>
  <c r="Z134" i="1" s="1"/>
  <c r="Y127" i="1"/>
  <c r="Y134" i="1" s="1"/>
  <c r="X127" i="1"/>
  <c r="X134" i="1" s="1"/>
  <c r="W127" i="1"/>
  <c r="W134" i="1" s="1"/>
  <c r="V127" i="1"/>
  <c r="V134" i="1" s="1"/>
  <c r="U127" i="1"/>
  <c r="U134" i="1" s="1"/>
  <c r="T127" i="1"/>
  <c r="T134" i="1" s="1"/>
  <c r="S127" i="1"/>
  <c r="S134" i="1" s="1"/>
  <c r="R127" i="1"/>
  <c r="R134" i="1" s="1"/>
  <c r="Q127" i="1"/>
  <c r="Q134" i="1" s="1"/>
  <c r="P127" i="1"/>
  <c r="P134" i="1" s="1"/>
  <c r="O127" i="1"/>
  <c r="O134" i="1" s="1"/>
  <c r="N127" i="1"/>
  <c r="N134" i="1" s="1"/>
  <c r="M127" i="1"/>
  <c r="M134" i="1" s="1"/>
  <c r="L127" i="1"/>
  <c r="L134" i="1" s="1"/>
  <c r="K127" i="1"/>
  <c r="K134" i="1" s="1"/>
  <c r="J127" i="1"/>
  <c r="J134" i="1" s="1"/>
  <c r="I127" i="1"/>
  <c r="I134" i="1" s="1"/>
  <c r="H127" i="1"/>
  <c r="H134" i="1" s="1"/>
  <c r="E127" i="1"/>
  <c r="G127" i="1" s="1"/>
  <c r="C127" i="1"/>
  <c r="B127" i="1"/>
  <c r="F127" i="1" s="1"/>
  <c r="AE126" i="1"/>
  <c r="AE133" i="1" s="1"/>
  <c r="AD126" i="1"/>
  <c r="AD133" i="1" s="1"/>
  <c r="AC126" i="1"/>
  <c r="AC133" i="1" s="1"/>
  <c r="AB126" i="1"/>
  <c r="AB133" i="1" s="1"/>
  <c r="AA126" i="1"/>
  <c r="AA133" i="1" s="1"/>
  <c r="Z126" i="1"/>
  <c r="Z133" i="1" s="1"/>
  <c r="Y126" i="1"/>
  <c r="Y133" i="1" s="1"/>
  <c r="X126" i="1"/>
  <c r="X133" i="1" s="1"/>
  <c r="W126" i="1"/>
  <c r="W133" i="1" s="1"/>
  <c r="V126" i="1"/>
  <c r="V133" i="1" s="1"/>
  <c r="U126" i="1"/>
  <c r="U133" i="1" s="1"/>
  <c r="T126" i="1"/>
  <c r="T133" i="1" s="1"/>
  <c r="S126" i="1"/>
  <c r="S133" i="1" s="1"/>
  <c r="R126" i="1"/>
  <c r="R133" i="1" s="1"/>
  <c r="Q126" i="1"/>
  <c r="Q133" i="1" s="1"/>
  <c r="P126" i="1"/>
  <c r="P133" i="1" s="1"/>
  <c r="O126" i="1"/>
  <c r="O133" i="1" s="1"/>
  <c r="N126" i="1"/>
  <c r="N133" i="1" s="1"/>
  <c r="M126" i="1"/>
  <c r="M133" i="1" s="1"/>
  <c r="L126" i="1"/>
  <c r="L133" i="1" s="1"/>
  <c r="K126" i="1"/>
  <c r="K133" i="1" s="1"/>
  <c r="J126" i="1"/>
  <c r="J133" i="1" s="1"/>
  <c r="I126" i="1"/>
  <c r="I133" i="1" s="1"/>
  <c r="H126" i="1"/>
  <c r="H133" i="1" s="1"/>
  <c r="E126" i="1"/>
  <c r="F126" i="1" s="1"/>
  <c r="C126" i="1"/>
  <c r="AE125" i="1"/>
  <c r="AE132" i="1" s="1"/>
  <c r="AA125" i="1"/>
  <c r="AA132" i="1" s="1"/>
  <c r="S125" i="1"/>
  <c r="S132" i="1" s="1"/>
  <c r="O125" i="1"/>
  <c r="O132" i="1" s="1"/>
  <c r="K125" i="1"/>
  <c r="K132" i="1" s="1"/>
  <c r="AE124" i="1"/>
  <c r="AE122" i="1" s="1"/>
  <c r="AD124" i="1"/>
  <c r="AD131" i="1" s="1"/>
  <c r="AC124" i="1"/>
  <c r="AC131" i="1" s="1"/>
  <c r="AB124" i="1"/>
  <c r="AB131" i="1" s="1"/>
  <c r="AA124" i="1"/>
  <c r="AA131" i="1" s="1"/>
  <c r="AA129" i="1" s="1"/>
  <c r="AA128" i="1" s="1"/>
  <c r="Z124" i="1"/>
  <c r="Z131" i="1" s="1"/>
  <c r="Y124" i="1"/>
  <c r="Y131" i="1" s="1"/>
  <c r="X124" i="1"/>
  <c r="X131" i="1" s="1"/>
  <c r="W124" i="1"/>
  <c r="W131" i="1" s="1"/>
  <c r="V124" i="1"/>
  <c r="V131" i="1" s="1"/>
  <c r="U124" i="1"/>
  <c r="U131" i="1" s="1"/>
  <c r="T124" i="1"/>
  <c r="T131" i="1" s="1"/>
  <c r="S124" i="1"/>
  <c r="S122" i="1" s="1"/>
  <c r="R124" i="1"/>
  <c r="R131" i="1" s="1"/>
  <c r="Q124" i="1"/>
  <c r="Q131" i="1" s="1"/>
  <c r="P124" i="1"/>
  <c r="P131" i="1" s="1"/>
  <c r="O124" i="1"/>
  <c r="O122" i="1" s="1"/>
  <c r="N124" i="1"/>
  <c r="N131" i="1" s="1"/>
  <c r="M124" i="1"/>
  <c r="M131" i="1" s="1"/>
  <c r="L124" i="1"/>
  <c r="L131" i="1" s="1"/>
  <c r="K124" i="1"/>
  <c r="K131" i="1" s="1"/>
  <c r="K129" i="1" s="1"/>
  <c r="K128" i="1" s="1"/>
  <c r="J124" i="1"/>
  <c r="J131" i="1" s="1"/>
  <c r="I124" i="1"/>
  <c r="I131" i="1" s="1"/>
  <c r="H124" i="1"/>
  <c r="H131" i="1" s="1"/>
  <c r="D124" i="1"/>
  <c r="AE123" i="1"/>
  <c r="AE130" i="1" s="1"/>
  <c r="AD123" i="1"/>
  <c r="AD130" i="1" s="1"/>
  <c r="AC123" i="1"/>
  <c r="AC130" i="1" s="1"/>
  <c r="AB123" i="1"/>
  <c r="AB130" i="1" s="1"/>
  <c r="AA123" i="1"/>
  <c r="AA130" i="1" s="1"/>
  <c r="Z123" i="1"/>
  <c r="Z130" i="1" s="1"/>
  <c r="Y123" i="1"/>
  <c r="Y130" i="1" s="1"/>
  <c r="X123" i="1"/>
  <c r="X130" i="1" s="1"/>
  <c r="W123" i="1"/>
  <c r="W130" i="1" s="1"/>
  <c r="V123" i="1"/>
  <c r="V130" i="1" s="1"/>
  <c r="U123" i="1"/>
  <c r="U130" i="1" s="1"/>
  <c r="T123" i="1"/>
  <c r="T130" i="1" s="1"/>
  <c r="S123" i="1"/>
  <c r="S130" i="1" s="1"/>
  <c r="R123" i="1"/>
  <c r="R130" i="1" s="1"/>
  <c r="Q123" i="1"/>
  <c r="Q130" i="1" s="1"/>
  <c r="P123" i="1"/>
  <c r="P130" i="1" s="1"/>
  <c r="O123" i="1"/>
  <c r="O130" i="1" s="1"/>
  <c r="N123" i="1"/>
  <c r="N130" i="1" s="1"/>
  <c r="M123" i="1"/>
  <c r="M130" i="1" s="1"/>
  <c r="L123" i="1"/>
  <c r="L130" i="1" s="1"/>
  <c r="K123" i="1"/>
  <c r="K130" i="1" s="1"/>
  <c r="J123" i="1"/>
  <c r="J130" i="1" s="1"/>
  <c r="I123" i="1"/>
  <c r="I130" i="1" s="1"/>
  <c r="H123" i="1"/>
  <c r="H130" i="1" s="1"/>
  <c r="E123" i="1"/>
  <c r="C123" i="1"/>
  <c r="B123" i="1"/>
  <c r="G120" i="1"/>
  <c r="F120" i="1"/>
  <c r="G119" i="1"/>
  <c r="F119" i="1"/>
  <c r="AE118" i="1"/>
  <c r="AD118" i="1"/>
  <c r="AD125" i="1" s="1"/>
  <c r="AC118" i="1"/>
  <c r="AC125" i="1" s="1"/>
  <c r="AC132" i="1" s="1"/>
  <c r="AB118" i="1"/>
  <c r="AB125" i="1" s="1"/>
  <c r="AB132" i="1" s="1"/>
  <c r="AA118" i="1"/>
  <c r="Z118" i="1"/>
  <c r="Z125" i="1" s="1"/>
  <c r="Y118" i="1"/>
  <c r="Y125" i="1" s="1"/>
  <c r="Y132" i="1" s="1"/>
  <c r="X118" i="1"/>
  <c r="X125" i="1" s="1"/>
  <c r="X132" i="1" s="1"/>
  <c r="W118" i="1"/>
  <c r="W125" i="1" s="1"/>
  <c r="W132" i="1" s="1"/>
  <c r="V118" i="1"/>
  <c r="V125" i="1" s="1"/>
  <c r="U118" i="1"/>
  <c r="U125" i="1" s="1"/>
  <c r="U132" i="1" s="1"/>
  <c r="T118" i="1"/>
  <c r="T125" i="1" s="1"/>
  <c r="T132" i="1" s="1"/>
  <c r="S118" i="1"/>
  <c r="R118" i="1"/>
  <c r="R125" i="1" s="1"/>
  <c r="Q118" i="1"/>
  <c r="Q125" i="1" s="1"/>
  <c r="Q132" i="1" s="1"/>
  <c r="P118" i="1"/>
  <c r="P125" i="1" s="1"/>
  <c r="P132" i="1" s="1"/>
  <c r="O118" i="1"/>
  <c r="N118" i="1"/>
  <c r="N125" i="1" s="1"/>
  <c r="M118" i="1"/>
  <c r="M125" i="1" s="1"/>
  <c r="M132" i="1" s="1"/>
  <c r="L118" i="1"/>
  <c r="L125" i="1" s="1"/>
  <c r="L132" i="1" s="1"/>
  <c r="K118" i="1"/>
  <c r="J118" i="1"/>
  <c r="J125" i="1" s="1"/>
  <c r="I118" i="1"/>
  <c r="I125" i="1" s="1"/>
  <c r="I132" i="1" s="1"/>
  <c r="H118" i="1"/>
  <c r="H125" i="1" s="1"/>
  <c r="H132" i="1" s="1"/>
  <c r="E118" i="1"/>
  <c r="E132" i="1" s="1"/>
  <c r="D118" i="1"/>
  <c r="D132" i="1" s="1"/>
  <c r="C118" i="1"/>
  <c r="C132" i="1" s="1"/>
  <c r="C125" i="1" s="1"/>
  <c r="E117" i="1"/>
  <c r="C117" i="1"/>
  <c r="C131" i="1" s="1"/>
  <c r="B117" i="1"/>
  <c r="B131" i="1" s="1"/>
  <c r="G116" i="1"/>
  <c r="F116" i="1"/>
  <c r="AD115" i="1"/>
  <c r="AC115" i="1"/>
  <c r="AB115" i="1"/>
  <c r="AA115" i="1"/>
  <c r="AA113" i="1" s="1"/>
  <c r="Z115" i="1"/>
  <c r="Z113" i="1" s="1"/>
  <c r="Y115" i="1"/>
  <c r="Y113" i="1" s="1"/>
  <c r="X115" i="1"/>
  <c r="X113" i="1" s="1"/>
  <c r="W115" i="1"/>
  <c r="W113" i="1" s="1"/>
  <c r="V115" i="1"/>
  <c r="U115" i="1"/>
  <c r="T115" i="1"/>
  <c r="T113" i="1" s="1"/>
  <c r="S115" i="1"/>
  <c r="S113" i="1" s="1"/>
  <c r="R115" i="1"/>
  <c r="R113" i="1" s="1"/>
  <c r="Q115" i="1"/>
  <c r="P115" i="1"/>
  <c r="P113" i="1" s="1"/>
  <c r="O115" i="1"/>
  <c r="O113" i="1" s="1"/>
  <c r="N115" i="1"/>
  <c r="M115" i="1"/>
  <c r="L115" i="1"/>
  <c r="K115" i="1"/>
  <c r="K113" i="1" s="1"/>
  <c r="J115" i="1"/>
  <c r="J113" i="1" s="1"/>
  <c r="I115" i="1"/>
  <c r="H115" i="1"/>
  <c r="H113" i="1" s="1"/>
  <c r="D115" i="1"/>
  <c r="D113" i="1" s="1"/>
  <c r="C115" i="1"/>
  <c r="C113" i="1" s="1"/>
  <c r="AD113" i="1"/>
  <c r="AC113" i="1"/>
  <c r="AB113" i="1"/>
  <c r="V113" i="1"/>
  <c r="U113" i="1"/>
  <c r="Q113" i="1"/>
  <c r="N113" i="1"/>
  <c r="M113" i="1"/>
  <c r="L113" i="1"/>
  <c r="I11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E112" i="1"/>
  <c r="D112" i="1"/>
  <c r="C112" i="1"/>
  <c r="G112" i="1" s="1"/>
  <c r="B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E111" i="1"/>
  <c r="D111" i="1"/>
  <c r="C111" i="1"/>
  <c r="B111" i="1"/>
  <c r="AE110" i="1"/>
  <c r="D110" i="1"/>
  <c r="AE109" i="1"/>
  <c r="AC109" i="1"/>
  <c r="AA109" i="1"/>
  <c r="Y109" i="1"/>
  <c r="X109" i="1"/>
  <c r="W109" i="1"/>
  <c r="U109" i="1"/>
  <c r="S109" i="1"/>
  <c r="Q109" i="1"/>
  <c r="P109" i="1"/>
  <c r="O109" i="1"/>
  <c r="M109" i="1"/>
  <c r="K109" i="1"/>
  <c r="J109" i="1"/>
  <c r="D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J107" i="1" s="1"/>
  <c r="I108" i="1"/>
  <c r="H108" i="1"/>
  <c r="E108" i="1"/>
  <c r="D108" i="1"/>
  <c r="C108" i="1"/>
  <c r="B108" i="1"/>
  <c r="F108" i="1" s="1"/>
  <c r="D107" i="1"/>
  <c r="G106" i="1"/>
  <c r="F106" i="1"/>
  <c r="G105" i="1"/>
  <c r="F105" i="1"/>
  <c r="E104" i="1"/>
  <c r="D104" i="1"/>
  <c r="C104" i="1"/>
  <c r="B104" i="1"/>
  <c r="F103" i="1"/>
  <c r="E103" i="1"/>
  <c r="C103" i="1"/>
  <c r="B103" i="1"/>
  <c r="G102" i="1"/>
  <c r="F102" i="1"/>
  <c r="G100" i="1"/>
  <c r="F100" i="1"/>
  <c r="G99" i="1"/>
  <c r="F99" i="1"/>
  <c r="E98" i="1"/>
  <c r="D98" i="1"/>
  <c r="C98" i="1"/>
  <c r="B98" i="1"/>
  <c r="F98" i="1" s="1"/>
  <c r="E97" i="1"/>
  <c r="C97" i="1"/>
  <c r="B97" i="1"/>
  <c r="G96" i="1"/>
  <c r="F96" i="1"/>
  <c r="G94" i="1"/>
  <c r="F94" i="1"/>
  <c r="G93" i="1"/>
  <c r="F93" i="1"/>
  <c r="AD92" i="1"/>
  <c r="AD110" i="1" s="1"/>
  <c r="AC92" i="1"/>
  <c r="AB92" i="1"/>
  <c r="AB110" i="1" s="1"/>
  <c r="AA92" i="1"/>
  <c r="AA110" i="1" s="1"/>
  <c r="Z92" i="1"/>
  <c r="Z110" i="1" s="1"/>
  <c r="Y92" i="1"/>
  <c r="X92" i="1"/>
  <c r="X110" i="1" s="1"/>
  <c r="X107" i="1" s="1"/>
  <c r="W92" i="1"/>
  <c r="W110" i="1" s="1"/>
  <c r="V92" i="1"/>
  <c r="V110" i="1" s="1"/>
  <c r="U92" i="1"/>
  <c r="T92" i="1"/>
  <c r="T110" i="1" s="1"/>
  <c r="S92" i="1"/>
  <c r="S110" i="1" s="1"/>
  <c r="R92" i="1"/>
  <c r="R110" i="1" s="1"/>
  <c r="Q92" i="1"/>
  <c r="P92" i="1"/>
  <c r="P110" i="1" s="1"/>
  <c r="P107" i="1" s="1"/>
  <c r="O92" i="1"/>
  <c r="O110" i="1" s="1"/>
  <c r="N92" i="1"/>
  <c r="N110" i="1" s="1"/>
  <c r="M92" i="1"/>
  <c r="L92" i="1"/>
  <c r="L110" i="1" s="1"/>
  <c r="K92" i="1"/>
  <c r="K89" i="1" s="1"/>
  <c r="J92" i="1"/>
  <c r="J110" i="1" s="1"/>
  <c r="I92" i="1"/>
  <c r="H92" i="1"/>
  <c r="B92" i="1" s="1"/>
  <c r="B88" i="1" s="1"/>
  <c r="E91" i="1"/>
  <c r="G91" i="1" s="1"/>
  <c r="C91" i="1"/>
  <c r="B91" i="1"/>
  <c r="G90" i="1"/>
  <c r="F90" i="1"/>
  <c r="AE89" i="1"/>
  <c r="AD89" i="1"/>
  <c r="AB89" i="1"/>
  <c r="AA89" i="1"/>
  <c r="Z89" i="1"/>
  <c r="W89" i="1"/>
  <c r="V89" i="1"/>
  <c r="T89" i="1"/>
  <c r="S89" i="1"/>
  <c r="R89" i="1"/>
  <c r="O89" i="1"/>
  <c r="N89" i="1"/>
  <c r="L89" i="1"/>
  <c r="J89" i="1"/>
  <c r="D89" i="1"/>
  <c r="AD88" i="1"/>
  <c r="AC88" i="1"/>
  <c r="AA88" i="1"/>
  <c r="Z88" i="1"/>
  <c r="Y88" i="1"/>
  <c r="W88" i="1"/>
  <c r="V88" i="1"/>
  <c r="U88" i="1"/>
  <c r="S88" i="1"/>
  <c r="R88" i="1"/>
  <c r="Q88" i="1"/>
  <c r="O88" i="1"/>
  <c r="N88" i="1"/>
  <c r="M88" i="1"/>
  <c r="K88" i="1"/>
  <c r="J88" i="1"/>
  <c r="I88" i="1"/>
  <c r="G87" i="1"/>
  <c r="F87" i="1"/>
  <c r="G86" i="1"/>
  <c r="F86" i="1"/>
  <c r="G85" i="1"/>
  <c r="F85" i="1"/>
  <c r="AD84" i="1"/>
  <c r="AD109" i="1" s="1"/>
  <c r="AB84" i="1"/>
  <c r="AB109" i="1" s="1"/>
  <c r="AB107" i="1" s="1"/>
  <c r="Z84" i="1"/>
  <c r="Z109" i="1" s="1"/>
  <c r="X84" i="1"/>
  <c r="V84" i="1"/>
  <c r="V109" i="1" s="1"/>
  <c r="T84" i="1"/>
  <c r="T109" i="1" s="1"/>
  <c r="R84" i="1"/>
  <c r="R109" i="1" s="1"/>
  <c r="P84" i="1"/>
  <c r="N84" i="1"/>
  <c r="N109" i="1" s="1"/>
  <c r="M84" i="1"/>
  <c r="M82" i="1" s="1"/>
  <c r="L84" i="1"/>
  <c r="L109" i="1" s="1"/>
  <c r="L107" i="1" s="1"/>
  <c r="J84" i="1"/>
  <c r="I84" i="1"/>
  <c r="I82" i="1" s="1"/>
  <c r="H84" i="1"/>
  <c r="H109" i="1" s="1"/>
  <c r="C84" i="1"/>
  <c r="C82" i="1" s="1"/>
  <c r="G83" i="1"/>
  <c r="F83" i="1"/>
  <c r="AC82" i="1"/>
  <c r="AB82" i="1"/>
  <c r="AA82" i="1"/>
  <c r="Y82" i="1"/>
  <c r="X82" i="1"/>
  <c r="W82" i="1"/>
  <c r="U82" i="1"/>
  <c r="T82" i="1"/>
  <c r="S82" i="1"/>
  <c r="Q82" i="1"/>
  <c r="P82" i="1"/>
  <c r="O82" i="1"/>
  <c r="L82" i="1"/>
  <c r="K82" i="1"/>
  <c r="J82" i="1"/>
  <c r="H82" i="1"/>
  <c r="D82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E79" i="1"/>
  <c r="G79" i="1" s="1"/>
  <c r="D79" i="1"/>
  <c r="C79" i="1"/>
  <c r="B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E78" i="1"/>
  <c r="D78" i="1"/>
  <c r="C78" i="1"/>
  <c r="B78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E75" i="1"/>
  <c r="G75" i="1" s="1"/>
  <c r="D75" i="1"/>
  <c r="C75" i="1"/>
  <c r="B75" i="1"/>
  <c r="AE73" i="1"/>
  <c r="AE71" i="1" s="1"/>
  <c r="AC73" i="1"/>
  <c r="AA73" i="1"/>
  <c r="Y73" i="1"/>
  <c r="W73" i="1"/>
  <c r="W71" i="1" s="1"/>
  <c r="V73" i="1"/>
  <c r="U73" i="1"/>
  <c r="S73" i="1"/>
  <c r="Q73" i="1"/>
  <c r="O73" i="1"/>
  <c r="K73" i="1"/>
  <c r="J73" i="1"/>
  <c r="I73" i="1"/>
  <c r="I71" i="1" s="1"/>
  <c r="AE72" i="1"/>
  <c r="AC72" i="1"/>
  <c r="AB72" i="1"/>
  <c r="AA72" i="1"/>
  <c r="Y72" i="1"/>
  <c r="X72" i="1"/>
  <c r="W72" i="1"/>
  <c r="U72" i="1"/>
  <c r="U71" i="1" s="1"/>
  <c r="S72" i="1"/>
  <c r="Q72" i="1"/>
  <c r="O72" i="1"/>
  <c r="O71" i="1" s="1"/>
  <c r="N72" i="1"/>
  <c r="M72" i="1"/>
  <c r="K72" i="1"/>
  <c r="J72" i="1"/>
  <c r="I72" i="1"/>
  <c r="H72" i="1"/>
  <c r="AC71" i="1"/>
  <c r="AA71" i="1"/>
  <c r="Y71" i="1"/>
  <c r="Q71" i="1"/>
  <c r="K71" i="1"/>
  <c r="E70" i="1"/>
  <c r="G70" i="1" s="1"/>
  <c r="C70" i="1"/>
  <c r="B70" i="1"/>
  <c r="E69" i="1"/>
  <c r="F69" i="1" s="1"/>
  <c r="C69" i="1"/>
  <c r="B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B68" i="1"/>
  <c r="AD66" i="1"/>
  <c r="AD73" i="1" s="1"/>
  <c r="AB66" i="1"/>
  <c r="AB73" i="1" s="1"/>
  <c r="AB71" i="1" s="1"/>
  <c r="Z66" i="1"/>
  <c r="X66" i="1"/>
  <c r="X73" i="1" s="1"/>
  <c r="X71" i="1" s="1"/>
  <c r="T66" i="1"/>
  <c r="R66" i="1"/>
  <c r="R73" i="1" s="1"/>
  <c r="P66" i="1"/>
  <c r="N66" i="1"/>
  <c r="N73" i="1" s="1"/>
  <c r="N71" i="1" s="1"/>
  <c r="M66" i="1"/>
  <c r="M73" i="1" s="1"/>
  <c r="M71" i="1" s="1"/>
  <c r="L66" i="1"/>
  <c r="L73" i="1" s="1"/>
  <c r="J66" i="1"/>
  <c r="H66" i="1"/>
  <c r="H73" i="1" s="1"/>
  <c r="H71" i="1" s="1"/>
  <c r="AD65" i="1"/>
  <c r="AD72" i="1" s="1"/>
  <c r="AB65" i="1"/>
  <c r="Z65" i="1"/>
  <c r="Z72" i="1" s="1"/>
  <c r="X65" i="1"/>
  <c r="T65" i="1"/>
  <c r="T72" i="1" s="1"/>
  <c r="R65" i="1"/>
  <c r="P65" i="1"/>
  <c r="P72" i="1" s="1"/>
  <c r="N65" i="1"/>
  <c r="L65" i="1"/>
  <c r="L72" i="1" s="1"/>
  <c r="J65" i="1"/>
  <c r="E65" i="1"/>
  <c r="D65" i="1"/>
  <c r="D72" i="1" s="1"/>
  <c r="AE64" i="1"/>
  <c r="AD64" i="1"/>
  <c r="AC64" i="1"/>
  <c r="AA64" i="1"/>
  <c r="Z64" i="1"/>
  <c r="Y64" i="1"/>
  <c r="X64" i="1"/>
  <c r="W64" i="1"/>
  <c r="V64" i="1"/>
  <c r="U64" i="1"/>
  <c r="S64" i="1"/>
  <c r="R64" i="1"/>
  <c r="Q64" i="1"/>
  <c r="P64" i="1"/>
  <c r="O64" i="1"/>
  <c r="N64" i="1"/>
  <c r="K64" i="1"/>
  <c r="J64" i="1"/>
  <c r="I64" i="1"/>
  <c r="AB62" i="1"/>
  <c r="Z62" i="1"/>
  <c r="Z73" i="1" s="1"/>
  <c r="Z71" i="1" s="1"/>
  <c r="X62" i="1"/>
  <c r="V62" i="1"/>
  <c r="T62" i="1"/>
  <c r="R62" i="1"/>
  <c r="B62" i="1" s="1"/>
  <c r="F62" i="1" s="1"/>
  <c r="P62" i="1"/>
  <c r="N62" i="1"/>
  <c r="E62" i="1"/>
  <c r="C62" i="1"/>
  <c r="D62" i="1" s="1"/>
  <c r="D60" i="1" s="1"/>
  <c r="Z61" i="1"/>
  <c r="X61" i="1"/>
  <c r="V61" i="1"/>
  <c r="V72" i="1" s="1"/>
  <c r="T61" i="1"/>
  <c r="R61" i="1"/>
  <c r="B61" i="1" s="1"/>
  <c r="P61" i="1"/>
  <c r="E61" i="1"/>
  <c r="E60" i="1" s="1"/>
  <c r="C61" i="1"/>
  <c r="C60" i="1" s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AE57" i="1"/>
  <c r="AD57" i="1"/>
  <c r="AC57" i="1"/>
  <c r="AA57" i="1"/>
  <c r="AA12" i="1" s="1"/>
  <c r="AA77" i="1" s="1"/>
  <c r="Y57" i="1"/>
  <c r="X57" i="1"/>
  <c r="X12" i="1" s="1"/>
  <c r="X77" i="1" s="1"/>
  <c r="X138" i="1" s="1"/>
  <c r="W57" i="1"/>
  <c r="U57" i="1"/>
  <c r="U12" i="1" s="1"/>
  <c r="U77" i="1" s="1"/>
  <c r="T57" i="1"/>
  <c r="S57" i="1"/>
  <c r="Q57" i="1"/>
  <c r="Q12" i="1" s="1"/>
  <c r="I57" i="1"/>
  <c r="H57" i="1"/>
  <c r="AE56" i="1"/>
  <c r="AE55" i="1" s="1"/>
  <c r="AC56" i="1"/>
  <c r="AA56" i="1"/>
  <c r="AA55" i="1" s="1"/>
  <c r="Y56" i="1"/>
  <c r="Y55" i="1" s="1"/>
  <c r="W56" i="1"/>
  <c r="U56" i="1"/>
  <c r="S56" i="1"/>
  <c r="Q56" i="1"/>
  <c r="O56" i="1"/>
  <c r="M56" i="1"/>
  <c r="K56" i="1"/>
  <c r="J56" i="1"/>
  <c r="I56" i="1"/>
  <c r="H56" i="1"/>
  <c r="H55" i="1" s="1"/>
  <c r="G54" i="1"/>
  <c r="F54" i="1"/>
  <c r="G53" i="1"/>
  <c r="F53" i="1"/>
  <c r="E52" i="1"/>
  <c r="E49" i="1" s="1"/>
  <c r="D52" i="1"/>
  <c r="D49" i="1" s="1"/>
  <c r="C52" i="1"/>
  <c r="B52" i="1"/>
  <c r="B49" i="1" s="1"/>
  <c r="G51" i="1"/>
  <c r="B51" i="1"/>
  <c r="F51" i="1" s="1"/>
  <c r="G50" i="1"/>
  <c r="F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C49" i="1"/>
  <c r="E47" i="1"/>
  <c r="C47" i="1"/>
  <c r="B47" i="1"/>
  <c r="E45" i="1"/>
  <c r="C45" i="1"/>
  <c r="G45" i="1" s="1"/>
  <c r="B45" i="1"/>
  <c r="G43" i="1"/>
  <c r="F43" i="1"/>
  <c r="G42" i="1"/>
  <c r="F42" i="1"/>
  <c r="V41" i="1"/>
  <c r="V38" i="1" s="1"/>
  <c r="T41" i="1"/>
  <c r="R41" i="1"/>
  <c r="R38" i="1" s="1"/>
  <c r="O41" i="1"/>
  <c r="E41" i="1" s="1"/>
  <c r="N41" i="1"/>
  <c r="E40" i="1"/>
  <c r="F40" i="1" s="1"/>
  <c r="C40" i="1"/>
  <c r="B40" i="1"/>
  <c r="G39" i="1"/>
  <c r="F39" i="1"/>
  <c r="AE38" i="1"/>
  <c r="AD38" i="1"/>
  <c r="AC38" i="1"/>
  <c r="AB38" i="1"/>
  <c r="AA38" i="1"/>
  <c r="Z38" i="1"/>
  <c r="Y38" i="1"/>
  <c r="X38" i="1"/>
  <c r="W38" i="1"/>
  <c r="U38" i="1"/>
  <c r="T38" i="1"/>
  <c r="S38" i="1"/>
  <c r="Q38" i="1"/>
  <c r="P38" i="1"/>
  <c r="O38" i="1"/>
  <c r="M38" i="1"/>
  <c r="L38" i="1"/>
  <c r="K38" i="1"/>
  <c r="J38" i="1"/>
  <c r="I38" i="1"/>
  <c r="H38" i="1"/>
  <c r="G36" i="1"/>
  <c r="F36" i="1"/>
  <c r="G35" i="1"/>
  <c r="F35" i="1"/>
  <c r="AB34" i="1"/>
  <c r="AB57" i="1" s="1"/>
  <c r="AB12" i="1" s="1"/>
  <c r="AB77" i="1" s="1"/>
  <c r="AB138" i="1" s="1"/>
  <c r="Z34" i="1"/>
  <c r="Z57" i="1" s="1"/>
  <c r="X34" i="1"/>
  <c r="P34" i="1"/>
  <c r="P57" i="1" s="1"/>
  <c r="O34" i="1"/>
  <c r="O31" i="1" s="1"/>
  <c r="N34" i="1"/>
  <c r="M34" i="1"/>
  <c r="M57" i="1" s="1"/>
  <c r="L34" i="1"/>
  <c r="L57" i="1" s="1"/>
  <c r="L12" i="1" s="1"/>
  <c r="L77" i="1" s="1"/>
  <c r="L138" i="1" s="1"/>
  <c r="K34" i="1"/>
  <c r="K31" i="1" s="1"/>
  <c r="J34" i="1"/>
  <c r="AD33" i="1"/>
  <c r="AB33" i="1"/>
  <c r="AB56" i="1" s="1"/>
  <c r="AB55" i="1" s="1"/>
  <c r="Z33" i="1"/>
  <c r="R33" i="1"/>
  <c r="P33" i="1"/>
  <c r="P56" i="1" s="1"/>
  <c r="O33" i="1"/>
  <c r="N33" i="1"/>
  <c r="M33" i="1"/>
  <c r="E33" i="1" s="1"/>
  <c r="L33" i="1"/>
  <c r="G32" i="1"/>
  <c r="F32" i="1"/>
  <c r="AE31" i="1"/>
  <c r="AD31" i="1"/>
  <c r="AC31" i="1"/>
  <c r="AA31" i="1"/>
  <c r="Z31" i="1"/>
  <c r="Y31" i="1"/>
  <c r="X31" i="1"/>
  <c r="W31" i="1"/>
  <c r="V31" i="1"/>
  <c r="U31" i="1"/>
  <c r="T31" i="1"/>
  <c r="S31" i="1"/>
  <c r="R31" i="1"/>
  <c r="Q31" i="1"/>
  <c r="N31" i="1"/>
  <c r="M31" i="1"/>
  <c r="L31" i="1"/>
  <c r="J31" i="1"/>
  <c r="I31" i="1"/>
  <c r="H31" i="1"/>
  <c r="E29" i="1"/>
  <c r="C29" i="1"/>
  <c r="B29" i="1"/>
  <c r="E27" i="1"/>
  <c r="C27" i="1"/>
  <c r="B27" i="1"/>
  <c r="E25" i="1"/>
  <c r="F25" i="1" s="1"/>
  <c r="C25" i="1"/>
  <c r="B25" i="1"/>
  <c r="E24" i="1"/>
  <c r="F24" i="1" s="1"/>
  <c r="C24" i="1"/>
  <c r="B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D23" i="1"/>
  <c r="C23" i="1"/>
  <c r="F21" i="1"/>
  <c r="C21" i="1"/>
  <c r="G21" i="1" s="1"/>
  <c r="G20" i="1"/>
  <c r="F20" i="1"/>
  <c r="C20" i="1"/>
  <c r="V19" i="1"/>
  <c r="V57" i="1" s="1"/>
  <c r="V12" i="1" s="1"/>
  <c r="V77" i="1" s="1"/>
  <c r="T19" i="1"/>
  <c r="R19" i="1"/>
  <c r="P19" i="1"/>
  <c r="O19" i="1"/>
  <c r="O57" i="1" s="1"/>
  <c r="O12" i="1" s="1"/>
  <c r="O77" i="1" s="1"/>
  <c r="N19" i="1"/>
  <c r="D19" i="1"/>
  <c r="D16" i="1" s="1"/>
  <c r="C19" i="1"/>
  <c r="X18" i="1"/>
  <c r="X56" i="1" s="1"/>
  <c r="X55" i="1" s="1"/>
  <c r="V18" i="1"/>
  <c r="T18" i="1"/>
  <c r="T56" i="1" s="1"/>
  <c r="T55" i="1" s="1"/>
  <c r="E18" i="1"/>
  <c r="D18" i="1"/>
  <c r="D56" i="1" s="1"/>
  <c r="C18" i="1"/>
  <c r="AE16" i="1"/>
  <c r="AD16" i="1"/>
  <c r="AC16" i="1"/>
  <c r="AB16" i="1"/>
  <c r="AA16" i="1"/>
  <c r="Z16" i="1"/>
  <c r="Y16" i="1"/>
  <c r="W16" i="1"/>
  <c r="U16" i="1"/>
  <c r="S16" i="1"/>
  <c r="R16" i="1"/>
  <c r="P16" i="1"/>
  <c r="N16" i="1"/>
  <c r="M16" i="1"/>
  <c r="L16" i="1"/>
  <c r="K16" i="1"/>
  <c r="J16" i="1"/>
  <c r="I16" i="1"/>
  <c r="H16" i="1"/>
  <c r="C16" i="1"/>
  <c r="G14" i="1"/>
  <c r="F14" i="1"/>
  <c r="G13" i="1"/>
  <c r="F13" i="1"/>
  <c r="AE12" i="1"/>
  <c r="AE77" i="1" s="1"/>
  <c r="AE138" i="1" s="1"/>
  <c r="AD12" i="1"/>
  <c r="AD77" i="1" s="1"/>
  <c r="AC12" i="1"/>
  <c r="AC77" i="1" s="1"/>
  <c r="Z12" i="1"/>
  <c r="Z77" i="1" s="1"/>
  <c r="Y12" i="1"/>
  <c r="Y77" i="1" s="1"/>
  <c r="W12" i="1"/>
  <c r="W77" i="1" s="1"/>
  <c r="S12" i="1"/>
  <c r="S77" i="1" s="1"/>
  <c r="I12" i="1"/>
  <c r="I77" i="1" s="1"/>
  <c r="H12" i="1"/>
  <c r="H77" i="1" s="1"/>
  <c r="AE11" i="1"/>
  <c r="AE76" i="1" s="1"/>
  <c r="AC11" i="1"/>
  <c r="AC76" i="1" s="1"/>
  <c r="AB11" i="1"/>
  <c r="AB76" i="1" s="1"/>
  <c r="AA11" i="1"/>
  <c r="AA76" i="1" s="1"/>
  <c r="Y11" i="1"/>
  <c r="Y76" i="1" s="1"/>
  <c r="X11" i="1"/>
  <c r="X76" i="1" s="1"/>
  <c r="W11" i="1"/>
  <c r="W76" i="1" s="1"/>
  <c r="U11" i="1"/>
  <c r="U76" i="1" s="1"/>
  <c r="S11" i="1"/>
  <c r="S76" i="1" s="1"/>
  <c r="Q11" i="1"/>
  <c r="Q76" i="1" s="1"/>
  <c r="O11" i="1"/>
  <c r="O76" i="1" s="1"/>
  <c r="M11" i="1"/>
  <c r="M76" i="1" s="1"/>
  <c r="K11" i="1"/>
  <c r="K76" i="1" s="1"/>
  <c r="J11" i="1"/>
  <c r="J76" i="1" s="1"/>
  <c r="I11" i="1"/>
  <c r="I76" i="1" s="1"/>
  <c r="H11" i="1"/>
  <c r="H76" i="1" s="1"/>
  <c r="G10" i="1"/>
  <c r="F10" i="1"/>
  <c r="AC9" i="1"/>
  <c r="U55" i="1" l="1"/>
  <c r="I55" i="1"/>
  <c r="Y9" i="1"/>
  <c r="G25" i="1"/>
  <c r="G27" i="1"/>
  <c r="B23" i="1"/>
  <c r="U9" i="1"/>
  <c r="S138" i="1"/>
  <c r="F45" i="1"/>
  <c r="B89" i="1"/>
  <c r="L129" i="1"/>
  <c r="L128" i="1" s="1"/>
  <c r="T129" i="1"/>
  <c r="T128" i="1" s="1"/>
  <c r="AB129" i="1"/>
  <c r="AB128" i="1" s="1"/>
  <c r="G130" i="1"/>
  <c r="G23" i="1"/>
  <c r="M55" i="1"/>
  <c r="Z107" i="1"/>
  <c r="K110" i="1"/>
  <c r="AA138" i="1"/>
  <c r="AA9" i="1"/>
  <c r="W138" i="1"/>
  <c r="G60" i="1"/>
  <c r="S71" i="1"/>
  <c r="F78" i="1"/>
  <c r="E92" i="1"/>
  <c r="G111" i="1"/>
  <c r="F123" i="1"/>
  <c r="H9" i="1"/>
  <c r="O138" i="1"/>
  <c r="E23" i="1"/>
  <c r="F29" i="1"/>
  <c r="E68" i="1"/>
  <c r="G68" i="1" s="1"/>
  <c r="G78" i="1"/>
  <c r="N107" i="1"/>
  <c r="V107" i="1"/>
  <c r="AD107" i="1"/>
  <c r="P89" i="1"/>
  <c r="K107" i="1"/>
  <c r="O107" i="1"/>
  <c r="W107" i="1"/>
  <c r="AA107" i="1"/>
  <c r="F111" i="1"/>
  <c r="F112" i="1"/>
  <c r="G123" i="1"/>
  <c r="G126" i="1"/>
  <c r="G133" i="1"/>
  <c r="G134" i="1"/>
  <c r="Q77" i="1"/>
  <c r="Q74" i="1" s="1"/>
  <c r="Q9" i="1"/>
  <c r="I9" i="1"/>
  <c r="S55" i="1"/>
  <c r="W9" i="1"/>
  <c r="W55" i="1"/>
  <c r="AC55" i="1"/>
  <c r="Q55" i="1"/>
  <c r="P55" i="1"/>
  <c r="F23" i="1"/>
  <c r="E38" i="1"/>
  <c r="I74" i="1"/>
  <c r="AC137" i="1"/>
  <c r="AC74" i="1"/>
  <c r="Y137" i="1"/>
  <c r="Y74" i="1"/>
  <c r="D29" i="1"/>
  <c r="L56" i="1"/>
  <c r="L55" i="1" s="1"/>
  <c r="B33" i="1"/>
  <c r="F33" i="1" s="1"/>
  <c r="E34" i="1"/>
  <c r="S9" i="1"/>
  <c r="K137" i="1"/>
  <c r="P11" i="1"/>
  <c r="U137" i="1"/>
  <c r="U74" i="1"/>
  <c r="G18" i="1"/>
  <c r="C33" i="1"/>
  <c r="R56" i="1"/>
  <c r="F47" i="1"/>
  <c r="K57" i="1"/>
  <c r="K12" i="1" s="1"/>
  <c r="X9" i="1"/>
  <c r="AB9" i="1"/>
  <c r="D11" i="1"/>
  <c r="H137" i="1"/>
  <c r="H74" i="1"/>
  <c r="L11" i="1"/>
  <c r="Q137" i="1"/>
  <c r="W137" i="1"/>
  <c r="W135" i="1" s="1"/>
  <c r="W74" i="1"/>
  <c r="AB137" i="1"/>
  <c r="AB135" i="1" s="1"/>
  <c r="AB74" i="1"/>
  <c r="M12" i="1"/>
  <c r="T16" i="1"/>
  <c r="X16" i="1"/>
  <c r="B18" i="1"/>
  <c r="F18" i="1"/>
  <c r="N57" i="1"/>
  <c r="N12" i="1" s="1"/>
  <c r="N77" i="1" s="1"/>
  <c r="B19" i="1"/>
  <c r="G24" i="1"/>
  <c r="F27" i="1"/>
  <c r="G29" i="1"/>
  <c r="P31" i="1"/>
  <c r="AB31" i="1"/>
  <c r="N56" i="1"/>
  <c r="N11" i="1"/>
  <c r="Z56" i="1"/>
  <c r="Z55" i="1" s="1"/>
  <c r="Z11" i="1"/>
  <c r="B34" i="1"/>
  <c r="B31" i="1" s="1"/>
  <c r="J57" i="1"/>
  <c r="C34" i="1"/>
  <c r="B41" i="1"/>
  <c r="B38" i="1" s="1"/>
  <c r="C41" i="1"/>
  <c r="G41" i="1" s="1"/>
  <c r="N38" i="1"/>
  <c r="G47" i="1"/>
  <c r="E56" i="1"/>
  <c r="B60" i="1"/>
  <c r="F60" i="1" s="1"/>
  <c r="L71" i="1"/>
  <c r="B72" i="1"/>
  <c r="U107" i="1"/>
  <c r="X137" i="1"/>
  <c r="X135" i="1" s="1"/>
  <c r="X74" i="1"/>
  <c r="AD71" i="1"/>
  <c r="AC107" i="1"/>
  <c r="M137" i="1"/>
  <c r="O74" i="1"/>
  <c r="T11" i="1"/>
  <c r="E19" i="1"/>
  <c r="O55" i="1"/>
  <c r="T107" i="1"/>
  <c r="E110" i="1"/>
  <c r="E89" i="1"/>
  <c r="E88" i="1"/>
  <c r="F92" i="1"/>
  <c r="R107" i="1"/>
  <c r="S74" i="1"/>
  <c r="J137" i="1"/>
  <c r="AE74" i="1"/>
  <c r="V16" i="1"/>
  <c r="V56" i="1"/>
  <c r="V55" i="1" s="1"/>
  <c r="V11" i="1"/>
  <c r="AD56" i="1"/>
  <c r="AD55" i="1" s="1"/>
  <c r="AD11" i="1"/>
  <c r="G40" i="1"/>
  <c r="O9" i="1"/>
  <c r="AE9" i="1"/>
  <c r="AA137" i="1"/>
  <c r="AA135" i="1" s="1"/>
  <c r="AA74" i="1"/>
  <c r="O16" i="1"/>
  <c r="R57" i="1"/>
  <c r="R12" i="1" s="1"/>
  <c r="R77" i="1" s="1"/>
  <c r="H64" i="1"/>
  <c r="L64" i="1"/>
  <c r="C65" i="1"/>
  <c r="B65" i="1"/>
  <c r="P73" i="1"/>
  <c r="P71" i="1" s="1"/>
  <c r="D70" i="1"/>
  <c r="C68" i="1"/>
  <c r="N82" i="1"/>
  <c r="R82" i="1"/>
  <c r="V82" i="1"/>
  <c r="Z82" i="1"/>
  <c r="AD82" i="1"/>
  <c r="B84" i="1"/>
  <c r="B82" i="1" s="1"/>
  <c r="H88" i="1"/>
  <c r="L88" i="1"/>
  <c r="P88" i="1"/>
  <c r="T88" i="1"/>
  <c r="X88" i="1"/>
  <c r="AB88" i="1"/>
  <c r="H89" i="1"/>
  <c r="X89" i="1"/>
  <c r="F91" i="1"/>
  <c r="G103" i="1"/>
  <c r="B110" i="1"/>
  <c r="B115" i="1"/>
  <c r="B113" i="1" s="1"/>
  <c r="C129" i="1"/>
  <c r="C128" i="1" s="1"/>
  <c r="C124" i="1"/>
  <c r="C122" i="1" s="1"/>
  <c r="B118" i="1"/>
  <c r="P122" i="1"/>
  <c r="W129" i="1"/>
  <c r="W128" i="1" s="1"/>
  <c r="E72" i="1"/>
  <c r="E11" i="1" s="1"/>
  <c r="R72" i="1"/>
  <c r="R71" i="1" s="1"/>
  <c r="I109" i="1"/>
  <c r="H110" i="1"/>
  <c r="H107" i="1" s="1"/>
  <c r="E131" i="1"/>
  <c r="F117" i="1"/>
  <c r="E115" i="1"/>
  <c r="T122" i="1"/>
  <c r="H129" i="1"/>
  <c r="H128" i="1" s="1"/>
  <c r="X129" i="1"/>
  <c r="X128" i="1" s="1"/>
  <c r="F61" i="1"/>
  <c r="G62" i="1"/>
  <c r="F65" i="1"/>
  <c r="B66" i="1"/>
  <c r="B73" i="1" s="1"/>
  <c r="E66" i="1"/>
  <c r="M64" i="1"/>
  <c r="T73" i="1"/>
  <c r="T71" i="1" s="1"/>
  <c r="G69" i="1"/>
  <c r="F70" i="1"/>
  <c r="J71" i="1"/>
  <c r="F75" i="1"/>
  <c r="F79" i="1"/>
  <c r="E84" i="1"/>
  <c r="C109" i="1"/>
  <c r="G97" i="1"/>
  <c r="G98" i="1"/>
  <c r="G117" i="1"/>
  <c r="D125" i="1"/>
  <c r="D122" i="1" s="1"/>
  <c r="D129" i="1"/>
  <c r="D128" i="1" s="1"/>
  <c r="H122" i="1"/>
  <c r="X122" i="1"/>
  <c r="G61" i="1"/>
  <c r="T64" i="1"/>
  <c r="AB64" i="1"/>
  <c r="C66" i="1"/>
  <c r="V71" i="1"/>
  <c r="C92" i="1"/>
  <c r="I110" i="1"/>
  <c r="I138" i="1" s="1"/>
  <c r="I89" i="1"/>
  <c r="M110" i="1"/>
  <c r="M107" i="1" s="1"/>
  <c r="M89" i="1"/>
  <c r="Q110" i="1"/>
  <c r="Q107" i="1" s="1"/>
  <c r="Q89" i="1"/>
  <c r="U110" i="1"/>
  <c r="U138" i="1" s="1"/>
  <c r="U89" i="1"/>
  <c r="Y110" i="1"/>
  <c r="Y107" i="1" s="1"/>
  <c r="Y89" i="1"/>
  <c r="AC110" i="1"/>
  <c r="AC138" i="1" s="1"/>
  <c r="AC89" i="1"/>
  <c r="F97" i="1"/>
  <c r="G108" i="1"/>
  <c r="S107" i="1"/>
  <c r="AE107" i="1"/>
  <c r="B124" i="1"/>
  <c r="G132" i="1"/>
  <c r="E125" i="1"/>
  <c r="J122" i="1"/>
  <c r="J132" i="1"/>
  <c r="J129" i="1" s="1"/>
  <c r="J128" i="1" s="1"/>
  <c r="N132" i="1"/>
  <c r="N129" i="1" s="1"/>
  <c r="N128" i="1" s="1"/>
  <c r="N122" i="1"/>
  <c r="R132" i="1"/>
  <c r="R129" i="1" s="1"/>
  <c r="R128" i="1" s="1"/>
  <c r="R122" i="1"/>
  <c r="V132" i="1"/>
  <c r="V129" i="1" s="1"/>
  <c r="V128" i="1" s="1"/>
  <c r="V122" i="1"/>
  <c r="Z122" i="1"/>
  <c r="Z132" i="1"/>
  <c r="Z129" i="1" s="1"/>
  <c r="Z128" i="1" s="1"/>
  <c r="AD132" i="1"/>
  <c r="AD129" i="1" s="1"/>
  <c r="AD128" i="1" s="1"/>
  <c r="AD122" i="1"/>
  <c r="L122" i="1"/>
  <c r="AB122" i="1"/>
  <c r="P129" i="1"/>
  <c r="P128" i="1" s="1"/>
  <c r="G118" i="1"/>
  <c r="I122" i="1"/>
  <c r="M122" i="1"/>
  <c r="Q122" i="1"/>
  <c r="U122" i="1"/>
  <c r="Y122" i="1"/>
  <c r="AC122" i="1"/>
  <c r="F130" i="1"/>
  <c r="S131" i="1"/>
  <c r="S129" i="1" s="1"/>
  <c r="S128" i="1" s="1"/>
  <c r="F133" i="1"/>
  <c r="F134" i="1"/>
  <c r="I129" i="1"/>
  <c r="I128" i="1" s="1"/>
  <c r="M129" i="1"/>
  <c r="M128" i="1" s="1"/>
  <c r="Q129" i="1"/>
  <c r="Q128" i="1" s="1"/>
  <c r="U129" i="1"/>
  <c r="U128" i="1" s="1"/>
  <c r="Y129" i="1"/>
  <c r="Y128" i="1" s="1"/>
  <c r="AC129" i="1"/>
  <c r="AC128" i="1" s="1"/>
  <c r="O131" i="1"/>
  <c r="O129" i="1" s="1"/>
  <c r="O128" i="1" s="1"/>
  <c r="AE131" i="1"/>
  <c r="AE129" i="1" s="1"/>
  <c r="K122" i="1"/>
  <c r="W122" i="1"/>
  <c r="AA122" i="1"/>
  <c r="F68" i="1" l="1"/>
  <c r="AE137" i="1"/>
  <c r="AE135" i="1" s="1"/>
  <c r="R11" i="1"/>
  <c r="R76" i="1" s="1"/>
  <c r="K55" i="1"/>
  <c r="N55" i="1"/>
  <c r="S137" i="1"/>
  <c r="S135" i="1" s="1"/>
  <c r="O137" i="1"/>
  <c r="O135" i="1" s="1"/>
  <c r="E76" i="1"/>
  <c r="G66" i="1"/>
  <c r="F66" i="1"/>
  <c r="D68" i="1"/>
  <c r="F88" i="1"/>
  <c r="F89" i="1"/>
  <c r="Z76" i="1"/>
  <c r="Z9" i="1"/>
  <c r="C110" i="1"/>
  <c r="C107" i="1" s="1"/>
  <c r="C88" i="1"/>
  <c r="C89" i="1"/>
  <c r="E73" i="1"/>
  <c r="E64" i="1"/>
  <c r="I107" i="1"/>
  <c r="AD76" i="1"/>
  <c r="AD9" i="1"/>
  <c r="G92" i="1"/>
  <c r="T76" i="1"/>
  <c r="C31" i="1"/>
  <c r="D34" i="1"/>
  <c r="B57" i="1"/>
  <c r="B12" i="1"/>
  <c r="B77" i="1" s="1"/>
  <c r="B56" i="1"/>
  <c r="B16" i="1"/>
  <c r="B11" i="1"/>
  <c r="F11" i="1" s="1"/>
  <c r="M77" i="1"/>
  <c r="M9" i="1"/>
  <c r="L76" i="1"/>
  <c r="L9" i="1"/>
  <c r="T12" i="1"/>
  <c r="T77" i="1" s="1"/>
  <c r="T138" i="1" s="1"/>
  <c r="P76" i="1"/>
  <c r="G34" i="1"/>
  <c r="E31" i="1"/>
  <c r="F34" i="1"/>
  <c r="Z138" i="1"/>
  <c r="P12" i="1"/>
  <c r="P77" i="1" s="1"/>
  <c r="P138" i="1" s="1"/>
  <c r="E129" i="1"/>
  <c r="G131" i="1"/>
  <c r="F131" i="1"/>
  <c r="E124" i="1"/>
  <c r="B64" i="1"/>
  <c r="R138" i="1"/>
  <c r="F110" i="1"/>
  <c r="Y138" i="1"/>
  <c r="Y135" i="1" s="1"/>
  <c r="B109" i="1"/>
  <c r="B107" i="1" s="1"/>
  <c r="J55" i="1"/>
  <c r="J12" i="1"/>
  <c r="N76" i="1"/>
  <c r="N9" i="1"/>
  <c r="N138" i="1"/>
  <c r="H138" i="1"/>
  <c r="H135" i="1" s="1"/>
  <c r="K77" i="1"/>
  <c r="K9" i="1"/>
  <c r="R55" i="1"/>
  <c r="Q138" i="1"/>
  <c r="Q135" i="1" s="1"/>
  <c r="I137" i="1"/>
  <c r="I135" i="1" s="1"/>
  <c r="V138" i="1"/>
  <c r="G125" i="1"/>
  <c r="B132" i="1"/>
  <c r="F118" i="1"/>
  <c r="V76" i="1"/>
  <c r="V9" i="1"/>
  <c r="E57" i="1"/>
  <c r="F19" i="1"/>
  <c r="E12" i="1"/>
  <c r="G19" i="1"/>
  <c r="B71" i="1"/>
  <c r="D41" i="1"/>
  <c r="D38" i="1" s="1"/>
  <c r="C38" i="1"/>
  <c r="C57" i="1"/>
  <c r="C56" i="1"/>
  <c r="F41" i="1"/>
  <c r="C73" i="1"/>
  <c r="D66" i="1"/>
  <c r="D64" i="1" s="1"/>
  <c r="G72" i="1"/>
  <c r="F72" i="1"/>
  <c r="AD138" i="1"/>
  <c r="D76" i="1"/>
  <c r="E16" i="1"/>
  <c r="U135" i="1"/>
  <c r="AC135" i="1"/>
  <c r="F38" i="1"/>
  <c r="G33" i="1"/>
  <c r="G65" i="1"/>
  <c r="C64" i="1"/>
  <c r="F115" i="1"/>
  <c r="G115" i="1"/>
  <c r="E113" i="1"/>
  <c r="C72" i="1"/>
  <c r="F84" i="1"/>
  <c r="E82" i="1"/>
  <c r="G84" i="1"/>
  <c r="E109" i="1"/>
  <c r="R9" i="1" l="1"/>
  <c r="B55" i="1"/>
  <c r="G110" i="1"/>
  <c r="B138" i="1"/>
  <c r="G82" i="1"/>
  <c r="F82" i="1"/>
  <c r="G113" i="1"/>
  <c r="F113" i="1"/>
  <c r="J77" i="1"/>
  <c r="J9" i="1"/>
  <c r="F124" i="1"/>
  <c r="G124" i="1"/>
  <c r="E122" i="1"/>
  <c r="R137" i="1"/>
  <c r="R135" i="1" s="1"/>
  <c r="R74" i="1"/>
  <c r="D31" i="1"/>
  <c r="D57" i="1"/>
  <c r="D55" i="1" s="1"/>
  <c r="T137" i="1"/>
  <c r="T135" i="1" s="1"/>
  <c r="T74" i="1"/>
  <c r="AD137" i="1"/>
  <c r="AD135" i="1" s="1"/>
  <c r="AD74" i="1"/>
  <c r="F56" i="1"/>
  <c r="D137" i="1"/>
  <c r="C55" i="1"/>
  <c r="E77" i="1"/>
  <c r="E74" i="1" s="1"/>
  <c r="F12" i="1"/>
  <c r="V137" i="1"/>
  <c r="V135" i="1" s="1"/>
  <c r="V74" i="1"/>
  <c r="P9" i="1"/>
  <c r="M138" i="1"/>
  <c r="M135" i="1" s="1"/>
  <c r="M74" i="1"/>
  <c r="G56" i="1"/>
  <c r="G88" i="1"/>
  <c r="G109" i="1"/>
  <c r="F109" i="1"/>
  <c r="E107" i="1"/>
  <c r="C71" i="1"/>
  <c r="P137" i="1"/>
  <c r="P135" i="1" s="1"/>
  <c r="P74" i="1"/>
  <c r="B76" i="1"/>
  <c r="F76" i="1" s="1"/>
  <c r="B9" i="1"/>
  <c r="G64" i="1"/>
  <c r="F64" i="1"/>
  <c r="Z137" i="1"/>
  <c r="Z135" i="1" s="1"/>
  <c r="Z74" i="1"/>
  <c r="E137" i="1"/>
  <c r="G38" i="1"/>
  <c r="G16" i="1"/>
  <c r="F16" i="1"/>
  <c r="C11" i="1"/>
  <c r="F57" i="1"/>
  <c r="G57" i="1"/>
  <c r="B125" i="1"/>
  <c r="B129" i="1"/>
  <c r="B128" i="1" s="1"/>
  <c r="F132" i="1"/>
  <c r="K138" i="1"/>
  <c r="K135" i="1" s="1"/>
  <c r="K74" i="1"/>
  <c r="N137" i="1"/>
  <c r="N135" i="1" s="1"/>
  <c r="N74" i="1"/>
  <c r="E128" i="1"/>
  <c r="G129" i="1"/>
  <c r="F129" i="1"/>
  <c r="G31" i="1"/>
  <c r="F31" i="1"/>
  <c r="L137" i="1"/>
  <c r="L135" i="1" s="1"/>
  <c r="L74" i="1"/>
  <c r="C12" i="1"/>
  <c r="C77" i="1" s="1"/>
  <c r="C138" i="1" s="1"/>
  <c r="T9" i="1"/>
  <c r="F73" i="1"/>
  <c r="E71" i="1"/>
  <c r="G73" i="1"/>
  <c r="E55" i="1"/>
  <c r="G89" i="1"/>
  <c r="D73" i="1"/>
  <c r="D71" i="1" s="1"/>
  <c r="E9" i="1"/>
  <c r="D12" i="1" l="1"/>
  <c r="D9" i="1" s="1"/>
  <c r="F9" i="1"/>
  <c r="G12" i="1"/>
  <c r="G122" i="1"/>
  <c r="G55" i="1"/>
  <c r="F55" i="1"/>
  <c r="F128" i="1"/>
  <c r="G128" i="1"/>
  <c r="J138" i="1"/>
  <c r="J135" i="1" s="1"/>
  <c r="J74" i="1"/>
  <c r="C76" i="1"/>
  <c r="C9" i="1"/>
  <c r="G9" i="1" s="1"/>
  <c r="G11" i="1"/>
  <c r="G107" i="1"/>
  <c r="F107" i="1"/>
  <c r="E138" i="1"/>
  <c r="G77" i="1"/>
  <c r="F77" i="1"/>
  <c r="B137" i="1"/>
  <c r="B135" i="1" s="1"/>
  <c r="B74" i="1"/>
  <c r="F74" i="1" s="1"/>
  <c r="D77" i="1"/>
  <c r="F71" i="1"/>
  <c r="G71" i="1"/>
  <c r="B122" i="1"/>
  <c r="F122" i="1" s="1"/>
  <c r="F125" i="1"/>
  <c r="C137" i="1" l="1"/>
  <c r="C74" i="1"/>
  <c r="G74" i="1" s="1"/>
  <c r="G76" i="1"/>
  <c r="F138" i="1"/>
  <c r="G138" i="1"/>
  <c r="F137" i="1"/>
  <c r="D138" i="1"/>
  <c r="D135" i="1" s="1"/>
  <c r="D74" i="1"/>
  <c r="E135" i="1"/>
  <c r="F135" i="1" l="1"/>
  <c r="C135" i="1"/>
  <c r="G137" i="1"/>
  <c r="G135" i="1" l="1"/>
</calcChain>
</file>

<file path=xl/sharedStrings.xml><?xml version="1.0" encoding="utf-8"?>
<sst xmlns="http://schemas.openxmlformats.org/spreadsheetml/2006/main" count="197" uniqueCount="74">
  <si>
    <t xml:space="preserve">Отчет о ходе реализации муниципальной программы  (сетевой график) </t>
  </si>
  <si>
    <t>ОГЛАВЛЕНИЕ!A1</t>
  </si>
  <si>
    <t>"Содействие занятости населения города Когалыма" (постановление Администрации города Когалыма от 11.10.2013 №2901)</t>
  </si>
  <si>
    <t>тыс.руб.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</si>
  <si>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</si>
  <si>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</si>
  <si>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</si>
  <si>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</si>
  <si>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</si>
  <si>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</si>
  <si>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</si>
  <si>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</si>
  <si>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</si>
  <si>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</si>
  <si>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</si>
  <si>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</si>
  <si>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</si>
  <si>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</si>
  <si>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</si>
  <si>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</si>
  <si>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</si>
  <si>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</si>
  <si>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</si>
  <si>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</si>
  <si>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</si>
  <si>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</si>
  <si>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 xml:space="preserve">Подпрограмма 1. "Содействие трудоустройству граждан" </t>
  </si>
  <si>
    <t>Всего</t>
  </si>
  <si>
    <t>федеральный бюджет</t>
  </si>
  <si>
    <t>бюджет автономного округа</t>
  </si>
  <si>
    <t>бюджет города Когалыма</t>
  </si>
  <si>
    <t>в том числе в части софинансирования</t>
  </si>
  <si>
    <t>иные источники финансирования</t>
  </si>
  <si>
    <t>1.1.1.  "Организация временного трудоустройства несовершеннолетних граждан в возрасте от 14 до 18 лет в свободное от учёбы время"</t>
  </si>
  <si>
    <t>1.) Не использовано: 
-местный бюджет: 125,74 т.р., в том числе:
32,64т.р.- приобретение аптечек медицинских. Договор на приобретение товара (аптечки) заключен. Оплата будет произведена после поставки товара и предоставления счета на оплату.
93,10т.р.- приобретение трудовых книжек. На основании Федерального закона от 16.12.2019 N 439-ФЗ об введении "электронных трудовых книжек" с 2020 года, приобретение товара осуществляться не будет.
2.) Экономия: 
-местный бюджет: 197,34 т.р., в том числе:
52,75т.р.- приобретение бейсболок;
55,74т.р.- приобретение плащей дождевиков;          83,77т.р.- приобретение жилетов сигнальных;
5,08т.р.- приобретение канц.товаров.                 Договор на приобретение товара был заключен на меньшую сумму, чем планировалось.</t>
  </si>
  <si>
    <t>Расходы на заработную плату и налоги</t>
  </si>
  <si>
    <t>итого:</t>
  </si>
  <si>
    <t>Расхода на обеспечение мероприятий по соблюдению охраны труда несовершеннолетних граждан согласно трудовому законодательству РФ</t>
  </si>
  <si>
    <t>Расходы на приобретение канцелярских товаров</t>
  </si>
  <si>
    <t>1.1.2. "Организация временного трудоустройства несовершеннолетних граждан в возрасте от 14 до 18 лет в течение учебного года"</t>
  </si>
  <si>
    <t>1.) Не использовано: 
Остаток средств по выплате заработной плате и налогам 286,22т.р., из них: 
-0,64т.р.- денежные средства из окружного бюджета не поступили;
- 285,57т.р.- остаток средств из местного бюджета.
Остаток денежных средств образовался, в связи с тем, что несовершеннолетние граждане не приступали к работе в мае месяце. (На основании Постановления Губернатора ХМАО- Югры   №51 от 08.05.2020,  "О режиме повышенной готовности, в целях снижения риска распространения каронавирусной инфекции" приостановлена деятельность подведомственных учреждений в сфере культуры, осуществляющих развлекательную и досуговую деятельность до 31.05.2020г.)</t>
  </si>
  <si>
    <t>1.1.3. "Привлечение прочих специалистов для организации работ трудовых бригад несовершеннолетних граждан"</t>
  </si>
  <si>
    <t>1.) Экономия  в сумме 20,27т.р., из них:
5,63т.р.- приобретение бейсболок;
5,85т.р.- приобретение плащей- дождевиков;
8,79т.р.- приобретение жилетов сигнальных.           Договор на приобретение мягкого инвентаря был заключен на меньшую сумму, чем планировалось.</t>
  </si>
  <si>
    <t>Расходы на обеспечение мероприятий по соблюдению охраны труда прочих специалистов согласно трудовому законодательству РФ</t>
  </si>
  <si>
    <t>ИТОГО (МАУ "МКЦ" ФЕНИКС")</t>
  </si>
  <si>
    <t>МБУ "КСАТ"</t>
  </si>
  <si>
    <t>12 марта 2020 года заключен договор №23 о совместной деятельности между МБУ "КСАТ" и КУ ХМАО-Югры "Когалымский центр занятости населения" по временному трудоустройству граждан.
Неисполнение субсидии бюджет города Когалыма составляет 210,52 тыс.руб., в том числе: 
• по статье заработная плата в размере - 156,28 тыс.руб., 
• по статье начисления на оплату труда - 51,65 тыс. руб 
• по статье расходов "оплата медицинского осмотра" - 2,59 тыс.руб.
 Неисполнение по бюджету автономного округа составляет 53,38 тыс.руб
• по статье заработная плата в размере – 41,0 тыс.руб., 
• по статье начисления на оплату труда – 12,38 тыс. руб 
 Неисполнение связано с тем, что трудовые договора с гражданами заключены с 27.04.20г.</t>
  </si>
  <si>
    <t>МКУ "УОДОМС"</t>
  </si>
  <si>
    <t>Остаток плановых ассигнований на 01.06.2020г. cоставил: 84711,95 руб.:
1) по местному бюджету - 66416,53 руб., в т.ч.
54534,53 руб. - оплата труда гражданского персонала и начисления на них (работники приняты не в запланированные даты);
11882 руб.-возмещение работникам расходов, связанных с прохождением первичного медосмотра. Остаток средств в связи с прохождением первичного медосмотра ранее. 
2) по бюджету ХМАО-Югры - 18295,42 руб. Оплата труда гражданского персонала и начисления на них (работники приняты не в запланированные даты).</t>
  </si>
  <si>
    <t>Управление образования (МАДОУ)</t>
  </si>
  <si>
    <t xml:space="preserve">Итого по подпрограмме 1 "Содействие трудоустройству граждан" </t>
  </si>
  <si>
    <t xml:space="preserve">Подпрограмма 2. "Улучшение условий и охраны труда в городе Когалыме" </t>
  </si>
  <si>
    <t>По состоянию на 01.06.2020 года остаток от доведенных округом средств (профинансированных) составил 275,6 тыс. рублей,  в связи с тем, что кассовые расходы на связь, комунальные услуги и работы по техническому обслуживанию и ремонту компьютерной и копировальной техники, серверного и сетевого оборудования, устройств печати заключен с учетом расходных материалов. За 5 месяцев 2020 года расходные материалы заменены на меньшую сумму, чем было запланировано..Специалистами отдела по труду и занятости: рассмотрено 8 устных обращений,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</t>
  </si>
  <si>
    <t>2.2.1. "Организация проведения заседаний Межведомственной комиссии по охране труда в городе Когалыме"</t>
  </si>
  <si>
    <t>Проведение заседания Межведомственной комиссии запланировано в ноябре 2020 года.</t>
  </si>
  <si>
    <t>2.2.2.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 "</t>
  </si>
  <si>
    <t>Принято и проверено 170 отчетов по ОТ от работодателей г.Когалыма за 2019 год.</t>
  </si>
  <si>
    <t xml:space="preserve">Итого по подпрограмме 2 "Улучшение условий и охраны труда в городе Когалыме" </t>
  </si>
  <si>
    <t>Подпрограмма 3. «Сопровождение инвалидов, в том числе молодого возраста, при трудоустройстве»</t>
  </si>
  <si>
    <t>3.1.1. Содействие трудоустройству незанятых инвалидов, в том числе инвалидов молодого возраста, на оборудовнные (оснащенные) рабочие места</t>
  </si>
  <si>
    <t>Итого по подпрограмме 3 «Сопровождение инвалидов, в том числе молодого возраста, при трудоустройстве»</t>
  </si>
  <si>
    <t>Всего по муниципальной программе</t>
  </si>
  <si>
    <t xml:space="preserve">Руководитель структурного подразделения </t>
  </si>
  <si>
    <t>Ответственный за составление сетевого графика</t>
  </si>
  <si>
    <t>Загорская Е.Г.</t>
  </si>
  <si>
    <t>(подпись)</t>
  </si>
  <si>
    <t>дата составления сетевого графика</t>
  </si>
  <si>
    <t xml:space="preserve">1.1.4. "Организация проведения оплачиваемых общественных работ для не занятых трудовой деятельностью и безработных граждан" </t>
  </si>
  <si>
    <t>Всего по подмероприятию 1.1.4</t>
  </si>
  <si>
    <t>1.1 Основное мероприятие "Содействие улучшению положения на рынке труда не занятых трудовой деятельностью и безработных граждан"  (показатели 1, 2, 3)</t>
  </si>
  <si>
    <t>2.1  Основное мероприятие "Осуществление отдельных государственных полномочий в сфере трудовых отношений и  государственного управления охраной труда в городе Когалыме" (показатель 4)</t>
  </si>
  <si>
    <t>2.2. Основное мероприятие "Предупредительные меры, направленные на снижение производственного травматизма и профессиональной заболеваемости работающего населения" (показатель 5)</t>
  </si>
  <si>
    <t xml:space="preserve">3.1 Основное мероприятие "Содействие трудоустройству незанятых инвалидов, в том числе инвалидов молодого возраста, на оборудованные (оснащенные) рабочие места" (показатель 6) </t>
  </si>
  <si>
    <t>Асабин А.А., тел.93835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</si>
</sst>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_ ;[Red]\-#,##0.000\ "/>
    <numFmt numFmtId="167" formatCode="#,##0.00\ _₽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rgb="FF008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ED9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8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3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>
      <alignment horizontal="justify" wrapText="1"/>
    </xf>
    <xf numFmtId="43" fontId="15" fillId="0" borderId="3" xfId="1" applyNumberFormat="1" applyFont="1" applyFill="1" applyBorder="1" applyAlignment="1">
      <alignment horizontal="right" vertical="center" wrapText="1"/>
    </xf>
    <xf numFmtId="43" fontId="15" fillId="0" borderId="3" xfId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justify" wrapText="1"/>
    </xf>
    <xf numFmtId="43" fontId="16" fillId="0" borderId="3" xfId="1" applyNumberFormat="1" applyFont="1" applyFill="1" applyBorder="1" applyAlignment="1">
      <alignment horizontal="right" vertical="center" wrapText="1"/>
    </xf>
    <xf numFmtId="43" fontId="16" fillId="0" borderId="3" xfId="1" applyFont="1" applyFill="1" applyBorder="1" applyAlignment="1" applyProtection="1">
      <alignment horizontal="right" vertical="center" wrapText="1"/>
    </xf>
    <xf numFmtId="43" fontId="16" fillId="0" borderId="3" xfId="1" applyNumberFormat="1" applyFont="1" applyFill="1" applyBorder="1" applyAlignment="1" applyProtection="1">
      <alignment horizontal="right" vertical="center" wrapText="1"/>
    </xf>
    <xf numFmtId="0" fontId="17" fillId="0" borderId="3" xfId="0" applyFont="1" applyFill="1" applyBorder="1" applyAlignment="1">
      <alignment horizontal="right" wrapText="1"/>
    </xf>
    <xf numFmtId="43" fontId="16" fillId="0" borderId="2" xfId="1" applyFont="1" applyFill="1" applyBorder="1" applyAlignment="1" applyProtection="1">
      <alignment horizontal="right" vertical="center" wrapText="1"/>
    </xf>
    <xf numFmtId="43" fontId="20" fillId="0" borderId="0" xfId="0" applyNumberFormat="1" applyFont="1" applyFill="1" applyBorder="1" applyAlignment="1">
      <alignment vertical="center" wrapText="1"/>
    </xf>
    <xf numFmtId="9" fontId="15" fillId="0" borderId="3" xfId="2" applyFont="1" applyFill="1" applyBorder="1" applyAlignment="1">
      <alignment horizontal="right" vertical="center" wrapText="1"/>
    </xf>
    <xf numFmtId="43" fontId="15" fillId="0" borderId="3" xfId="1" applyNumberFormat="1" applyFont="1" applyFill="1" applyBorder="1" applyAlignment="1" applyProtection="1">
      <alignment horizontal="right" vertical="center" wrapText="1"/>
    </xf>
    <xf numFmtId="9" fontId="16" fillId="0" borderId="3" xfId="2" applyFont="1" applyFill="1" applyBorder="1" applyAlignment="1" applyProtection="1">
      <alignment horizontal="right" vertical="center" wrapText="1"/>
    </xf>
    <xf numFmtId="0" fontId="17" fillId="0" borderId="3" xfId="0" applyFont="1" applyFill="1" applyBorder="1" applyAlignment="1">
      <alignment horizontal="justify" wrapText="1"/>
    </xf>
    <xf numFmtId="0" fontId="17" fillId="4" borderId="3" xfId="0" applyFont="1" applyFill="1" applyBorder="1" applyAlignment="1">
      <alignment horizontal="left" vertical="top" wrapText="1"/>
    </xf>
    <xf numFmtId="43" fontId="15" fillId="4" borderId="3" xfId="0" applyNumberFormat="1" applyFont="1" applyFill="1" applyBorder="1" applyAlignment="1">
      <alignment horizontal="right" vertical="center" wrapText="1"/>
    </xf>
    <xf numFmtId="9" fontId="15" fillId="4" borderId="3" xfId="2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 wrapText="1"/>
    </xf>
    <xf numFmtId="43" fontId="16" fillId="0" borderId="3" xfId="1" applyNumberFormat="1" applyFont="1" applyFill="1" applyBorder="1" applyAlignment="1">
      <alignment horizontal="right" wrapText="1"/>
    </xf>
    <xf numFmtId="9" fontId="16" fillId="0" borderId="3" xfId="2" applyNumberFormat="1" applyFont="1" applyFill="1" applyBorder="1" applyAlignment="1">
      <alignment horizontal="right" wrapText="1"/>
    </xf>
    <xf numFmtId="9" fontId="16" fillId="0" borderId="3" xfId="2" applyFont="1" applyFill="1" applyBorder="1" applyAlignment="1">
      <alignment horizontal="right" wrapText="1"/>
    </xf>
    <xf numFmtId="43" fontId="16" fillId="0" borderId="3" xfId="1" applyNumberFormat="1" applyFont="1" applyFill="1" applyBorder="1" applyAlignment="1" applyProtection="1">
      <alignment horizontal="right" wrapText="1"/>
    </xf>
    <xf numFmtId="43" fontId="15" fillId="0" borderId="3" xfId="1" applyNumberFormat="1" applyFont="1" applyFill="1" applyBorder="1" applyAlignment="1" applyProtection="1">
      <alignment horizontal="right" wrapText="1"/>
    </xf>
    <xf numFmtId="9" fontId="16" fillId="0" borderId="3" xfId="2" applyNumberFormat="1" applyFont="1" applyFill="1" applyBorder="1" applyAlignment="1" applyProtection="1">
      <alignment horizontal="right" wrapText="1"/>
    </xf>
    <xf numFmtId="43" fontId="15" fillId="4" borderId="3" xfId="0" applyNumberFormat="1" applyFont="1" applyFill="1" applyBorder="1" applyAlignment="1">
      <alignment horizontal="right" wrapText="1"/>
    </xf>
    <xf numFmtId="9" fontId="15" fillId="4" borderId="3" xfId="0" applyNumberFormat="1" applyFont="1" applyFill="1" applyBorder="1" applyAlignment="1">
      <alignment horizontal="right" wrapText="1"/>
    </xf>
    <xf numFmtId="43" fontId="16" fillId="0" borderId="3" xfId="0" applyNumberFormat="1" applyFont="1" applyFill="1" applyBorder="1" applyAlignment="1">
      <alignment horizontal="right" wrapText="1"/>
    </xf>
    <xf numFmtId="43" fontId="22" fillId="0" borderId="3" xfId="1" applyNumberFormat="1" applyFont="1" applyFill="1" applyBorder="1" applyAlignment="1" applyProtection="1">
      <alignment horizontal="right" vertical="center" wrapText="1"/>
    </xf>
    <xf numFmtId="43" fontId="10" fillId="0" borderId="5" xfId="1" applyNumberFormat="1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vertical="center" wrapText="1"/>
    </xf>
    <xf numFmtId="166" fontId="11" fillId="0" borderId="0" xfId="0" applyNumberFormat="1" applyFont="1" applyFill="1" applyBorder="1" applyAlignment="1">
      <alignment vertical="center" wrapText="1"/>
    </xf>
    <xf numFmtId="43" fontId="16" fillId="4" borderId="3" xfId="1" applyNumberFormat="1" applyFont="1" applyFill="1" applyBorder="1" applyAlignment="1">
      <alignment horizontal="right" wrapText="1"/>
    </xf>
    <xf numFmtId="10" fontId="16" fillId="4" borderId="3" xfId="1" applyNumberFormat="1" applyFont="1" applyFill="1" applyBorder="1" applyAlignment="1">
      <alignment horizontal="right" wrapText="1"/>
    </xf>
    <xf numFmtId="43" fontId="15" fillId="4" borderId="3" xfId="1" applyNumberFormat="1" applyFont="1" applyFill="1" applyBorder="1" applyAlignment="1" applyProtection="1">
      <alignment horizontal="right" wrapText="1"/>
    </xf>
    <xf numFmtId="43" fontId="16" fillId="4" borderId="3" xfId="1" applyNumberFormat="1" applyFont="1" applyFill="1" applyBorder="1" applyAlignment="1" applyProtection="1">
      <alignment horizontal="right" wrapText="1"/>
    </xf>
    <xf numFmtId="43" fontId="16" fillId="4" borderId="3" xfId="1" applyNumberFormat="1" applyFont="1" applyFill="1" applyBorder="1" applyAlignment="1" applyProtection="1">
      <alignment horizontal="right" vertical="center" wrapText="1"/>
    </xf>
    <xf numFmtId="9" fontId="16" fillId="0" borderId="3" xfId="2" applyFont="1" applyFill="1" applyBorder="1" applyAlignment="1" applyProtection="1">
      <alignment horizontal="right" wrapText="1"/>
    </xf>
    <xf numFmtId="43" fontId="16" fillId="0" borderId="3" xfId="1" applyNumberFormat="1" applyFont="1" applyFill="1" applyBorder="1" applyAlignment="1" applyProtection="1">
      <alignment horizontal="center" vertical="center" wrapText="1"/>
    </xf>
    <xf numFmtId="43" fontId="15" fillId="0" borderId="5" xfId="1" applyNumberFormat="1" applyFont="1" applyFill="1" applyBorder="1" applyAlignment="1" applyProtection="1">
      <alignment horizontal="right" vertical="center" wrapText="1"/>
    </xf>
    <xf numFmtId="43" fontId="15" fillId="4" borderId="5" xfId="1" applyNumberFormat="1" applyFont="1" applyFill="1" applyBorder="1" applyAlignment="1" applyProtection="1">
      <alignment horizontal="right" vertical="center" wrapText="1"/>
    </xf>
    <xf numFmtId="2" fontId="19" fillId="0" borderId="5" xfId="0" applyNumberFormat="1" applyFont="1" applyFill="1" applyBorder="1" applyAlignment="1" applyProtection="1">
      <alignment horizontal="justify" vertical="top" wrapText="1"/>
    </xf>
    <xf numFmtId="43" fontId="10" fillId="0" borderId="5" xfId="1" applyNumberFormat="1" applyFont="1" applyFill="1" applyBorder="1" applyAlignment="1" applyProtection="1">
      <alignment horizontal="right" vertical="center" wrapText="1"/>
    </xf>
    <xf numFmtId="2" fontId="10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5" fillId="6" borderId="3" xfId="0" applyFont="1" applyFill="1" applyBorder="1" applyAlignment="1">
      <alignment horizontal="justify" wrapText="1"/>
    </xf>
    <xf numFmtId="43" fontId="15" fillId="6" borderId="3" xfId="1" applyNumberFormat="1" applyFont="1" applyFill="1" applyBorder="1" applyAlignment="1">
      <alignment horizontal="right" vertical="center" wrapText="1"/>
    </xf>
    <xf numFmtId="9" fontId="15" fillId="6" borderId="3" xfId="2" applyFont="1" applyFill="1" applyBorder="1" applyAlignment="1">
      <alignment horizontal="right" vertical="center" wrapText="1"/>
    </xf>
    <xf numFmtId="43" fontId="15" fillId="6" borderId="3" xfId="1" applyFont="1" applyFill="1" applyBorder="1" applyAlignment="1">
      <alignment horizontal="right" vertical="center" wrapText="1"/>
    </xf>
    <xf numFmtId="0" fontId="16" fillId="7" borderId="3" xfId="0" applyFont="1" applyFill="1" applyBorder="1" applyAlignment="1">
      <alignment horizontal="justify" wrapText="1"/>
    </xf>
    <xf numFmtId="43" fontId="16" fillId="7" borderId="3" xfId="1" applyNumberFormat="1" applyFont="1" applyFill="1" applyBorder="1" applyAlignment="1">
      <alignment horizontal="right" vertical="center" wrapText="1"/>
    </xf>
    <xf numFmtId="9" fontId="16" fillId="7" borderId="3" xfId="1" applyNumberFormat="1" applyFont="1" applyFill="1" applyBorder="1" applyAlignment="1">
      <alignment horizontal="right" vertical="center" wrapText="1"/>
    </xf>
    <xf numFmtId="43" fontId="16" fillId="7" borderId="3" xfId="1" applyFont="1" applyFill="1" applyBorder="1" applyAlignment="1">
      <alignment horizontal="right" vertical="center" wrapText="1"/>
    </xf>
    <xf numFmtId="0" fontId="16" fillId="8" borderId="3" xfId="0" applyFont="1" applyFill="1" applyBorder="1" applyAlignment="1">
      <alignment horizontal="justify" wrapText="1"/>
    </xf>
    <xf numFmtId="43" fontId="16" fillId="8" borderId="3" xfId="1" applyNumberFormat="1" applyFont="1" applyFill="1" applyBorder="1" applyAlignment="1">
      <alignment horizontal="right" vertical="center" wrapText="1"/>
    </xf>
    <xf numFmtId="9" fontId="16" fillId="8" borderId="3" xfId="2" applyFont="1" applyFill="1" applyBorder="1" applyAlignment="1">
      <alignment horizontal="right" vertical="center" wrapText="1"/>
    </xf>
    <xf numFmtId="43" fontId="16" fillId="8" borderId="3" xfId="1" applyFont="1" applyFill="1" applyBorder="1" applyAlignment="1">
      <alignment horizontal="right" vertical="center" wrapText="1"/>
    </xf>
    <xf numFmtId="2" fontId="10" fillId="9" borderId="5" xfId="0" applyNumberFormat="1" applyFont="1" applyFill="1" applyBorder="1" applyAlignment="1" applyProtection="1">
      <alignment horizontal="right" vertical="center" wrapText="1"/>
    </xf>
    <xf numFmtId="0" fontId="23" fillId="0" borderId="7" xfId="0" applyFont="1" applyFill="1" applyBorder="1" applyAlignment="1">
      <alignment horizontal="justify" vertical="center" wrapText="1"/>
    </xf>
    <xf numFmtId="43" fontId="16" fillId="0" borderId="7" xfId="1" applyNumberFormat="1" applyFont="1" applyFill="1" applyBorder="1" applyAlignment="1">
      <alignment horizontal="right" vertical="center" wrapText="1"/>
    </xf>
    <xf numFmtId="43" fontId="15" fillId="0" borderId="7" xfId="1" applyNumberFormat="1" applyFont="1" applyFill="1" applyBorder="1" applyAlignment="1" applyProtection="1">
      <alignment horizontal="right" vertical="center" wrapText="1"/>
    </xf>
    <xf numFmtId="9" fontId="15" fillId="0" borderId="7" xfId="2" applyFont="1" applyFill="1" applyBorder="1" applyAlignment="1" applyProtection="1">
      <alignment horizontal="right" vertical="center" wrapText="1"/>
    </xf>
    <xf numFmtId="43" fontId="10" fillId="0" borderId="7" xfId="1" applyNumberFormat="1" applyFont="1" applyFill="1" applyBorder="1" applyAlignment="1" applyProtection="1">
      <alignment horizontal="right" vertical="center" wrapText="1"/>
    </xf>
    <xf numFmtId="0" fontId="16" fillId="0" borderId="3" xfId="0" applyFont="1" applyFill="1" applyBorder="1" applyAlignment="1">
      <alignment horizontal="justify" vertical="top" wrapText="1"/>
    </xf>
    <xf numFmtId="0" fontId="23" fillId="0" borderId="3" xfId="0" applyFont="1" applyFill="1" applyBorder="1" applyAlignment="1">
      <alignment horizontal="justify" vertical="center" wrapText="1"/>
    </xf>
    <xf numFmtId="43" fontId="16" fillId="0" borderId="3" xfId="0" applyNumberFormat="1" applyFont="1" applyFill="1" applyBorder="1" applyAlignment="1">
      <alignment horizontal="justify" wrapText="1"/>
    </xf>
    <xf numFmtId="0" fontId="16" fillId="0" borderId="3" xfId="0" applyFont="1" applyFill="1" applyBorder="1" applyAlignment="1">
      <alignment horizontal="right" wrapText="1"/>
    </xf>
    <xf numFmtId="43" fontId="15" fillId="0" borderId="3" xfId="0" applyNumberFormat="1" applyFont="1" applyFill="1" applyBorder="1" applyAlignment="1">
      <alignment horizontal="right" wrapText="1"/>
    </xf>
    <xf numFmtId="0" fontId="14" fillId="0" borderId="3" xfId="0" applyFont="1" applyFill="1" applyBorder="1" applyAlignment="1">
      <alignment horizontal="justify" wrapText="1"/>
    </xf>
    <xf numFmtId="43" fontId="16" fillId="0" borderId="3" xfId="0" applyNumberFormat="1" applyFont="1" applyFill="1" applyBorder="1" applyAlignment="1">
      <alignment horizontal="right" vertical="center" wrapText="1"/>
    </xf>
    <xf numFmtId="9" fontId="16" fillId="0" borderId="3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Border="1" applyAlignment="1">
      <alignment vertical="center" wrapText="1"/>
    </xf>
    <xf numFmtId="9" fontId="16" fillId="0" borderId="3" xfId="2" applyFont="1" applyFill="1" applyBorder="1" applyAlignment="1">
      <alignment horizontal="right" vertical="center" wrapText="1"/>
    </xf>
    <xf numFmtId="43" fontId="16" fillId="0" borderId="3" xfId="1" applyFont="1" applyFill="1" applyBorder="1" applyAlignment="1">
      <alignment horizontal="right" vertical="center" wrapText="1"/>
    </xf>
    <xf numFmtId="0" fontId="15" fillId="10" borderId="3" xfId="0" applyFont="1" applyFill="1" applyBorder="1" applyAlignment="1">
      <alignment horizontal="justify" wrapText="1"/>
    </xf>
    <xf numFmtId="43" fontId="15" fillId="10" borderId="3" xfId="1" applyNumberFormat="1" applyFont="1" applyFill="1" applyBorder="1" applyAlignment="1">
      <alignment horizontal="right" vertical="center" wrapText="1"/>
    </xf>
    <xf numFmtId="9" fontId="15" fillId="10" borderId="3" xfId="2" applyFont="1" applyFill="1" applyBorder="1" applyAlignment="1">
      <alignment horizontal="right" vertical="center" wrapText="1"/>
    </xf>
    <xf numFmtId="43" fontId="15" fillId="10" borderId="3" xfId="1" applyFont="1" applyFill="1" applyBorder="1" applyAlignment="1" applyProtection="1">
      <alignment horizontal="right" vertical="center" wrapText="1"/>
    </xf>
    <xf numFmtId="0" fontId="12" fillId="10" borderId="0" xfId="0" applyFont="1" applyFill="1" applyBorder="1" applyAlignment="1">
      <alignment vertical="center" wrapText="1"/>
    </xf>
    <xf numFmtId="0" fontId="11" fillId="10" borderId="0" xfId="0" applyFont="1" applyFill="1" applyBorder="1" applyAlignment="1">
      <alignment vertical="center" wrapText="1"/>
    </xf>
    <xf numFmtId="43" fontId="16" fillId="8" borderId="3" xfId="1" applyFont="1" applyFill="1" applyBorder="1" applyAlignment="1" applyProtection="1">
      <alignment horizontal="right" vertical="center" wrapText="1"/>
    </xf>
    <xf numFmtId="43" fontId="16" fillId="0" borderId="5" xfId="1" applyNumberFormat="1" applyFont="1" applyFill="1" applyBorder="1" applyAlignment="1" applyProtection="1">
      <alignment horizontal="right" vertical="center" wrapText="1"/>
    </xf>
    <xf numFmtId="43" fontId="16" fillId="11" borderId="3" xfId="1" applyFont="1" applyFill="1" applyBorder="1" applyAlignment="1" applyProtection="1">
      <alignment horizontal="right" vertical="center" wrapText="1"/>
    </xf>
    <xf numFmtId="0" fontId="12" fillId="11" borderId="0" xfId="0" applyFont="1" applyFill="1" applyBorder="1" applyAlignment="1">
      <alignment vertical="center" wrapText="1"/>
    </xf>
    <xf numFmtId="0" fontId="11" fillId="11" borderId="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vertical="center" wrapText="1"/>
    </xf>
    <xf numFmtId="49" fontId="19" fillId="0" borderId="3" xfId="1" applyNumberFormat="1" applyFont="1" applyFill="1" applyBorder="1" applyAlignment="1">
      <alignment horizontal="justify" vertical="top" wrapText="1"/>
    </xf>
    <xf numFmtId="43" fontId="13" fillId="0" borderId="5" xfId="1" applyNumberFormat="1" applyFont="1" applyFill="1" applyBorder="1" applyAlignment="1" applyProtection="1">
      <alignment horizontal="right" vertical="center" wrapText="1"/>
    </xf>
    <xf numFmtId="0" fontId="21" fillId="12" borderId="7" xfId="0" applyFont="1" applyFill="1" applyBorder="1" applyAlignment="1">
      <alignment vertical="top" wrapText="1"/>
    </xf>
    <xf numFmtId="9" fontId="15" fillId="0" borderId="3" xfId="1" applyNumberFormat="1" applyFont="1" applyFill="1" applyBorder="1" applyAlignment="1">
      <alignment horizontal="right" vertical="center" wrapText="1"/>
    </xf>
    <xf numFmtId="0" fontId="19" fillId="0" borderId="3" xfId="0" applyFont="1" applyFill="1" applyBorder="1" applyAlignment="1">
      <alignment horizontal="left" vertical="top" wrapText="1"/>
    </xf>
    <xf numFmtId="2" fontId="19" fillId="0" borderId="3" xfId="0" applyNumberFormat="1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>
      <alignment vertical="top" wrapText="1"/>
    </xf>
    <xf numFmtId="0" fontId="15" fillId="10" borderId="3" xfId="0" applyFont="1" applyFill="1" applyBorder="1" applyAlignment="1">
      <alignment horizontal="justify" vertical="top" wrapText="1"/>
    </xf>
    <xf numFmtId="43" fontId="15" fillId="10" borderId="3" xfId="0" applyNumberFormat="1" applyFont="1" applyFill="1" applyBorder="1" applyAlignment="1">
      <alignment horizontal="right" vertical="center" wrapText="1"/>
    </xf>
    <xf numFmtId="0" fontId="21" fillId="10" borderId="3" xfId="0" applyFont="1" applyFill="1" applyBorder="1" applyAlignment="1">
      <alignment horizontal="justify" vertical="center" wrapText="1"/>
    </xf>
    <xf numFmtId="43" fontId="10" fillId="13" borderId="5" xfId="1" applyNumberFormat="1" applyFont="1" applyFill="1" applyBorder="1" applyAlignment="1" applyProtection="1">
      <alignment horizontal="right" vertical="center" wrapText="1"/>
    </xf>
    <xf numFmtId="0" fontId="21" fillId="13" borderId="3" xfId="0" applyFont="1" applyFill="1" applyBorder="1" applyAlignment="1" applyProtection="1">
      <alignment horizontal="left" vertical="top" wrapText="1"/>
    </xf>
    <xf numFmtId="0" fontId="21" fillId="0" borderId="7" xfId="0" applyFont="1" applyFill="1" applyBorder="1" applyAlignment="1">
      <alignment vertical="top" wrapText="1"/>
    </xf>
    <xf numFmtId="43" fontId="10" fillId="10" borderId="5" xfId="0" applyNumberFormat="1" applyFont="1" applyFill="1" applyBorder="1" applyAlignment="1" applyProtection="1">
      <alignment horizontal="right" vertical="center" wrapText="1"/>
    </xf>
    <xf numFmtId="0" fontId="15" fillId="10" borderId="3" xfId="0" applyFont="1" applyFill="1" applyBorder="1" applyAlignment="1">
      <alignment horizontal="justify" vertical="center" wrapText="1"/>
    </xf>
    <xf numFmtId="9" fontId="15" fillId="10" borderId="3" xfId="2" applyFont="1" applyFill="1" applyBorder="1" applyAlignment="1" applyProtection="1">
      <alignment horizontal="right" vertical="center" wrapText="1"/>
    </xf>
    <xf numFmtId="2" fontId="10" fillId="10" borderId="3" xfId="0" applyNumberFormat="1" applyFont="1" applyFill="1" applyBorder="1" applyAlignment="1">
      <alignment horizontal="right" vertical="center" wrapText="1"/>
    </xf>
    <xf numFmtId="43" fontId="5" fillId="10" borderId="0" xfId="0" applyNumberFormat="1" applyFont="1" applyFill="1" applyBorder="1" applyAlignment="1">
      <alignment vertical="center" wrapText="1"/>
    </xf>
    <xf numFmtId="0" fontId="11" fillId="10" borderId="0" xfId="0" applyFont="1" applyFill="1" applyAlignment="1">
      <alignment vertical="center" wrapText="1"/>
    </xf>
    <xf numFmtId="0" fontId="12" fillId="1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justify" wrapText="1"/>
    </xf>
    <xf numFmtId="164" fontId="13" fillId="0" borderId="0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 applyProtection="1">
      <alignment wrapText="1"/>
    </xf>
    <xf numFmtId="167" fontId="13" fillId="0" borderId="0" xfId="1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/>
    <xf numFmtId="164" fontId="24" fillId="0" borderId="0" xfId="0" applyNumberFormat="1" applyFont="1" applyFill="1" applyBorder="1" applyAlignment="1" applyProtection="1">
      <alignment horizontal="left" vertical="top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vertical="center" wrapText="1"/>
    </xf>
    <xf numFmtId="164" fontId="25" fillId="0" borderId="0" xfId="0" applyNumberFormat="1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0" fontId="25" fillId="0" borderId="0" xfId="0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wrapText="1"/>
    </xf>
    <xf numFmtId="164" fontId="25" fillId="0" borderId="0" xfId="0" applyNumberFormat="1" applyFont="1" applyFill="1" applyAlignment="1" applyProtection="1">
      <alignment vertical="center" wrapText="1"/>
    </xf>
    <xf numFmtId="14" fontId="13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wrapText="1"/>
    </xf>
    <xf numFmtId="164" fontId="27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/>
    <xf numFmtId="0" fontId="29" fillId="0" borderId="0" xfId="0" applyFont="1" applyBorder="1"/>
    <xf numFmtId="164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justify" vertical="center" wrapText="1"/>
    </xf>
    <xf numFmtId="0" fontId="13" fillId="0" borderId="0" xfId="0" applyFont="1" applyBorder="1" applyAlignment="1">
      <alignment horizontal="left"/>
    </xf>
    <xf numFmtId="0" fontId="29" fillId="0" borderId="0" xfId="0" applyFont="1" applyFill="1" applyBorder="1"/>
    <xf numFmtId="164" fontId="4" fillId="0" borderId="0" xfId="0" applyNumberFormat="1" applyFont="1" applyFill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Border="1" applyAlignment="1" applyProtection="1">
      <alignment horizontal="justify" wrapText="1"/>
    </xf>
    <xf numFmtId="0" fontId="16" fillId="0" borderId="3" xfId="0" applyFont="1" applyFill="1" applyBorder="1" applyAlignment="1">
      <alignment horizontal="left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vertical="center" wrapText="1"/>
    </xf>
    <xf numFmtId="0" fontId="18" fillId="3" borderId="8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21" fillId="5" borderId="2" xfId="0" applyFont="1" applyFill="1" applyBorder="1" applyAlignment="1">
      <alignment horizontal="left" vertical="top" wrapText="1"/>
    </xf>
    <xf numFmtId="0" fontId="19" fillId="5" borderId="6" xfId="0" applyFont="1" applyFill="1" applyBorder="1" applyAlignment="1">
      <alignment horizontal="left" vertical="top" wrapText="1"/>
    </xf>
    <xf numFmtId="0" fontId="19" fillId="5" borderId="7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/>
    </xf>
    <xf numFmtId="0" fontId="18" fillId="3" borderId="8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164" fontId="13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 applyProtection="1">
      <alignment horizontal="left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wrapText="1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6"/>
  <sheetViews>
    <sheetView tabSelected="1" zoomScale="70" zoomScaleNormal="70" workbookViewId="0">
      <pane xSplit="10" ySplit="18" topLeftCell="K141" activePane="bottomRight" state="frozen"/>
      <selection pane="topRight" activeCell="K1" sqref="K1"/>
      <selection pane="bottomLeft" activeCell="A19" sqref="A19"/>
      <selection pane="bottomRight" activeCell="AF96" sqref="AF96"/>
    </sheetView>
  </sheetViews>
  <sheetFormatPr defaultRowHeight="18.75" x14ac:dyDescent="0.25"/>
  <cols>
    <col min="1" max="1" width="51" style="164" customWidth="1"/>
    <col min="2" max="2" width="14.7109375" style="164" customWidth="1"/>
    <col min="3" max="3" width="16.5703125" style="163" customWidth="1"/>
    <col min="4" max="4" width="23.7109375" style="163" customWidth="1"/>
    <col min="5" max="5" width="17.140625" style="163" customWidth="1"/>
    <col min="6" max="6" width="15.85546875" style="163" customWidth="1"/>
    <col min="7" max="7" width="17" style="163" customWidth="1"/>
    <col min="8" max="8" width="13.85546875" style="4" customWidth="1"/>
    <col min="9" max="9" width="12" style="4" customWidth="1"/>
    <col min="10" max="10" width="11.42578125" style="4" customWidth="1"/>
    <col min="11" max="11" width="11.85546875" style="4" customWidth="1"/>
    <col min="12" max="12" width="14.140625" style="4" customWidth="1"/>
    <col min="13" max="13" width="11.7109375" style="4" customWidth="1"/>
    <col min="14" max="14" width="14.28515625" style="4" customWidth="1"/>
    <col min="15" max="15" width="12" style="4" customWidth="1"/>
    <col min="16" max="16" width="14.7109375" style="4" customWidth="1"/>
    <col min="17" max="17" width="11.5703125" style="4" customWidth="1"/>
    <col min="18" max="19" width="13.7109375" style="4" customWidth="1"/>
    <col min="20" max="20" width="15" style="163" customWidth="1"/>
    <col min="21" max="21" width="14.42578125" style="163" customWidth="1"/>
    <col min="22" max="22" width="14.85546875" style="163" customWidth="1"/>
    <col min="23" max="23" width="14" style="163" customWidth="1"/>
    <col min="24" max="24" width="14.28515625" style="163" customWidth="1"/>
    <col min="25" max="25" width="14.7109375" style="163" customWidth="1"/>
    <col min="26" max="26" width="13.85546875" style="163" customWidth="1"/>
    <col min="27" max="27" width="12.42578125" style="163" customWidth="1"/>
    <col min="28" max="28" width="12.5703125" style="163" customWidth="1"/>
    <col min="29" max="29" width="11.7109375" style="163" customWidth="1"/>
    <col min="30" max="30" width="13.28515625" style="163" customWidth="1"/>
    <col min="31" max="31" width="11.5703125" style="163" customWidth="1"/>
    <col min="32" max="32" width="48.85546875" style="164" customWidth="1"/>
    <col min="33" max="33" width="19.85546875" style="4" customWidth="1"/>
    <col min="34" max="34" width="18.85546875" style="3" customWidth="1"/>
    <col min="35" max="256" width="9.140625" style="4"/>
    <col min="257" max="257" width="51.42578125" style="4" customWidth="1"/>
    <col min="258" max="258" width="15.28515625" style="4" customWidth="1"/>
    <col min="259" max="259" width="17.140625" style="4" customWidth="1"/>
    <col min="260" max="260" width="13.85546875" style="4" customWidth="1"/>
    <col min="261" max="261" width="15.42578125" style="4" customWidth="1"/>
    <col min="262" max="263" width="13.42578125" style="4" customWidth="1"/>
    <col min="264" max="264" width="17.42578125" style="4" customWidth="1"/>
    <col min="265" max="265" width="14.7109375" style="4" customWidth="1"/>
    <col min="266" max="266" width="13.5703125" style="4" customWidth="1"/>
    <col min="267" max="267" width="15.140625" style="4" customWidth="1"/>
    <col min="268" max="268" width="14.7109375" style="4" customWidth="1"/>
    <col min="269" max="269" width="15.140625" style="4" customWidth="1"/>
    <col min="270" max="270" width="14.140625" style="4" customWidth="1"/>
    <col min="271" max="271" width="14.7109375" style="4" customWidth="1"/>
    <col min="272" max="272" width="14.42578125" style="4" customWidth="1"/>
    <col min="273" max="273" width="15" style="4" customWidth="1"/>
    <col min="274" max="274" width="14.5703125" style="4" customWidth="1"/>
    <col min="275" max="275" width="14.85546875" style="4" customWidth="1"/>
    <col min="276" max="276" width="15" style="4" customWidth="1"/>
    <col min="277" max="287" width="16.140625" style="4" customWidth="1"/>
    <col min="288" max="288" width="58.140625" style="4" customWidth="1"/>
    <col min="289" max="289" width="3.7109375" style="4" customWidth="1"/>
    <col min="290" max="290" width="18.85546875" style="4" customWidth="1"/>
    <col min="291" max="512" width="9.140625" style="4"/>
    <col min="513" max="513" width="51.42578125" style="4" customWidth="1"/>
    <col min="514" max="514" width="15.28515625" style="4" customWidth="1"/>
    <col min="515" max="515" width="17.140625" style="4" customWidth="1"/>
    <col min="516" max="516" width="13.85546875" style="4" customWidth="1"/>
    <col min="517" max="517" width="15.42578125" style="4" customWidth="1"/>
    <col min="518" max="519" width="13.42578125" style="4" customWidth="1"/>
    <col min="520" max="520" width="17.42578125" style="4" customWidth="1"/>
    <col min="521" max="521" width="14.7109375" style="4" customWidth="1"/>
    <col min="522" max="522" width="13.5703125" style="4" customWidth="1"/>
    <col min="523" max="523" width="15.140625" style="4" customWidth="1"/>
    <col min="524" max="524" width="14.7109375" style="4" customWidth="1"/>
    <col min="525" max="525" width="15.140625" style="4" customWidth="1"/>
    <col min="526" max="526" width="14.140625" style="4" customWidth="1"/>
    <col min="527" max="527" width="14.7109375" style="4" customWidth="1"/>
    <col min="528" max="528" width="14.42578125" style="4" customWidth="1"/>
    <col min="529" max="529" width="15" style="4" customWidth="1"/>
    <col min="530" max="530" width="14.5703125" style="4" customWidth="1"/>
    <col min="531" max="531" width="14.85546875" style="4" customWidth="1"/>
    <col min="532" max="532" width="15" style="4" customWidth="1"/>
    <col min="533" max="543" width="16.140625" style="4" customWidth="1"/>
    <col min="544" max="544" width="58.140625" style="4" customWidth="1"/>
    <col min="545" max="545" width="3.7109375" style="4" customWidth="1"/>
    <col min="546" max="546" width="18.85546875" style="4" customWidth="1"/>
    <col min="547" max="768" width="9.140625" style="4"/>
    <col min="769" max="769" width="51.42578125" style="4" customWidth="1"/>
    <col min="770" max="770" width="15.28515625" style="4" customWidth="1"/>
    <col min="771" max="771" width="17.140625" style="4" customWidth="1"/>
    <col min="772" max="772" width="13.85546875" style="4" customWidth="1"/>
    <col min="773" max="773" width="15.42578125" style="4" customWidth="1"/>
    <col min="774" max="775" width="13.42578125" style="4" customWidth="1"/>
    <col min="776" max="776" width="17.42578125" style="4" customWidth="1"/>
    <col min="777" max="777" width="14.7109375" style="4" customWidth="1"/>
    <col min="778" max="778" width="13.5703125" style="4" customWidth="1"/>
    <col min="779" max="779" width="15.140625" style="4" customWidth="1"/>
    <col min="780" max="780" width="14.7109375" style="4" customWidth="1"/>
    <col min="781" max="781" width="15.140625" style="4" customWidth="1"/>
    <col min="782" max="782" width="14.140625" style="4" customWidth="1"/>
    <col min="783" max="783" width="14.7109375" style="4" customWidth="1"/>
    <col min="784" max="784" width="14.42578125" style="4" customWidth="1"/>
    <col min="785" max="785" width="15" style="4" customWidth="1"/>
    <col min="786" max="786" width="14.5703125" style="4" customWidth="1"/>
    <col min="787" max="787" width="14.85546875" style="4" customWidth="1"/>
    <col min="788" max="788" width="15" style="4" customWidth="1"/>
    <col min="789" max="799" width="16.140625" style="4" customWidth="1"/>
    <col min="800" max="800" width="58.140625" style="4" customWidth="1"/>
    <col min="801" max="801" width="3.7109375" style="4" customWidth="1"/>
    <col min="802" max="802" width="18.85546875" style="4" customWidth="1"/>
    <col min="803" max="1024" width="9.140625" style="4"/>
    <col min="1025" max="1025" width="51.42578125" style="4" customWidth="1"/>
    <col min="1026" max="1026" width="15.28515625" style="4" customWidth="1"/>
    <col min="1027" max="1027" width="17.140625" style="4" customWidth="1"/>
    <col min="1028" max="1028" width="13.85546875" style="4" customWidth="1"/>
    <col min="1029" max="1029" width="15.42578125" style="4" customWidth="1"/>
    <col min="1030" max="1031" width="13.42578125" style="4" customWidth="1"/>
    <col min="1032" max="1032" width="17.42578125" style="4" customWidth="1"/>
    <col min="1033" max="1033" width="14.7109375" style="4" customWidth="1"/>
    <col min="1034" max="1034" width="13.5703125" style="4" customWidth="1"/>
    <col min="1035" max="1035" width="15.140625" style="4" customWidth="1"/>
    <col min="1036" max="1036" width="14.7109375" style="4" customWidth="1"/>
    <col min="1037" max="1037" width="15.140625" style="4" customWidth="1"/>
    <col min="1038" max="1038" width="14.140625" style="4" customWidth="1"/>
    <col min="1039" max="1039" width="14.7109375" style="4" customWidth="1"/>
    <col min="1040" max="1040" width="14.42578125" style="4" customWidth="1"/>
    <col min="1041" max="1041" width="15" style="4" customWidth="1"/>
    <col min="1042" max="1042" width="14.5703125" style="4" customWidth="1"/>
    <col min="1043" max="1043" width="14.85546875" style="4" customWidth="1"/>
    <col min="1044" max="1044" width="15" style="4" customWidth="1"/>
    <col min="1045" max="1055" width="16.140625" style="4" customWidth="1"/>
    <col min="1056" max="1056" width="58.140625" style="4" customWidth="1"/>
    <col min="1057" max="1057" width="3.7109375" style="4" customWidth="1"/>
    <col min="1058" max="1058" width="18.85546875" style="4" customWidth="1"/>
    <col min="1059" max="1280" width="9.140625" style="4"/>
    <col min="1281" max="1281" width="51.42578125" style="4" customWidth="1"/>
    <col min="1282" max="1282" width="15.28515625" style="4" customWidth="1"/>
    <col min="1283" max="1283" width="17.140625" style="4" customWidth="1"/>
    <col min="1284" max="1284" width="13.85546875" style="4" customWidth="1"/>
    <col min="1285" max="1285" width="15.42578125" style="4" customWidth="1"/>
    <col min="1286" max="1287" width="13.42578125" style="4" customWidth="1"/>
    <col min="1288" max="1288" width="17.42578125" style="4" customWidth="1"/>
    <col min="1289" max="1289" width="14.7109375" style="4" customWidth="1"/>
    <col min="1290" max="1290" width="13.5703125" style="4" customWidth="1"/>
    <col min="1291" max="1291" width="15.140625" style="4" customWidth="1"/>
    <col min="1292" max="1292" width="14.7109375" style="4" customWidth="1"/>
    <col min="1293" max="1293" width="15.140625" style="4" customWidth="1"/>
    <col min="1294" max="1294" width="14.140625" style="4" customWidth="1"/>
    <col min="1295" max="1295" width="14.7109375" style="4" customWidth="1"/>
    <col min="1296" max="1296" width="14.42578125" style="4" customWidth="1"/>
    <col min="1297" max="1297" width="15" style="4" customWidth="1"/>
    <col min="1298" max="1298" width="14.5703125" style="4" customWidth="1"/>
    <col min="1299" max="1299" width="14.85546875" style="4" customWidth="1"/>
    <col min="1300" max="1300" width="15" style="4" customWidth="1"/>
    <col min="1301" max="1311" width="16.140625" style="4" customWidth="1"/>
    <col min="1312" max="1312" width="58.140625" style="4" customWidth="1"/>
    <col min="1313" max="1313" width="3.7109375" style="4" customWidth="1"/>
    <col min="1314" max="1314" width="18.85546875" style="4" customWidth="1"/>
    <col min="1315" max="1536" width="9.140625" style="4"/>
    <col min="1537" max="1537" width="51.42578125" style="4" customWidth="1"/>
    <col min="1538" max="1538" width="15.28515625" style="4" customWidth="1"/>
    <col min="1539" max="1539" width="17.140625" style="4" customWidth="1"/>
    <col min="1540" max="1540" width="13.85546875" style="4" customWidth="1"/>
    <col min="1541" max="1541" width="15.42578125" style="4" customWidth="1"/>
    <col min="1542" max="1543" width="13.42578125" style="4" customWidth="1"/>
    <col min="1544" max="1544" width="17.42578125" style="4" customWidth="1"/>
    <col min="1545" max="1545" width="14.7109375" style="4" customWidth="1"/>
    <col min="1546" max="1546" width="13.5703125" style="4" customWidth="1"/>
    <col min="1547" max="1547" width="15.140625" style="4" customWidth="1"/>
    <col min="1548" max="1548" width="14.7109375" style="4" customWidth="1"/>
    <col min="1549" max="1549" width="15.140625" style="4" customWidth="1"/>
    <col min="1550" max="1550" width="14.140625" style="4" customWidth="1"/>
    <col min="1551" max="1551" width="14.7109375" style="4" customWidth="1"/>
    <col min="1552" max="1552" width="14.42578125" style="4" customWidth="1"/>
    <col min="1553" max="1553" width="15" style="4" customWidth="1"/>
    <col min="1554" max="1554" width="14.5703125" style="4" customWidth="1"/>
    <col min="1555" max="1555" width="14.85546875" style="4" customWidth="1"/>
    <col min="1556" max="1556" width="15" style="4" customWidth="1"/>
    <col min="1557" max="1567" width="16.140625" style="4" customWidth="1"/>
    <col min="1568" max="1568" width="58.140625" style="4" customWidth="1"/>
    <col min="1569" max="1569" width="3.7109375" style="4" customWidth="1"/>
    <col min="1570" max="1570" width="18.85546875" style="4" customWidth="1"/>
    <col min="1571" max="1792" width="9.140625" style="4"/>
    <col min="1793" max="1793" width="51.42578125" style="4" customWidth="1"/>
    <col min="1794" max="1794" width="15.28515625" style="4" customWidth="1"/>
    <col min="1795" max="1795" width="17.140625" style="4" customWidth="1"/>
    <col min="1796" max="1796" width="13.85546875" style="4" customWidth="1"/>
    <col min="1797" max="1797" width="15.42578125" style="4" customWidth="1"/>
    <col min="1798" max="1799" width="13.42578125" style="4" customWidth="1"/>
    <col min="1800" max="1800" width="17.42578125" style="4" customWidth="1"/>
    <col min="1801" max="1801" width="14.7109375" style="4" customWidth="1"/>
    <col min="1802" max="1802" width="13.5703125" style="4" customWidth="1"/>
    <col min="1803" max="1803" width="15.140625" style="4" customWidth="1"/>
    <col min="1804" max="1804" width="14.7109375" style="4" customWidth="1"/>
    <col min="1805" max="1805" width="15.140625" style="4" customWidth="1"/>
    <col min="1806" max="1806" width="14.140625" style="4" customWidth="1"/>
    <col min="1807" max="1807" width="14.7109375" style="4" customWidth="1"/>
    <col min="1808" max="1808" width="14.42578125" style="4" customWidth="1"/>
    <col min="1809" max="1809" width="15" style="4" customWidth="1"/>
    <col min="1810" max="1810" width="14.5703125" style="4" customWidth="1"/>
    <col min="1811" max="1811" width="14.85546875" style="4" customWidth="1"/>
    <col min="1812" max="1812" width="15" style="4" customWidth="1"/>
    <col min="1813" max="1823" width="16.140625" style="4" customWidth="1"/>
    <col min="1824" max="1824" width="58.140625" style="4" customWidth="1"/>
    <col min="1825" max="1825" width="3.7109375" style="4" customWidth="1"/>
    <col min="1826" max="1826" width="18.85546875" style="4" customWidth="1"/>
    <col min="1827" max="2048" width="9.140625" style="4"/>
    <col min="2049" max="2049" width="51.42578125" style="4" customWidth="1"/>
    <col min="2050" max="2050" width="15.28515625" style="4" customWidth="1"/>
    <col min="2051" max="2051" width="17.140625" style="4" customWidth="1"/>
    <col min="2052" max="2052" width="13.85546875" style="4" customWidth="1"/>
    <col min="2053" max="2053" width="15.42578125" style="4" customWidth="1"/>
    <col min="2054" max="2055" width="13.42578125" style="4" customWidth="1"/>
    <col min="2056" max="2056" width="17.42578125" style="4" customWidth="1"/>
    <col min="2057" max="2057" width="14.7109375" style="4" customWidth="1"/>
    <col min="2058" max="2058" width="13.5703125" style="4" customWidth="1"/>
    <col min="2059" max="2059" width="15.140625" style="4" customWidth="1"/>
    <col min="2060" max="2060" width="14.7109375" style="4" customWidth="1"/>
    <col min="2061" max="2061" width="15.140625" style="4" customWidth="1"/>
    <col min="2062" max="2062" width="14.140625" style="4" customWidth="1"/>
    <col min="2063" max="2063" width="14.7109375" style="4" customWidth="1"/>
    <col min="2064" max="2064" width="14.42578125" style="4" customWidth="1"/>
    <col min="2065" max="2065" width="15" style="4" customWidth="1"/>
    <col min="2066" max="2066" width="14.5703125" style="4" customWidth="1"/>
    <col min="2067" max="2067" width="14.85546875" style="4" customWidth="1"/>
    <col min="2068" max="2068" width="15" style="4" customWidth="1"/>
    <col min="2069" max="2079" width="16.140625" style="4" customWidth="1"/>
    <col min="2080" max="2080" width="58.140625" style="4" customWidth="1"/>
    <col min="2081" max="2081" width="3.7109375" style="4" customWidth="1"/>
    <col min="2082" max="2082" width="18.85546875" style="4" customWidth="1"/>
    <col min="2083" max="2304" width="9.140625" style="4"/>
    <col min="2305" max="2305" width="51.42578125" style="4" customWidth="1"/>
    <col min="2306" max="2306" width="15.28515625" style="4" customWidth="1"/>
    <col min="2307" max="2307" width="17.140625" style="4" customWidth="1"/>
    <col min="2308" max="2308" width="13.85546875" style="4" customWidth="1"/>
    <col min="2309" max="2309" width="15.42578125" style="4" customWidth="1"/>
    <col min="2310" max="2311" width="13.42578125" style="4" customWidth="1"/>
    <col min="2312" max="2312" width="17.42578125" style="4" customWidth="1"/>
    <col min="2313" max="2313" width="14.7109375" style="4" customWidth="1"/>
    <col min="2314" max="2314" width="13.5703125" style="4" customWidth="1"/>
    <col min="2315" max="2315" width="15.140625" style="4" customWidth="1"/>
    <col min="2316" max="2316" width="14.7109375" style="4" customWidth="1"/>
    <col min="2317" max="2317" width="15.140625" style="4" customWidth="1"/>
    <col min="2318" max="2318" width="14.140625" style="4" customWidth="1"/>
    <col min="2319" max="2319" width="14.7109375" style="4" customWidth="1"/>
    <col min="2320" max="2320" width="14.42578125" style="4" customWidth="1"/>
    <col min="2321" max="2321" width="15" style="4" customWidth="1"/>
    <col min="2322" max="2322" width="14.5703125" style="4" customWidth="1"/>
    <col min="2323" max="2323" width="14.85546875" style="4" customWidth="1"/>
    <col min="2324" max="2324" width="15" style="4" customWidth="1"/>
    <col min="2325" max="2335" width="16.140625" style="4" customWidth="1"/>
    <col min="2336" max="2336" width="58.140625" style="4" customWidth="1"/>
    <col min="2337" max="2337" width="3.7109375" style="4" customWidth="1"/>
    <col min="2338" max="2338" width="18.85546875" style="4" customWidth="1"/>
    <col min="2339" max="2560" width="9.140625" style="4"/>
    <col min="2561" max="2561" width="51.42578125" style="4" customWidth="1"/>
    <col min="2562" max="2562" width="15.28515625" style="4" customWidth="1"/>
    <col min="2563" max="2563" width="17.140625" style="4" customWidth="1"/>
    <col min="2564" max="2564" width="13.85546875" style="4" customWidth="1"/>
    <col min="2565" max="2565" width="15.42578125" style="4" customWidth="1"/>
    <col min="2566" max="2567" width="13.42578125" style="4" customWidth="1"/>
    <col min="2568" max="2568" width="17.42578125" style="4" customWidth="1"/>
    <col min="2569" max="2569" width="14.7109375" style="4" customWidth="1"/>
    <col min="2570" max="2570" width="13.5703125" style="4" customWidth="1"/>
    <col min="2571" max="2571" width="15.140625" style="4" customWidth="1"/>
    <col min="2572" max="2572" width="14.7109375" style="4" customWidth="1"/>
    <col min="2573" max="2573" width="15.140625" style="4" customWidth="1"/>
    <col min="2574" max="2574" width="14.140625" style="4" customWidth="1"/>
    <col min="2575" max="2575" width="14.7109375" style="4" customWidth="1"/>
    <col min="2576" max="2576" width="14.42578125" style="4" customWidth="1"/>
    <col min="2577" max="2577" width="15" style="4" customWidth="1"/>
    <col min="2578" max="2578" width="14.5703125" style="4" customWidth="1"/>
    <col min="2579" max="2579" width="14.85546875" style="4" customWidth="1"/>
    <col min="2580" max="2580" width="15" style="4" customWidth="1"/>
    <col min="2581" max="2591" width="16.140625" style="4" customWidth="1"/>
    <col min="2592" max="2592" width="58.140625" style="4" customWidth="1"/>
    <col min="2593" max="2593" width="3.7109375" style="4" customWidth="1"/>
    <col min="2594" max="2594" width="18.85546875" style="4" customWidth="1"/>
    <col min="2595" max="2816" width="9.140625" style="4"/>
    <col min="2817" max="2817" width="51.42578125" style="4" customWidth="1"/>
    <col min="2818" max="2818" width="15.28515625" style="4" customWidth="1"/>
    <col min="2819" max="2819" width="17.140625" style="4" customWidth="1"/>
    <col min="2820" max="2820" width="13.85546875" style="4" customWidth="1"/>
    <col min="2821" max="2821" width="15.42578125" style="4" customWidth="1"/>
    <col min="2822" max="2823" width="13.42578125" style="4" customWidth="1"/>
    <col min="2824" max="2824" width="17.42578125" style="4" customWidth="1"/>
    <col min="2825" max="2825" width="14.7109375" style="4" customWidth="1"/>
    <col min="2826" max="2826" width="13.5703125" style="4" customWidth="1"/>
    <col min="2827" max="2827" width="15.140625" style="4" customWidth="1"/>
    <col min="2828" max="2828" width="14.7109375" style="4" customWidth="1"/>
    <col min="2829" max="2829" width="15.140625" style="4" customWidth="1"/>
    <col min="2830" max="2830" width="14.140625" style="4" customWidth="1"/>
    <col min="2831" max="2831" width="14.7109375" style="4" customWidth="1"/>
    <col min="2832" max="2832" width="14.42578125" style="4" customWidth="1"/>
    <col min="2833" max="2833" width="15" style="4" customWidth="1"/>
    <col min="2834" max="2834" width="14.5703125" style="4" customWidth="1"/>
    <col min="2835" max="2835" width="14.85546875" style="4" customWidth="1"/>
    <col min="2836" max="2836" width="15" style="4" customWidth="1"/>
    <col min="2837" max="2847" width="16.140625" style="4" customWidth="1"/>
    <col min="2848" max="2848" width="58.140625" style="4" customWidth="1"/>
    <col min="2849" max="2849" width="3.7109375" style="4" customWidth="1"/>
    <col min="2850" max="2850" width="18.85546875" style="4" customWidth="1"/>
    <col min="2851" max="3072" width="9.140625" style="4"/>
    <col min="3073" max="3073" width="51.42578125" style="4" customWidth="1"/>
    <col min="3074" max="3074" width="15.28515625" style="4" customWidth="1"/>
    <col min="3075" max="3075" width="17.140625" style="4" customWidth="1"/>
    <col min="3076" max="3076" width="13.85546875" style="4" customWidth="1"/>
    <col min="3077" max="3077" width="15.42578125" style="4" customWidth="1"/>
    <col min="3078" max="3079" width="13.42578125" style="4" customWidth="1"/>
    <col min="3080" max="3080" width="17.42578125" style="4" customWidth="1"/>
    <col min="3081" max="3081" width="14.7109375" style="4" customWidth="1"/>
    <col min="3082" max="3082" width="13.5703125" style="4" customWidth="1"/>
    <col min="3083" max="3083" width="15.140625" style="4" customWidth="1"/>
    <col min="3084" max="3084" width="14.7109375" style="4" customWidth="1"/>
    <col min="3085" max="3085" width="15.140625" style="4" customWidth="1"/>
    <col min="3086" max="3086" width="14.140625" style="4" customWidth="1"/>
    <col min="3087" max="3087" width="14.7109375" style="4" customWidth="1"/>
    <col min="3088" max="3088" width="14.42578125" style="4" customWidth="1"/>
    <col min="3089" max="3089" width="15" style="4" customWidth="1"/>
    <col min="3090" max="3090" width="14.5703125" style="4" customWidth="1"/>
    <col min="3091" max="3091" width="14.85546875" style="4" customWidth="1"/>
    <col min="3092" max="3092" width="15" style="4" customWidth="1"/>
    <col min="3093" max="3103" width="16.140625" style="4" customWidth="1"/>
    <col min="3104" max="3104" width="58.140625" style="4" customWidth="1"/>
    <col min="3105" max="3105" width="3.7109375" style="4" customWidth="1"/>
    <col min="3106" max="3106" width="18.85546875" style="4" customWidth="1"/>
    <col min="3107" max="3328" width="9.140625" style="4"/>
    <col min="3329" max="3329" width="51.42578125" style="4" customWidth="1"/>
    <col min="3330" max="3330" width="15.28515625" style="4" customWidth="1"/>
    <col min="3331" max="3331" width="17.140625" style="4" customWidth="1"/>
    <col min="3332" max="3332" width="13.85546875" style="4" customWidth="1"/>
    <col min="3333" max="3333" width="15.42578125" style="4" customWidth="1"/>
    <col min="3334" max="3335" width="13.42578125" style="4" customWidth="1"/>
    <col min="3336" max="3336" width="17.42578125" style="4" customWidth="1"/>
    <col min="3337" max="3337" width="14.7109375" style="4" customWidth="1"/>
    <col min="3338" max="3338" width="13.5703125" style="4" customWidth="1"/>
    <col min="3339" max="3339" width="15.140625" style="4" customWidth="1"/>
    <col min="3340" max="3340" width="14.7109375" style="4" customWidth="1"/>
    <col min="3341" max="3341" width="15.140625" style="4" customWidth="1"/>
    <col min="3342" max="3342" width="14.140625" style="4" customWidth="1"/>
    <col min="3343" max="3343" width="14.7109375" style="4" customWidth="1"/>
    <col min="3344" max="3344" width="14.42578125" style="4" customWidth="1"/>
    <col min="3345" max="3345" width="15" style="4" customWidth="1"/>
    <col min="3346" max="3346" width="14.5703125" style="4" customWidth="1"/>
    <col min="3347" max="3347" width="14.85546875" style="4" customWidth="1"/>
    <col min="3348" max="3348" width="15" style="4" customWidth="1"/>
    <col min="3349" max="3359" width="16.140625" style="4" customWidth="1"/>
    <col min="3360" max="3360" width="58.140625" style="4" customWidth="1"/>
    <col min="3361" max="3361" width="3.7109375" style="4" customWidth="1"/>
    <col min="3362" max="3362" width="18.85546875" style="4" customWidth="1"/>
    <col min="3363" max="3584" width="9.140625" style="4"/>
    <col min="3585" max="3585" width="51.42578125" style="4" customWidth="1"/>
    <col min="3586" max="3586" width="15.28515625" style="4" customWidth="1"/>
    <col min="3587" max="3587" width="17.140625" style="4" customWidth="1"/>
    <col min="3588" max="3588" width="13.85546875" style="4" customWidth="1"/>
    <col min="3589" max="3589" width="15.42578125" style="4" customWidth="1"/>
    <col min="3590" max="3591" width="13.42578125" style="4" customWidth="1"/>
    <col min="3592" max="3592" width="17.42578125" style="4" customWidth="1"/>
    <col min="3593" max="3593" width="14.7109375" style="4" customWidth="1"/>
    <col min="3594" max="3594" width="13.5703125" style="4" customWidth="1"/>
    <col min="3595" max="3595" width="15.140625" style="4" customWidth="1"/>
    <col min="3596" max="3596" width="14.7109375" style="4" customWidth="1"/>
    <col min="3597" max="3597" width="15.140625" style="4" customWidth="1"/>
    <col min="3598" max="3598" width="14.140625" style="4" customWidth="1"/>
    <col min="3599" max="3599" width="14.7109375" style="4" customWidth="1"/>
    <col min="3600" max="3600" width="14.42578125" style="4" customWidth="1"/>
    <col min="3601" max="3601" width="15" style="4" customWidth="1"/>
    <col min="3602" max="3602" width="14.5703125" style="4" customWidth="1"/>
    <col min="3603" max="3603" width="14.85546875" style="4" customWidth="1"/>
    <col min="3604" max="3604" width="15" style="4" customWidth="1"/>
    <col min="3605" max="3615" width="16.140625" style="4" customWidth="1"/>
    <col min="3616" max="3616" width="58.140625" style="4" customWidth="1"/>
    <col min="3617" max="3617" width="3.7109375" style="4" customWidth="1"/>
    <col min="3618" max="3618" width="18.85546875" style="4" customWidth="1"/>
    <col min="3619" max="3840" width="9.140625" style="4"/>
    <col min="3841" max="3841" width="51.42578125" style="4" customWidth="1"/>
    <col min="3842" max="3842" width="15.28515625" style="4" customWidth="1"/>
    <col min="3843" max="3843" width="17.140625" style="4" customWidth="1"/>
    <col min="3844" max="3844" width="13.85546875" style="4" customWidth="1"/>
    <col min="3845" max="3845" width="15.42578125" style="4" customWidth="1"/>
    <col min="3846" max="3847" width="13.42578125" style="4" customWidth="1"/>
    <col min="3848" max="3848" width="17.42578125" style="4" customWidth="1"/>
    <col min="3849" max="3849" width="14.7109375" style="4" customWidth="1"/>
    <col min="3850" max="3850" width="13.5703125" style="4" customWidth="1"/>
    <col min="3851" max="3851" width="15.140625" style="4" customWidth="1"/>
    <col min="3852" max="3852" width="14.7109375" style="4" customWidth="1"/>
    <col min="3853" max="3853" width="15.140625" style="4" customWidth="1"/>
    <col min="3854" max="3854" width="14.140625" style="4" customWidth="1"/>
    <col min="3855" max="3855" width="14.7109375" style="4" customWidth="1"/>
    <col min="3856" max="3856" width="14.42578125" style="4" customWidth="1"/>
    <col min="3857" max="3857" width="15" style="4" customWidth="1"/>
    <col min="3858" max="3858" width="14.5703125" style="4" customWidth="1"/>
    <col min="3859" max="3859" width="14.85546875" style="4" customWidth="1"/>
    <col min="3860" max="3860" width="15" style="4" customWidth="1"/>
    <col min="3861" max="3871" width="16.140625" style="4" customWidth="1"/>
    <col min="3872" max="3872" width="58.140625" style="4" customWidth="1"/>
    <col min="3873" max="3873" width="3.7109375" style="4" customWidth="1"/>
    <col min="3874" max="3874" width="18.85546875" style="4" customWidth="1"/>
    <col min="3875" max="4096" width="9.140625" style="4"/>
    <col min="4097" max="4097" width="51.42578125" style="4" customWidth="1"/>
    <col min="4098" max="4098" width="15.28515625" style="4" customWidth="1"/>
    <col min="4099" max="4099" width="17.140625" style="4" customWidth="1"/>
    <col min="4100" max="4100" width="13.85546875" style="4" customWidth="1"/>
    <col min="4101" max="4101" width="15.42578125" style="4" customWidth="1"/>
    <col min="4102" max="4103" width="13.42578125" style="4" customWidth="1"/>
    <col min="4104" max="4104" width="17.42578125" style="4" customWidth="1"/>
    <col min="4105" max="4105" width="14.7109375" style="4" customWidth="1"/>
    <col min="4106" max="4106" width="13.5703125" style="4" customWidth="1"/>
    <col min="4107" max="4107" width="15.140625" style="4" customWidth="1"/>
    <col min="4108" max="4108" width="14.7109375" style="4" customWidth="1"/>
    <col min="4109" max="4109" width="15.140625" style="4" customWidth="1"/>
    <col min="4110" max="4110" width="14.140625" style="4" customWidth="1"/>
    <col min="4111" max="4111" width="14.7109375" style="4" customWidth="1"/>
    <col min="4112" max="4112" width="14.42578125" style="4" customWidth="1"/>
    <col min="4113" max="4113" width="15" style="4" customWidth="1"/>
    <col min="4114" max="4114" width="14.5703125" style="4" customWidth="1"/>
    <col min="4115" max="4115" width="14.85546875" style="4" customWidth="1"/>
    <col min="4116" max="4116" width="15" style="4" customWidth="1"/>
    <col min="4117" max="4127" width="16.140625" style="4" customWidth="1"/>
    <col min="4128" max="4128" width="58.140625" style="4" customWidth="1"/>
    <col min="4129" max="4129" width="3.7109375" style="4" customWidth="1"/>
    <col min="4130" max="4130" width="18.85546875" style="4" customWidth="1"/>
    <col min="4131" max="4352" width="9.140625" style="4"/>
    <col min="4353" max="4353" width="51.42578125" style="4" customWidth="1"/>
    <col min="4354" max="4354" width="15.28515625" style="4" customWidth="1"/>
    <col min="4355" max="4355" width="17.140625" style="4" customWidth="1"/>
    <col min="4356" max="4356" width="13.85546875" style="4" customWidth="1"/>
    <col min="4357" max="4357" width="15.42578125" style="4" customWidth="1"/>
    <col min="4358" max="4359" width="13.42578125" style="4" customWidth="1"/>
    <col min="4360" max="4360" width="17.42578125" style="4" customWidth="1"/>
    <col min="4361" max="4361" width="14.7109375" style="4" customWidth="1"/>
    <col min="4362" max="4362" width="13.5703125" style="4" customWidth="1"/>
    <col min="4363" max="4363" width="15.140625" style="4" customWidth="1"/>
    <col min="4364" max="4364" width="14.7109375" style="4" customWidth="1"/>
    <col min="4365" max="4365" width="15.140625" style="4" customWidth="1"/>
    <col min="4366" max="4366" width="14.140625" style="4" customWidth="1"/>
    <col min="4367" max="4367" width="14.7109375" style="4" customWidth="1"/>
    <col min="4368" max="4368" width="14.42578125" style="4" customWidth="1"/>
    <col min="4369" max="4369" width="15" style="4" customWidth="1"/>
    <col min="4370" max="4370" width="14.5703125" style="4" customWidth="1"/>
    <col min="4371" max="4371" width="14.85546875" style="4" customWidth="1"/>
    <col min="4372" max="4372" width="15" style="4" customWidth="1"/>
    <col min="4373" max="4383" width="16.140625" style="4" customWidth="1"/>
    <col min="4384" max="4384" width="58.140625" style="4" customWidth="1"/>
    <col min="4385" max="4385" width="3.7109375" style="4" customWidth="1"/>
    <col min="4386" max="4386" width="18.85546875" style="4" customWidth="1"/>
    <col min="4387" max="4608" width="9.140625" style="4"/>
    <col min="4609" max="4609" width="51.42578125" style="4" customWidth="1"/>
    <col min="4610" max="4610" width="15.28515625" style="4" customWidth="1"/>
    <col min="4611" max="4611" width="17.140625" style="4" customWidth="1"/>
    <col min="4612" max="4612" width="13.85546875" style="4" customWidth="1"/>
    <col min="4613" max="4613" width="15.42578125" style="4" customWidth="1"/>
    <col min="4614" max="4615" width="13.42578125" style="4" customWidth="1"/>
    <col min="4616" max="4616" width="17.42578125" style="4" customWidth="1"/>
    <col min="4617" max="4617" width="14.7109375" style="4" customWidth="1"/>
    <col min="4618" max="4618" width="13.5703125" style="4" customWidth="1"/>
    <col min="4619" max="4619" width="15.140625" style="4" customWidth="1"/>
    <col min="4620" max="4620" width="14.7109375" style="4" customWidth="1"/>
    <col min="4621" max="4621" width="15.140625" style="4" customWidth="1"/>
    <col min="4622" max="4622" width="14.140625" style="4" customWidth="1"/>
    <col min="4623" max="4623" width="14.7109375" style="4" customWidth="1"/>
    <col min="4624" max="4624" width="14.42578125" style="4" customWidth="1"/>
    <col min="4625" max="4625" width="15" style="4" customWidth="1"/>
    <col min="4626" max="4626" width="14.5703125" style="4" customWidth="1"/>
    <col min="4627" max="4627" width="14.85546875" style="4" customWidth="1"/>
    <col min="4628" max="4628" width="15" style="4" customWidth="1"/>
    <col min="4629" max="4639" width="16.140625" style="4" customWidth="1"/>
    <col min="4640" max="4640" width="58.140625" style="4" customWidth="1"/>
    <col min="4641" max="4641" width="3.7109375" style="4" customWidth="1"/>
    <col min="4642" max="4642" width="18.85546875" style="4" customWidth="1"/>
    <col min="4643" max="4864" width="9.140625" style="4"/>
    <col min="4865" max="4865" width="51.42578125" style="4" customWidth="1"/>
    <col min="4866" max="4866" width="15.28515625" style="4" customWidth="1"/>
    <col min="4867" max="4867" width="17.140625" style="4" customWidth="1"/>
    <col min="4868" max="4868" width="13.85546875" style="4" customWidth="1"/>
    <col min="4869" max="4869" width="15.42578125" style="4" customWidth="1"/>
    <col min="4870" max="4871" width="13.42578125" style="4" customWidth="1"/>
    <col min="4872" max="4872" width="17.42578125" style="4" customWidth="1"/>
    <col min="4873" max="4873" width="14.7109375" style="4" customWidth="1"/>
    <col min="4874" max="4874" width="13.5703125" style="4" customWidth="1"/>
    <col min="4875" max="4875" width="15.140625" style="4" customWidth="1"/>
    <col min="4876" max="4876" width="14.7109375" style="4" customWidth="1"/>
    <col min="4877" max="4877" width="15.140625" style="4" customWidth="1"/>
    <col min="4878" max="4878" width="14.140625" style="4" customWidth="1"/>
    <col min="4879" max="4879" width="14.7109375" style="4" customWidth="1"/>
    <col min="4880" max="4880" width="14.42578125" style="4" customWidth="1"/>
    <col min="4881" max="4881" width="15" style="4" customWidth="1"/>
    <col min="4882" max="4882" width="14.5703125" style="4" customWidth="1"/>
    <col min="4883" max="4883" width="14.85546875" style="4" customWidth="1"/>
    <col min="4884" max="4884" width="15" style="4" customWidth="1"/>
    <col min="4885" max="4895" width="16.140625" style="4" customWidth="1"/>
    <col min="4896" max="4896" width="58.140625" style="4" customWidth="1"/>
    <col min="4897" max="4897" width="3.7109375" style="4" customWidth="1"/>
    <col min="4898" max="4898" width="18.85546875" style="4" customWidth="1"/>
    <col min="4899" max="5120" width="9.140625" style="4"/>
    <col min="5121" max="5121" width="51.42578125" style="4" customWidth="1"/>
    <col min="5122" max="5122" width="15.28515625" style="4" customWidth="1"/>
    <col min="5123" max="5123" width="17.140625" style="4" customWidth="1"/>
    <col min="5124" max="5124" width="13.85546875" style="4" customWidth="1"/>
    <col min="5125" max="5125" width="15.42578125" style="4" customWidth="1"/>
    <col min="5126" max="5127" width="13.42578125" style="4" customWidth="1"/>
    <col min="5128" max="5128" width="17.42578125" style="4" customWidth="1"/>
    <col min="5129" max="5129" width="14.7109375" style="4" customWidth="1"/>
    <col min="5130" max="5130" width="13.5703125" style="4" customWidth="1"/>
    <col min="5131" max="5131" width="15.140625" style="4" customWidth="1"/>
    <col min="5132" max="5132" width="14.7109375" style="4" customWidth="1"/>
    <col min="5133" max="5133" width="15.140625" style="4" customWidth="1"/>
    <col min="5134" max="5134" width="14.140625" style="4" customWidth="1"/>
    <col min="5135" max="5135" width="14.7109375" style="4" customWidth="1"/>
    <col min="5136" max="5136" width="14.42578125" style="4" customWidth="1"/>
    <col min="5137" max="5137" width="15" style="4" customWidth="1"/>
    <col min="5138" max="5138" width="14.5703125" style="4" customWidth="1"/>
    <col min="5139" max="5139" width="14.85546875" style="4" customWidth="1"/>
    <col min="5140" max="5140" width="15" style="4" customWidth="1"/>
    <col min="5141" max="5151" width="16.140625" style="4" customWidth="1"/>
    <col min="5152" max="5152" width="58.140625" style="4" customWidth="1"/>
    <col min="5153" max="5153" width="3.7109375" style="4" customWidth="1"/>
    <col min="5154" max="5154" width="18.85546875" style="4" customWidth="1"/>
    <col min="5155" max="5376" width="9.140625" style="4"/>
    <col min="5377" max="5377" width="51.42578125" style="4" customWidth="1"/>
    <col min="5378" max="5378" width="15.28515625" style="4" customWidth="1"/>
    <col min="5379" max="5379" width="17.140625" style="4" customWidth="1"/>
    <col min="5380" max="5380" width="13.85546875" style="4" customWidth="1"/>
    <col min="5381" max="5381" width="15.42578125" style="4" customWidth="1"/>
    <col min="5382" max="5383" width="13.42578125" style="4" customWidth="1"/>
    <col min="5384" max="5384" width="17.42578125" style="4" customWidth="1"/>
    <col min="5385" max="5385" width="14.7109375" style="4" customWidth="1"/>
    <col min="5386" max="5386" width="13.5703125" style="4" customWidth="1"/>
    <col min="5387" max="5387" width="15.140625" style="4" customWidth="1"/>
    <col min="5388" max="5388" width="14.7109375" style="4" customWidth="1"/>
    <col min="5389" max="5389" width="15.140625" style="4" customWidth="1"/>
    <col min="5390" max="5390" width="14.140625" style="4" customWidth="1"/>
    <col min="5391" max="5391" width="14.7109375" style="4" customWidth="1"/>
    <col min="5392" max="5392" width="14.42578125" style="4" customWidth="1"/>
    <col min="5393" max="5393" width="15" style="4" customWidth="1"/>
    <col min="5394" max="5394" width="14.5703125" style="4" customWidth="1"/>
    <col min="5395" max="5395" width="14.85546875" style="4" customWidth="1"/>
    <col min="5396" max="5396" width="15" style="4" customWidth="1"/>
    <col min="5397" max="5407" width="16.140625" style="4" customWidth="1"/>
    <col min="5408" max="5408" width="58.140625" style="4" customWidth="1"/>
    <col min="5409" max="5409" width="3.7109375" style="4" customWidth="1"/>
    <col min="5410" max="5410" width="18.85546875" style="4" customWidth="1"/>
    <col min="5411" max="5632" width="9.140625" style="4"/>
    <col min="5633" max="5633" width="51.42578125" style="4" customWidth="1"/>
    <col min="5634" max="5634" width="15.28515625" style="4" customWidth="1"/>
    <col min="5635" max="5635" width="17.140625" style="4" customWidth="1"/>
    <col min="5636" max="5636" width="13.85546875" style="4" customWidth="1"/>
    <col min="5637" max="5637" width="15.42578125" style="4" customWidth="1"/>
    <col min="5638" max="5639" width="13.42578125" style="4" customWidth="1"/>
    <col min="5640" max="5640" width="17.42578125" style="4" customWidth="1"/>
    <col min="5641" max="5641" width="14.7109375" style="4" customWidth="1"/>
    <col min="5642" max="5642" width="13.5703125" style="4" customWidth="1"/>
    <col min="5643" max="5643" width="15.140625" style="4" customWidth="1"/>
    <col min="5644" max="5644" width="14.7109375" style="4" customWidth="1"/>
    <col min="5645" max="5645" width="15.140625" style="4" customWidth="1"/>
    <col min="5646" max="5646" width="14.140625" style="4" customWidth="1"/>
    <col min="5647" max="5647" width="14.7109375" style="4" customWidth="1"/>
    <col min="5648" max="5648" width="14.42578125" style="4" customWidth="1"/>
    <col min="5649" max="5649" width="15" style="4" customWidth="1"/>
    <col min="5650" max="5650" width="14.5703125" style="4" customWidth="1"/>
    <col min="5651" max="5651" width="14.85546875" style="4" customWidth="1"/>
    <col min="5652" max="5652" width="15" style="4" customWidth="1"/>
    <col min="5653" max="5663" width="16.140625" style="4" customWidth="1"/>
    <col min="5664" max="5664" width="58.140625" style="4" customWidth="1"/>
    <col min="5665" max="5665" width="3.7109375" style="4" customWidth="1"/>
    <col min="5666" max="5666" width="18.85546875" style="4" customWidth="1"/>
    <col min="5667" max="5888" width="9.140625" style="4"/>
    <col min="5889" max="5889" width="51.42578125" style="4" customWidth="1"/>
    <col min="5890" max="5890" width="15.28515625" style="4" customWidth="1"/>
    <col min="5891" max="5891" width="17.140625" style="4" customWidth="1"/>
    <col min="5892" max="5892" width="13.85546875" style="4" customWidth="1"/>
    <col min="5893" max="5893" width="15.42578125" style="4" customWidth="1"/>
    <col min="5894" max="5895" width="13.42578125" style="4" customWidth="1"/>
    <col min="5896" max="5896" width="17.42578125" style="4" customWidth="1"/>
    <col min="5897" max="5897" width="14.7109375" style="4" customWidth="1"/>
    <col min="5898" max="5898" width="13.5703125" style="4" customWidth="1"/>
    <col min="5899" max="5899" width="15.140625" style="4" customWidth="1"/>
    <col min="5900" max="5900" width="14.7109375" style="4" customWidth="1"/>
    <col min="5901" max="5901" width="15.140625" style="4" customWidth="1"/>
    <col min="5902" max="5902" width="14.140625" style="4" customWidth="1"/>
    <col min="5903" max="5903" width="14.7109375" style="4" customWidth="1"/>
    <col min="5904" max="5904" width="14.42578125" style="4" customWidth="1"/>
    <col min="5905" max="5905" width="15" style="4" customWidth="1"/>
    <col min="5906" max="5906" width="14.5703125" style="4" customWidth="1"/>
    <col min="5907" max="5907" width="14.85546875" style="4" customWidth="1"/>
    <col min="5908" max="5908" width="15" style="4" customWidth="1"/>
    <col min="5909" max="5919" width="16.140625" style="4" customWidth="1"/>
    <col min="5920" max="5920" width="58.140625" style="4" customWidth="1"/>
    <col min="5921" max="5921" width="3.7109375" style="4" customWidth="1"/>
    <col min="5922" max="5922" width="18.85546875" style="4" customWidth="1"/>
    <col min="5923" max="6144" width="9.140625" style="4"/>
    <col min="6145" max="6145" width="51.42578125" style="4" customWidth="1"/>
    <col min="6146" max="6146" width="15.28515625" style="4" customWidth="1"/>
    <col min="6147" max="6147" width="17.140625" style="4" customWidth="1"/>
    <col min="6148" max="6148" width="13.85546875" style="4" customWidth="1"/>
    <col min="6149" max="6149" width="15.42578125" style="4" customWidth="1"/>
    <col min="6150" max="6151" width="13.42578125" style="4" customWidth="1"/>
    <col min="6152" max="6152" width="17.42578125" style="4" customWidth="1"/>
    <col min="6153" max="6153" width="14.7109375" style="4" customWidth="1"/>
    <col min="6154" max="6154" width="13.5703125" style="4" customWidth="1"/>
    <col min="6155" max="6155" width="15.140625" style="4" customWidth="1"/>
    <col min="6156" max="6156" width="14.7109375" style="4" customWidth="1"/>
    <col min="6157" max="6157" width="15.140625" style="4" customWidth="1"/>
    <col min="6158" max="6158" width="14.140625" style="4" customWidth="1"/>
    <col min="6159" max="6159" width="14.7109375" style="4" customWidth="1"/>
    <col min="6160" max="6160" width="14.42578125" style="4" customWidth="1"/>
    <col min="6161" max="6161" width="15" style="4" customWidth="1"/>
    <col min="6162" max="6162" width="14.5703125" style="4" customWidth="1"/>
    <col min="6163" max="6163" width="14.85546875" style="4" customWidth="1"/>
    <col min="6164" max="6164" width="15" style="4" customWidth="1"/>
    <col min="6165" max="6175" width="16.140625" style="4" customWidth="1"/>
    <col min="6176" max="6176" width="58.140625" style="4" customWidth="1"/>
    <col min="6177" max="6177" width="3.7109375" style="4" customWidth="1"/>
    <col min="6178" max="6178" width="18.85546875" style="4" customWidth="1"/>
    <col min="6179" max="6400" width="9.140625" style="4"/>
    <col min="6401" max="6401" width="51.42578125" style="4" customWidth="1"/>
    <col min="6402" max="6402" width="15.28515625" style="4" customWidth="1"/>
    <col min="6403" max="6403" width="17.140625" style="4" customWidth="1"/>
    <col min="6404" max="6404" width="13.85546875" style="4" customWidth="1"/>
    <col min="6405" max="6405" width="15.42578125" style="4" customWidth="1"/>
    <col min="6406" max="6407" width="13.42578125" style="4" customWidth="1"/>
    <col min="6408" max="6408" width="17.42578125" style="4" customWidth="1"/>
    <col min="6409" max="6409" width="14.7109375" style="4" customWidth="1"/>
    <col min="6410" max="6410" width="13.5703125" style="4" customWidth="1"/>
    <col min="6411" max="6411" width="15.140625" style="4" customWidth="1"/>
    <col min="6412" max="6412" width="14.7109375" style="4" customWidth="1"/>
    <col min="6413" max="6413" width="15.140625" style="4" customWidth="1"/>
    <col min="6414" max="6414" width="14.140625" style="4" customWidth="1"/>
    <col min="6415" max="6415" width="14.7109375" style="4" customWidth="1"/>
    <col min="6416" max="6416" width="14.42578125" style="4" customWidth="1"/>
    <col min="6417" max="6417" width="15" style="4" customWidth="1"/>
    <col min="6418" max="6418" width="14.5703125" style="4" customWidth="1"/>
    <col min="6419" max="6419" width="14.85546875" style="4" customWidth="1"/>
    <col min="6420" max="6420" width="15" style="4" customWidth="1"/>
    <col min="6421" max="6431" width="16.140625" style="4" customWidth="1"/>
    <col min="6432" max="6432" width="58.140625" style="4" customWidth="1"/>
    <col min="6433" max="6433" width="3.7109375" style="4" customWidth="1"/>
    <col min="6434" max="6434" width="18.85546875" style="4" customWidth="1"/>
    <col min="6435" max="6656" width="9.140625" style="4"/>
    <col min="6657" max="6657" width="51.42578125" style="4" customWidth="1"/>
    <col min="6658" max="6658" width="15.28515625" style="4" customWidth="1"/>
    <col min="6659" max="6659" width="17.140625" style="4" customWidth="1"/>
    <col min="6660" max="6660" width="13.85546875" style="4" customWidth="1"/>
    <col min="6661" max="6661" width="15.42578125" style="4" customWidth="1"/>
    <col min="6662" max="6663" width="13.42578125" style="4" customWidth="1"/>
    <col min="6664" max="6664" width="17.42578125" style="4" customWidth="1"/>
    <col min="6665" max="6665" width="14.7109375" style="4" customWidth="1"/>
    <col min="6666" max="6666" width="13.5703125" style="4" customWidth="1"/>
    <col min="6667" max="6667" width="15.140625" style="4" customWidth="1"/>
    <col min="6668" max="6668" width="14.7109375" style="4" customWidth="1"/>
    <col min="6669" max="6669" width="15.140625" style="4" customWidth="1"/>
    <col min="6670" max="6670" width="14.140625" style="4" customWidth="1"/>
    <col min="6671" max="6671" width="14.7109375" style="4" customWidth="1"/>
    <col min="6672" max="6672" width="14.42578125" style="4" customWidth="1"/>
    <col min="6673" max="6673" width="15" style="4" customWidth="1"/>
    <col min="6674" max="6674" width="14.5703125" style="4" customWidth="1"/>
    <col min="6675" max="6675" width="14.85546875" style="4" customWidth="1"/>
    <col min="6676" max="6676" width="15" style="4" customWidth="1"/>
    <col min="6677" max="6687" width="16.140625" style="4" customWidth="1"/>
    <col min="6688" max="6688" width="58.140625" style="4" customWidth="1"/>
    <col min="6689" max="6689" width="3.7109375" style="4" customWidth="1"/>
    <col min="6690" max="6690" width="18.85546875" style="4" customWidth="1"/>
    <col min="6691" max="6912" width="9.140625" style="4"/>
    <col min="6913" max="6913" width="51.42578125" style="4" customWidth="1"/>
    <col min="6914" max="6914" width="15.28515625" style="4" customWidth="1"/>
    <col min="6915" max="6915" width="17.140625" style="4" customWidth="1"/>
    <col min="6916" max="6916" width="13.85546875" style="4" customWidth="1"/>
    <col min="6917" max="6917" width="15.42578125" style="4" customWidth="1"/>
    <col min="6918" max="6919" width="13.42578125" style="4" customWidth="1"/>
    <col min="6920" max="6920" width="17.42578125" style="4" customWidth="1"/>
    <col min="6921" max="6921" width="14.7109375" style="4" customWidth="1"/>
    <col min="6922" max="6922" width="13.5703125" style="4" customWidth="1"/>
    <col min="6923" max="6923" width="15.140625" style="4" customWidth="1"/>
    <col min="6924" max="6924" width="14.7109375" style="4" customWidth="1"/>
    <col min="6925" max="6925" width="15.140625" style="4" customWidth="1"/>
    <col min="6926" max="6926" width="14.140625" style="4" customWidth="1"/>
    <col min="6927" max="6927" width="14.7109375" style="4" customWidth="1"/>
    <col min="6928" max="6928" width="14.42578125" style="4" customWidth="1"/>
    <col min="6929" max="6929" width="15" style="4" customWidth="1"/>
    <col min="6930" max="6930" width="14.5703125" style="4" customWidth="1"/>
    <col min="6931" max="6931" width="14.85546875" style="4" customWidth="1"/>
    <col min="6932" max="6932" width="15" style="4" customWidth="1"/>
    <col min="6933" max="6943" width="16.140625" style="4" customWidth="1"/>
    <col min="6944" max="6944" width="58.140625" style="4" customWidth="1"/>
    <col min="6945" max="6945" width="3.7109375" style="4" customWidth="1"/>
    <col min="6946" max="6946" width="18.85546875" style="4" customWidth="1"/>
    <col min="6947" max="7168" width="9.140625" style="4"/>
    <col min="7169" max="7169" width="51.42578125" style="4" customWidth="1"/>
    <col min="7170" max="7170" width="15.28515625" style="4" customWidth="1"/>
    <col min="7171" max="7171" width="17.140625" style="4" customWidth="1"/>
    <col min="7172" max="7172" width="13.85546875" style="4" customWidth="1"/>
    <col min="7173" max="7173" width="15.42578125" style="4" customWidth="1"/>
    <col min="7174" max="7175" width="13.42578125" style="4" customWidth="1"/>
    <col min="7176" max="7176" width="17.42578125" style="4" customWidth="1"/>
    <col min="7177" max="7177" width="14.7109375" style="4" customWidth="1"/>
    <col min="7178" max="7178" width="13.5703125" style="4" customWidth="1"/>
    <col min="7179" max="7179" width="15.140625" style="4" customWidth="1"/>
    <col min="7180" max="7180" width="14.7109375" style="4" customWidth="1"/>
    <col min="7181" max="7181" width="15.140625" style="4" customWidth="1"/>
    <col min="7182" max="7182" width="14.140625" style="4" customWidth="1"/>
    <col min="7183" max="7183" width="14.7109375" style="4" customWidth="1"/>
    <col min="7184" max="7184" width="14.42578125" style="4" customWidth="1"/>
    <col min="7185" max="7185" width="15" style="4" customWidth="1"/>
    <col min="7186" max="7186" width="14.5703125" style="4" customWidth="1"/>
    <col min="7187" max="7187" width="14.85546875" style="4" customWidth="1"/>
    <col min="7188" max="7188" width="15" style="4" customWidth="1"/>
    <col min="7189" max="7199" width="16.140625" style="4" customWidth="1"/>
    <col min="7200" max="7200" width="58.140625" style="4" customWidth="1"/>
    <col min="7201" max="7201" width="3.7109375" style="4" customWidth="1"/>
    <col min="7202" max="7202" width="18.85546875" style="4" customWidth="1"/>
    <col min="7203" max="7424" width="9.140625" style="4"/>
    <col min="7425" max="7425" width="51.42578125" style="4" customWidth="1"/>
    <col min="7426" max="7426" width="15.28515625" style="4" customWidth="1"/>
    <col min="7427" max="7427" width="17.140625" style="4" customWidth="1"/>
    <col min="7428" max="7428" width="13.85546875" style="4" customWidth="1"/>
    <col min="7429" max="7429" width="15.42578125" style="4" customWidth="1"/>
    <col min="7430" max="7431" width="13.42578125" style="4" customWidth="1"/>
    <col min="7432" max="7432" width="17.42578125" style="4" customWidth="1"/>
    <col min="7433" max="7433" width="14.7109375" style="4" customWidth="1"/>
    <col min="7434" max="7434" width="13.5703125" style="4" customWidth="1"/>
    <col min="7435" max="7435" width="15.140625" style="4" customWidth="1"/>
    <col min="7436" max="7436" width="14.7109375" style="4" customWidth="1"/>
    <col min="7437" max="7437" width="15.140625" style="4" customWidth="1"/>
    <col min="7438" max="7438" width="14.140625" style="4" customWidth="1"/>
    <col min="7439" max="7439" width="14.7109375" style="4" customWidth="1"/>
    <col min="7440" max="7440" width="14.42578125" style="4" customWidth="1"/>
    <col min="7441" max="7441" width="15" style="4" customWidth="1"/>
    <col min="7442" max="7442" width="14.5703125" style="4" customWidth="1"/>
    <col min="7443" max="7443" width="14.85546875" style="4" customWidth="1"/>
    <col min="7444" max="7444" width="15" style="4" customWidth="1"/>
    <col min="7445" max="7455" width="16.140625" style="4" customWidth="1"/>
    <col min="7456" max="7456" width="58.140625" style="4" customWidth="1"/>
    <col min="7457" max="7457" width="3.7109375" style="4" customWidth="1"/>
    <col min="7458" max="7458" width="18.85546875" style="4" customWidth="1"/>
    <col min="7459" max="7680" width="9.140625" style="4"/>
    <col min="7681" max="7681" width="51.42578125" style="4" customWidth="1"/>
    <col min="7682" max="7682" width="15.28515625" style="4" customWidth="1"/>
    <col min="7683" max="7683" width="17.140625" style="4" customWidth="1"/>
    <col min="7684" max="7684" width="13.85546875" style="4" customWidth="1"/>
    <col min="7685" max="7685" width="15.42578125" style="4" customWidth="1"/>
    <col min="7686" max="7687" width="13.42578125" style="4" customWidth="1"/>
    <col min="7688" max="7688" width="17.42578125" style="4" customWidth="1"/>
    <col min="7689" max="7689" width="14.7109375" style="4" customWidth="1"/>
    <col min="7690" max="7690" width="13.5703125" style="4" customWidth="1"/>
    <col min="7691" max="7691" width="15.140625" style="4" customWidth="1"/>
    <col min="7692" max="7692" width="14.7109375" style="4" customWidth="1"/>
    <col min="7693" max="7693" width="15.140625" style="4" customWidth="1"/>
    <col min="7694" max="7694" width="14.140625" style="4" customWidth="1"/>
    <col min="7695" max="7695" width="14.7109375" style="4" customWidth="1"/>
    <col min="7696" max="7696" width="14.42578125" style="4" customWidth="1"/>
    <col min="7697" max="7697" width="15" style="4" customWidth="1"/>
    <col min="7698" max="7698" width="14.5703125" style="4" customWidth="1"/>
    <col min="7699" max="7699" width="14.85546875" style="4" customWidth="1"/>
    <col min="7700" max="7700" width="15" style="4" customWidth="1"/>
    <col min="7701" max="7711" width="16.140625" style="4" customWidth="1"/>
    <col min="7712" max="7712" width="58.140625" style="4" customWidth="1"/>
    <col min="7713" max="7713" width="3.7109375" style="4" customWidth="1"/>
    <col min="7714" max="7714" width="18.85546875" style="4" customWidth="1"/>
    <col min="7715" max="7936" width="9.140625" style="4"/>
    <col min="7937" max="7937" width="51.42578125" style="4" customWidth="1"/>
    <col min="7938" max="7938" width="15.28515625" style="4" customWidth="1"/>
    <col min="7939" max="7939" width="17.140625" style="4" customWidth="1"/>
    <col min="7940" max="7940" width="13.85546875" style="4" customWidth="1"/>
    <col min="7941" max="7941" width="15.42578125" style="4" customWidth="1"/>
    <col min="7942" max="7943" width="13.42578125" style="4" customWidth="1"/>
    <col min="7944" max="7944" width="17.42578125" style="4" customWidth="1"/>
    <col min="7945" max="7945" width="14.7109375" style="4" customWidth="1"/>
    <col min="7946" max="7946" width="13.5703125" style="4" customWidth="1"/>
    <col min="7947" max="7947" width="15.140625" style="4" customWidth="1"/>
    <col min="7948" max="7948" width="14.7109375" style="4" customWidth="1"/>
    <col min="7949" max="7949" width="15.140625" style="4" customWidth="1"/>
    <col min="7950" max="7950" width="14.140625" style="4" customWidth="1"/>
    <col min="7951" max="7951" width="14.7109375" style="4" customWidth="1"/>
    <col min="7952" max="7952" width="14.42578125" style="4" customWidth="1"/>
    <col min="7953" max="7953" width="15" style="4" customWidth="1"/>
    <col min="7954" max="7954" width="14.5703125" style="4" customWidth="1"/>
    <col min="7955" max="7955" width="14.85546875" style="4" customWidth="1"/>
    <col min="7956" max="7956" width="15" style="4" customWidth="1"/>
    <col min="7957" max="7967" width="16.140625" style="4" customWidth="1"/>
    <col min="7968" max="7968" width="58.140625" style="4" customWidth="1"/>
    <col min="7969" max="7969" width="3.7109375" style="4" customWidth="1"/>
    <col min="7970" max="7970" width="18.85546875" style="4" customWidth="1"/>
    <col min="7971" max="8192" width="9.140625" style="4"/>
    <col min="8193" max="8193" width="51.42578125" style="4" customWidth="1"/>
    <col min="8194" max="8194" width="15.28515625" style="4" customWidth="1"/>
    <col min="8195" max="8195" width="17.140625" style="4" customWidth="1"/>
    <col min="8196" max="8196" width="13.85546875" style="4" customWidth="1"/>
    <col min="8197" max="8197" width="15.42578125" style="4" customWidth="1"/>
    <col min="8198" max="8199" width="13.42578125" style="4" customWidth="1"/>
    <col min="8200" max="8200" width="17.42578125" style="4" customWidth="1"/>
    <col min="8201" max="8201" width="14.7109375" style="4" customWidth="1"/>
    <col min="8202" max="8202" width="13.5703125" style="4" customWidth="1"/>
    <col min="8203" max="8203" width="15.140625" style="4" customWidth="1"/>
    <col min="8204" max="8204" width="14.7109375" style="4" customWidth="1"/>
    <col min="8205" max="8205" width="15.140625" style="4" customWidth="1"/>
    <col min="8206" max="8206" width="14.140625" style="4" customWidth="1"/>
    <col min="8207" max="8207" width="14.7109375" style="4" customWidth="1"/>
    <col min="8208" max="8208" width="14.42578125" style="4" customWidth="1"/>
    <col min="8209" max="8209" width="15" style="4" customWidth="1"/>
    <col min="8210" max="8210" width="14.5703125" style="4" customWidth="1"/>
    <col min="8211" max="8211" width="14.85546875" style="4" customWidth="1"/>
    <col min="8212" max="8212" width="15" style="4" customWidth="1"/>
    <col min="8213" max="8223" width="16.140625" style="4" customWidth="1"/>
    <col min="8224" max="8224" width="58.140625" style="4" customWidth="1"/>
    <col min="8225" max="8225" width="3.7109375" style="4" customWidth="1"/>
    <col min="8226" max="8226" width="18.85546875" style="4" customWidth="1"/>
    <col min="8227" max="8448" width="9.140625" style="4"/>
    <col min="8449" max="8449" width="51.42578125" style="4" customWidth="1"/>
    <col min="8450" max="8450" width="15.28515625" style="4" customWidth="1"/>
    <col min="8451" max="8451" width="17.140625" style="4" customWidth="1"/>
    <col min="8452" max="8452" width="13.85546875" style="4" customWidth="1"/>
    <col min="8453" max="8453" width="15.42578125" style="4" customWidth="1"/>
    <col min="8454" max="8455" width="13.42578125" style="4" customWidth="1"/>
    <col min="8456" max="8456" width="17.42578125" style="4" customWidth="1"/>
    <col min="8457" max="8457" width="14.7109375" style="4" customWidth="1"/>
    <col min="8458" max="8458" width="13.5703125" style="4" customWidth="1"/>
    <col min="8459" max="8459" width="15.140625" style="4" customWidth="1"/>
    <col min="8460" max="8460" width="14.7109375" style="4" customWidth="1"/>
    <col min="8461" max="8461" width="15.140625" style="4" customWidth="1"/>
    <col min="8462" max="8462" width="14.140625" style="4" customWidth="1"/>
    <col min="8463" max="8463" width="14.7109375" style="4" customWidth="1"/>
    <col min="8464" max="8464" width="14.42578125" style="4" customWidth="1"/>
    <col min="8465" max="8465" width="15" style="4" customWidth="1"/>
    <col min="8466" max="8466" width="14.5703125" style="4" customWidth="1"/>
    <col min="8467" max="8467" width="14.85546875" style="4" customWidth="1"/>
    <col min="8468" max="8468" width="15" style="4" customWidth="1"/>
    <col min="8469" max="8479" width="16.140625" style="4" customWidth="1"/>
    <col min="8480" max="8480" width="58.140625" style="4" customWidth="1"/>
    <col min="8481" max="8481" width="3.7109375" style="4" customWidth="1"/>
    <col min="8482" max="8482" width="18.85546875" style="4" customWidth="1"/>
    <col min="8483" max="8704" width="9.140625" style="4"/>
    <col min="8705" max="8705" width="51.42578125" style="4" customWidth="1"/>
    <col min="8706" max="8706" width="15.28515625" style="4" customWidth="1"/>
    <col min="8707" max="8707" width="17.140625" style="4" customWidth="1"/>
    <col min="8708" max="8708" width="13.85546875" style="4" customWidth="1"/>
    <col min="8709" max="8709" width="15.42578125" style="4" customWidth="1"/>
    <col min="8710" max="8711" width="13.42578125" style="4" customWidth="1"/>
    <col min="8712" max="8712" width="17.42578125" style="4" customWidth="1"/>
    <col min="8713" max="8713" width="14.7109375" style="4" customWidth="1"/>
    <col min="8714" max="8714" width="13.5703125" style="4" customWidth="1"/>
    <col min="8715" max="8715" width="15.140625" style="4" customWidth="1"/>
    <col min="8716" max="8716" width="14.7109375" style="4" customWidth="1"/>
    <col min="8717" max="8717" width="15.140625" style="4" customWidth="1"/>
    <col min="8718" max="8718" width="14.140625" style="4" customWidth="1"/>
    <col min="8719" max="8719" width="14.7109375" style="4" customWidth="1"/>
    <col min="8720" max="8720" width="14.42578125" style="4" customWidth="1"/>
    <col min="8721" max="8721" width="15" style="4" customWidth="1"/>
    <col min="8722" max="8722" width="14.5703125" style="4" customWidth="1"/>
    <col min="8723" max="8723" width="14.85546875" style="4" customWidth="1"/>
    <col min="8724" max="8724" width="15" style="4" customWidth="1"/>
    <col min="8725" max="8735" width="16.140625" style="4" customWidth="1"/>
    <col min="8736" max="8736" width="58.140625" style="4" customWidth="1"/>
    <col min="8737" max="8737" width="3.7109375" style="4" customWidth="1"/>
    <col min="8738" max="8738" width="18.85546875" style="4" customWidth="1"/>
    <col min="8739" max="8960" width="9.140625" style="4"/>
    <col min="8961" max="8961" width="51.42578125" style="4" customWidth="1"/>
    <col min="8962" max="8962" width="15.28515625" style="4" customWidth="1"/>
    <col min="8963" max="8963" width="17.140625" style="4" customWidth="1"/>
    <col min="8964" max="8964" width="13.85546875" style="4" customWidth="1"/>
    <col min="8965" max="8965" width="15.42578125" style="4" customWidth="1"/>
    <col min="8966" max="8967" width="13.42578125" style="4" customWidth="1"/>
    <col min="8968" max="8968" width="17.42578125" style="4" customWidth="1"/>
    <col min="8969" max="8969" width="14.7109375" style="4" customWidth="1"/>
    <col min="8970" max="8970" width="13.5703125" style="4" customWidth="1"/>
    <col min="8971" max="8971" width="15.140625" style="4" customWidth="1"/>
    <col min="8972" max="8972" width="14.7109375" style="4" customWidth="1"/>
    <col min="8973" max="8973" width="15.140625" style="4" customWidth="1"/>
    <col min="8974" max="8974" width="14.140625" style="4" customWidth="1"/>
    <col min="8975" max="8975" width="14.7109375" style="4" customWidth="1"/>
    <col min="8976" max="8976" width="14.42578125" style="4" customWidth="1"/>
    <col min="8977" max="8977" width="15" style="4" customWidth="1"/>
    <col min="8978" max="8978" width="14.5703125" style="4" customWidth="1"/>
    <col min="8979" max="8979" width="14.85546875" style="4" customWidth="1"/>
    <col min="8980" max="8980" width="15" style="4" customWidth="1"/>
    <col min="8981" max="8991" width="16.140625" style="4" customWidth="1"/>
    <col min="8992" max="8992" width="58.140625" style="4" customWidth="1"/>
    <col min="8993" max="8993" width="3.7109375" style="4" customWidth="1"/>
    <col min="8994" max="8994" width="18.85546875" style="4" customWidth="1"/>
    <col min="8995" max="9216" width="9.140625" style="4"/>
    <col min="9217" max="9217" width="51.42578125" style="4" customWidth="1"/>
    <col min="9218" max="9218" width="15.28515625" style="4" customWidth="1"/>
    <col min="9219" max="9219" width="17.140625" style="4" customWidth="1"/>
    <col min="9220" max="9220" width="13.85546875" style="4" customWidth="1"/>
    <col min="9221" max="9221" width="15.42578125" style="4" customWidth="1"/>
    <col min="9222" max="9223" width="13.42578125" style="4" customWidth="1"/>
    <col min="9224" max="9224" width="17.42578125" style="4" customWidth="1"/>
    <col min="9225" max="9225" width="14.7109375" style="4" customWidth="1"/>
    <col min="9226" max="9226" width="13.5703125" style="4" customWidth="1"/>
    <col min="9227" max="9227" width="15.140625" style="4" customWidth="1"/>
    <col min="9228" max="9228" width="14.7109375" style="4" customWidth="1"/>
    <col min="9229" max="9229" width="15.140625" style="4" customWidth="1"/>
    <col min="9230" max="9230" width="14.140625" style="4" customWidth="1"/>
    <col min="9231" max="9231" width="14.7109375" style="4" customWidth="1"/>
    <col min="9232" max="9232" width="14.42578125" style="4" customWidth="1"/>
    <col min="9233" max="9233" width="15" style="4" customWidth="1"/>
    <col min="9234" max="9234" width="14.5703125" style="4" customWidth="1"/>
    <col min="9235" max="9235" width="14.85546875" style="4" customWidth="1"/>
    <col min="9236" max="9236" width="15" style="4" customWidth="1"/>
    <col min="9237" max="9247" width="16.140625" style="4" customWidth="1"/>
    <col min="9248" max="9248" width="58.140625" style="4" customWidth="1"/>
    <col min="9249" max="9249" width="3.7109375" style="4" customWidth="1"/>
    <col min="9250" max="9250" width="18.85546875" style="4" customWidth="1"/>
    <col min="9251" max="9472" width="9.140625" style="4"/>
    <col min="9473" max="9473" width="51.42578125" style="4" customWidth="1"/>
    <col min="9474" max="9474" width="15.28515625" style="4" customWidth="1"/>
    <col min="9475" max="9475" width="17.140625" style="4" customWidth="1"/>
    <col min="9476" max="9476" width="13.85546875" style="4" customWidth="1"/>
    <col min="9477" max="9477" width="15.42578125" style="4" customWidth="1"/>
    <col min="9478" max="9479" width="13.42578125" style="4" customWidth="1"/>
    <col min="9480" max="9480" width="17.42578125" style="4" customWidth="1"/>
    <col min="9481" max="9481" width="14.7109375" style="4" customWidth="1"/>
    <col min="9482" max="9482" width="13.5703125" style="4" customWidth="1"/>
    <col min="9483" max="9483" width="15.140625" style="4" customWidth="1"/>
    <col min="9484" max="9484" width="14.7109375" style="4" customWidth="1"/>
    <col min="9485" max="9485" width="15.140625" style="4" customWidth="1"/>
    <col min="9486" max="9486" width="14.140625" style="4" customWidth="1"/>
    <col min="9487" max="9487" width="14.7109375" style="4" customWidth="1"/>
    <col min="9488" max="9488" width="14.42578125" style="4" customWidth="1"/>
    <col min="9489" max="9489" width="15" style="4" customWidth="1"/>
    <col min="9490" max="9490" width="14.5703125" style="4" customWidth="1"/>
    <col min="9491" max="9491" width="14.85546875" style="4" customWidth="1"/>
    <col min="9492" max="9492" width="15" style="4" customWidth="1"/>
    <col min="9493" max="9503" width="16.140625" style="4" customWidth="1"/>
    <col min="9504" max="9504" width="58.140625" style="4" customWidth="1"/>
    <col min="9505" max="9505" width="3.7109375" style="4" customWidth="1"/>
    <col min="9506" max="9506" width="18.85546875" style="4" customWidth="1"/>
    <col min="9507" max="9728" width="9.140625" style="4"/>
    <col min="9729" max="9729" width="51.42578125" style="4" customWidth="1"/>
    <col min="9730" max="9730" width="15.28515625" style="4" customWidth="1"/>
    <col min="9731" max="9731" width="17.140625" style="4" customWidth="1"/>
    <col min="9732" max="9732" width="13.85546875" style="4" customWidth="1"/>
    <col min="9733" max="9733" width="15.42578125" style="4" customWidth="1"/>
    <col min="9734" max="9735" width="13.42578125" style="4" customWidth="1"/>
    <col min="9736" max="9736" width="17.42578125" style="4" customWidth="1"/>
    <col min="9737" max="9737" width="14.7109375" style="4" customWidth="1"/>
    <col min="9738" max="9738" width="13.5703125" style="4" customWidth="1"/>
    <col min="9739" max="9739" width="15.140625" style="4" customWidth="1"/>
    <col min="9740" max="9740" width="14.7109375" style="4" customWidth="1"/>
    <col min="9741" max="9741" width="15.140625" style="4" customWidth="1"/>
    <col min="9742" max="9742" width="14.140625" style="4" customWidth="1"/>
    <col min="9743" max="9743" width="14.7109375" style="4" customWidth="1"/>
    <col min="9744" max="9744" width="14.42578125" style="4" customWidth="1"/>
    <col min="9745" max="9745" width="15" style="4" customWidth="1"/>
    <col min="9746" max="9746" width="14.5703125" style="4" customWidth="1"/>
    <col min="9747" max="9747" width="14.85546875" style="4" customWidth="1"/>
    <col min="9748" max="9748" width="15" style="4" customWidth="1"/>
    <col min="9749" max="9759" width="16.140625" style="4" customWidth="1"/>
    <col min="9760" max="9760" width="58.140625" style="4" customWidth="1"/>
    <col min="9761" max="9761" width="3.7109375" style="4" customWidth="1"/>
    <col min="9762" max="9762" width="18.85546875" style="4" customWidth="1"/>
    <col min="9763" max="9984" width="9.140625" style="4"/>
    <col min="9985" max="9985" width="51.42578125" style="4" customWidth="1"/>
    <col min="9986" max="9986" width="15.28515625" style="4" customWidth="1"/>
    <col min="9987" max="9987" width="17.140625" style="4" customWidth="1"/>
    <col min="9988" max="9988" width="13.85546875" style="4" customWidth="1"/>
    <col min="9989" max="9989" width="15.42578125" style="4" customWidth="1"/>
    <col min="9990" max="9991" width="13.42578125" style="4" customWidth="1"/>
    <col min="9992" max="9992" width="17.42578125" style="4" customWidth="1"/>
    <col min="9993" max="9993" width="14.7109375" style="4" customWidth="1"/>
    <col min="9994" max="9994" width="13.5703125" style="4" customWidth="1"/>
    <col min="9995" max="9995" width="15.140625" style="4" customWidth="1"/>
    <col min="9996" max="9996" width="14.7109375" style="4" customWidth="1"/>
    <col min="9997" max="9997" width="15.140625" style="4" customWidth="1"/>
    <col min="9998" max="9998" width="14.140625" style="4" customWidth="1"/>
    <col min="9999" max="9999" width="14.7109375" style="4" customWidth="1"/>
    <col min="10000" max="10000" width="14.42578125" style="4" customWidth="1"/>
    <col min="10001" max="10001" width="15" style="4" customWidth="1"/>
    <col min="10002" max="10002" width="14.5703125" style="4" customWidth="1"/>
    <col min="10003" max="10003" width="14.85546875" style="4" customWidth="1"/>
    <col min="10004" max="10004" width="15" style="4" customWidth="1"/>
    <col min="10005" max="10015" width="16.140625" style="4" customWidth="1"/>
    <col min="10016" max="10016" width="58.140625" style="4" customWidth="1"/>
    <col min="10017" max="10017" width="3.7109375" style="4" customWidth="1"/>
    <col min="10018" max="10018" width="18.85546875" style="4" customWidth="1"/>
    <col min="10019" max="10240" width="9.140625" style="4"/>
    <col min="10241" max="10241" width="51.42578125" style="4" customWidth="1"/>
    <col min="10242" max="10242" width="15.28515625" style="4" customWidth="1"/>
    <col min="10243" max="10243" width="17.140625" style="4" customWidth="1"/>
    <col min="10244" max="10244" width="13.85546875" style="4" customWidth="1"/>
    <col min="10245" max="10245" width="15.42578125" style="4" customWidth="1"/>
    <col min="10246" max="10247" width="13.42578125" style="4" customWidth="1"/>
    <col min="10248" max="10248" width="17.42578125" style="4" customWidth="1"/>
    <col min="10249" max="10249" width="14.7109375" style="4" customWidth="1"/>
    <col min="10250" max="10250" width="13.5703125" style="4" customWidth="1"/>
    <col min="10251" max="10251" width="15.140625" style="4" customWidth="1"/>
    <col min="10252" max="10252" width="14.7109375" style="4" customWidth="1"/>
    <col min="10253" max="10253" width="15.140625" style="4" customWidth="1"/>
    <col min="10254" max="10254" width="14.140625" style="4" customWidth="1"/>
    <col min="10255" max="10255" width="14.7109375" style="4" customWidth="1"/>
    <col min="10256" max="10256" width="14.42578125" style="4" customWidth="1"/>
    <col min="10257" max="10257" width="15" style="4" customWidth="1"/>
    <col min="10258" max="10258" width="14.5703125" style="4" customWidth="1"/>
    <col min="10259" max="10259" width="14.85546875" style="4" customWidth="1"/>
    <col min="10260" max="10260" width="15" style="4" customWidth="1"/>
    <col min="10261" max="10271" width="16.140625" style="4" customWidth="1"/>
    <col min="10272" max="10272" width="58.140625" style="4" customWidth="1"/>
    <col min="10273" max="10273" width="3.7109375" style="4" customWidth="1"/>
    <col min="10274" max="10274" width="18.85546875" style="4" customWidth="1"/>
    <col min="10275" max="10496" width="9.140625" style="4"/>
    <col min="10497" max="10497" width="51.42578125" style="4" customWidth="1"/>
    <col min="10498" max="10498" width="15.28515625" style="4" customWidth="1"/>
    <col min="10499" max="10499" width="17.140625" style="4" customWidth="1"/>
    <col min="10500" max="10500" width="13.85546875" style="4" customWidth="1"/>
    <col min="10501" max="10501" width="15.42578125" style="4" customWidth="1"/>
    <col min="10502" max="10503" width="13.42578125" style="4" customWidth="1"/>
    <col min="10504" max="10504" width="17.42578125" style="4" customWidth="1"/>
    <col min="10505" max="10505" width="14.7109375" style="4" customWidth="1"/>
    <col min="10506" max="10506" width="13.5703125" style="4" customWidth="1"/>
    <col min="10507" max="10507" width="15.140625" style="4" customWidth="1"/>
    <col min="10508" max="10508" width="14.7109375" style="4" customWidth="1"/>
    <col min="10509" max="10509" width="15.140625" style="4" customWidth="1"/>
    <col min="10510" max="10510" width="14.140625" style="4" customWidth="1"/>
    <col min="10511" max="10511" width="14.7109375" style="4" customWidth="1"/>
    <col min="10512" max="10512" width="14.42578125" style="4" customWidth="1"/>
    <col min="10513" max="10513" width="15" style="4" customWidth="1"/>
    <col min="10514" max="10514" width="14.5703125" style="4" customWidth="1"/>
    <col min="10515" max="10515" width="14.85546875" style="4" customWidth="1"/>
    <col min="10516" max="10516" width="15" style="4" customWidth="1"/>
    <col min="10517" max="10527" width="16.140625" style="4" customWidth="1"/>
    <col min="10528" max="10528" width="58.140625" style="4" customWidth="1"/>
    <col min="10529" max="10529" width="3.7109375" style="4" customWidth="1"/>
    <col min="10530" max="10530" width="18.85546875" style="4" customWidth="1"/>
    <col min="10531" max="10752" width="9.140625" style="4"/>
    <col min="10753" max="10753" width="51.42578125" style="4" customWidth="1"/>
    <col min="10754" max="10754" width="15.28515625" style="4" customWidth="1"/>
    <col min="10755" max="10755" width="17.140625" style="4" customWidth="1"/>
    <col min="10756" max="10756" width="13.85546875" style="4" customWidth="1"/>
    <col min="10757" max="10757" width="15.42578125" style="4" customWidth="1"/>
    <col min="10758" max="10759" width="13.42578125" style="4" customWidth="1"/>
    <col min="10760" max="10760" width="17.42578125" style="4" customWidth="1"/>
    <col min="10761" max="10761" width="14.7109375" style="4" customWidth="1"/>
    <col min="10762" max="10762" width="13.5703125" style="4" customWidth="1"/>
    <col min="10763" max="10763" width="15.140625" style="4" customWidth="1"/>
    <col min="10764" max="10764" width="14.7109375" style="4" customWidth="1"/>
    <col min="10765" max="10765" width="15.140625" style="4" customWidth="1"/>
    <col min="10766" max="10766" width="14.140625" style="4" customWidth="1"/>
    <col min="10767" max="10767" width="14.7109375" style="4" customWidth="1"/>
    <col min="10768" max="10768" width="14.42578125" style="4" customWidth="1"/>
    <col min="10769" max="10769" width="15" style="4" customWidth="1"/>
    <col min="10770" max="10770" width="14.5703125" style="4" customWidth="1"/>
    <col min="10771" max="10771" width="14.85546875" style="4" customWidth="1"/>
    <col min="10772" max="10772" width="15" style="4" customWidth="1"/>
    <col min="10773" max="10783" width="16.140625" style="4" customWidth="1"/>
    <col min="10784" max="10784" width="58.140625" style="4" customWidth="1"/>
    <col min="10785" max="10785" width="3.7109375" style="4" customWidth="1"/>
    <col min="10786" max="10786" width="18.85546875" style="4" customWidth="1"/>
    <col min="10787" max="11008" width="9.140625" style="4"/>
    <col min="11009" max="11009" width="51.42578125" style="4" customWidth="1"/>
    <col min="11010" max="11010" width="15.28515625" style="4" customWidth="1"/>
    <col min="11011" max="11011" width="17.140625" style="4" customWidth="1"/>
    <col min="11012" max="11012" width="13.85546875" style="4" customWidth="1"/>
    <col min="11013" max="11013" width="15.42578125" style="4" customWidth="1"/>
    <col min="11014" max="11015" width="13.42578125" style="4" customWidth="1"/>
    <col min="11016" max="11016" width="17.42578125" style="4" customWidth="1"/>
    <col min="11017" max="11017" width="14.7109375" style="4" customWidth="1"/>
    <col min="11018" max="11018" width="13.5703125" style="4" customWidth="1"/>
    <col min="11019" max="11019" width="15.140625" style="4" customWidth="1"/>
    <col min="11020" max="11020" width="14.7109375" style="4" customWidth="1"/>
    <col min="11021" max="11021" width="15.140625" style="4" customWidth="1"/>
    <col min="11022" max="11022" width="14.140625" style="4" customWidth="1"/>
    <col min="11023" max="11023" width="14.7109375" style="4" customWidth="1"/>
    <col min="11024" max="11024" width="14.42578125" style="4" customWidth="1"/>
    <col min="11025" max="11025" width="15" style="4" customWidth="1"/>
    <col min="11026" max="11026" width="14.5703125" style="4" customWidth="1"/>
    <col min="11027" max="11027" width="14.85546875" style="4" customWidth="1"/>
    <col min="11028" max="11028" width="15" style="4" customWidth="1"/>
    <col min="11029" max="11039" width="16.140625" style="4" customWidth="1"/>
    <col min="11040" max="11040" width="58.140625" style="4" customWidth="1"/>
    <col min="11041" max="11041" width="3.7109375" style="4" customWidth="1"/>
    <col min="11042" max="11042" width="18.85546875" style="4" customWidth="1"/>
    <col min="11043" max="11264" width="9.140625" style="4"/>
    <col min="11265" max="11265" width="51.42578125" style="4" customWidth="1"/>
    <col min="11266" max="11266" width="15.28515625" style="4" customWidth="1"/>
    <col min="11267" max="11267" width="17.140625" style="4" customWidth="1"/>
    <col min="11268" max="11268" width="13.85546875" style="4" customWidth="1"/>
    <col min="11269" max="11269" width="15.42578125" style="4" customWidth="1"/>
    <col min="11270" max="11271" width="13.42578125" style="4" customWidth="1"/>
    <col min="11272" max="11272" width="17.42578125" style="4" customWidth="1"/>
    <col min="11273" max="11273" width="14.7109375" style="4" customWidth="1"/>
    <col min="11274" max="11274" width="13.5703125" style="4" customWidth="1"/>
    <col min="11275" max="11275" width="15.140625" style="4" customWidth="1"/>
    <col min="11276" max="11276" width="14.7109375" style="4" customWidth="1"/>
    <col min="11277" max="11277" width="15.140625" style="4" customWidth="1"/>
    <col min="11278" max="11278" width="14.140625" style="4" customWidth="1"/>
    <col min="11279" max="11279" width="14.7109375" style="4" customWidth="1"/>
    <col min="11280" max="11280" width="14.42578125" style="4" customWidth="1"/>
    <col min="11281" max="11281" width="15" style="4" customWidth="1"/>
    <col min="11282" max="11282" width="14.5703125" style="4" customWidth="1"/>
    <col min="11283" max="11283" width="14.85546875" style="4" customWidth="1"/>
    <col min="11284" max="11284" width="15" style="4" customWidth="1"/>
    <col min="11285" max="11295" width="16.140625" style="4" customWidth="1"/>
    <col min="11296" max="11296" width="58.140625" style="4" customWidth="1"/>
    <col min="11297" max="11297" width="3.7109375" style="4" customWidth="1"/>
    <col min="11298" max="11298" width="18.85546875" style="4" customWidth="1"/>
    <col min="11299" max="11520" width="9.140625" style="4"/>
    <col min="11521" max="11521" width="51.42578125" style="4" customWidth="1"/>
    <col min="11522" max="11522" width="15.28515625" style="4" customWidth="1"/>
    <col min="11523" max="11523" width="17.140625" style="4" customWidth="1"/>
    <col min="11524" max="11524" width="13.85546875" style="4" customWidth="1"/>
    <col min="11525" max="11525" width="15.42578125" style="4" customWidth="1"/>
    <col min="11526" max="11527" width="13.42578125" style="4" customWidth="1"/>
    <col min="11528" max="11528" width="17.42578125" style="4" customWidth="1"/>
    <col min="11529" max="11529" width="14.7109375" style="4" customWidth="1"/>
    <col min="11530" max="11530" width="13.5703125" style="4" customWidth="1"/>
    <col min="11531" max="11531" width="15.140625" style="4" customWidth="1"/>
    <col min="11532" max="11532" width="14.7109375" style="4" customWidth="1"/>
    <col min="11533" max="11533" width="15.140625" style="4" customWidth="1"/>
    <col min="11534" max="11534" width="14.140625" style="4" customWidth="1"/>
    <col min="11535" max="11535" width="14.7109375" style="4" customWidth="1"/>
    <col min="11536" max="11536" width="14.42578125" style="4" customWidth="1"/>
    <col min="11537" max="11537" width="15" style="4" customWidth="1"/>
    <col min="11538" max="11538" width="14.5703125" style="4" customWidth="1"/>
    <col min="11539" max="11539" width="14.85546875" style="4" customWidth="1"/>
    <col min="11540" max="11540" width="15" style="4" customWidth="1"/>
    <col min="11541" max="11551" width="16.140625" style="4" customWidth="1"/>
    <col min="11552" max="11552" width="58.140625" style="4" customWidth="1"/>
    <col min="11553" max="11553" width="3.7109375" style="4" customWidth="1"/>
    <col min="11554" max="11554" width="18.85546875" style="4" customWidth="1"/>
    <col min="11555" max="11776" width="9.140625" style="4"/>
    <col min="11777" max="11777" width="51.42578125" style="4" customWidth="1"/>
    <col min="11778" max="11778" width="15.28515625" style="4" customWidth="1"/>
    <col min="11779" max="11779" width="17.140625" style="4" customWidth="1"/>
    <col min="11780" max="11780" width="13.85546875" style="4" customWidth="1"/>
    <col min="11781" max="11781" width="15.42578125" style="4" customWidth="1"/>
    <col min="11782" max="11783" width="13.42578125" style="4" customWidth="1"/>
    <col min="11784" max="11784" width="17.42578125" style="4" customWidth="1"/>
    <col min="11785" max="11785" width="14.7109375" style="4" customWidth="1"/>
    <col min="11786" max="11786" width="13.5703125" style="4" customWidth="1"/>
    <col min="11787" max="11787" width="15.140625" style="4" customWidth="1"/>
    <col min="11788" max="11788" width="14.7109375" style="4" customWidth="1"/>
    <col min="11789" max="11789" width="15.140625" style="4" customWidth="1"/>
    <col min="11790" max="11790" width="14.140625" style="4" customWidth="1"/>
    <col min="11791" max="11791" width="14.7109375" style="4" customWidth="1"/>
    <col min="11792" max="11792" width="14.42578125" style="4" customWidth="1"/>
    <col min="11793" max="11793" width="15" style="4" customWidth="1"/>
    <col min="11794" max="11794" width="14.5703125" style="4" customWidth="1"/>
    <col min="11795" max="11795" width="14.85546875" style="4" customWidth="1"/>
    <col min="11796" max="11796" width="15" style="4" customWidth="1"/>
    <col min="11797" max="11807" width="16.140625" style="4" customWidth="1"/>
    <col min="11808" max="11808" width="58.140625" style="4" customWidth="1"/>
    <col min="11809" max="11809" width="3.7109375" style="4" customWidth="1"/>
    <col min="11810" max="11810" width="18.85546875" style="4" customWidth="1"/>
    <col min="11811" max="12032" width="9.140625" style="4"/>
    <col min="12033" max="12033" width="51.42578125" style="4" customWidth="1"/>
    <col min="12034" max="12034" width="15.28515625" style="4" customWidth="1"/>
    <col min="12035" max="12035" width="17.140625" style="4" customWidth="1"/>
    <col min="12036" max="12036" width="13.85546875" style="4" customWidth="1"/>
    <col min="12037" max="12037" width="15.42578125" style="4" customWidth="1"/>
    <col min="12038" max="12039" width="13.42578125" style="4" customWidth="1"/>
    <col min="12040" max="12040" width="17.42578125" style="4" customWidth="1"/>
    <col min="12041" max="12041" width="14.7109375" style="4" customWidth="1"/>
    <col min="12042" max="12042" width="13.5703125" style="4" customWidth="1"/>
    <col min="12043" max="12043" width="15.140625" style="4" customWidth="1"/>
    <col min="12044" max="12044" width="14.7109375" style="4" customWidth="1"/>
    <col min="12045" max="12045" width="15.140625" style="4" customWidth="1"/>
    <col min="12046" max="12046" width="14.140625" style="4" customWidth="1"/>
    <col min="12047" max="12047" width="14.7109375" style="4" customWidth="1"/>
    <col min="12048" max="12048" width="14.42578125" style="4" customWidth="1"/>
    <col min="12049" max="12049" width="15" style="4" customWidth="1"/>
    <col min="12050" max="12050" width="14.5703125" style="4" customWidth="1"/>
    <col min="12051" max="12051" width="14.85546875" style="4" customWidth="1"/>
    <col min="12052" max="12052" width="15" style="4" customWidth="1"/>
    <col min="12053" max="12063" width="16.140625" style="4" customWidth="1"/>
    <col min="12064" max="12064" width="58.140625" style="4" customWidth="1"/>
    <col min="12065" max="12065" width="3.7109375" style="4" customWidth="1"/>
    <col min="12066" max="12066" width="18.85546875" style="4" customWidth="1"/>
    <col min="12067" max="12288" width="9.140625" style="4"/>
    <col min="12289" max="12289" width="51.42578125" style="4" customWidth="1"/>
    <col min="12290" max="12290" width="15.28515625" style="4" customWidth="1"/>
    <col min="12291" max="12291" width="17.140625" style="4" customWidth="1"/>
    <col min="12292" max="12292" width="13.85546875" style="4" customWidth="1"/>
    <col min="12293" max="12293" width="15.42578125" style="4" customWidth="1"/>
    <col min="12294" max="12295" width="13.42578125" style="4" customWidth="1"/>
    <col min="12296" max="12296" width="17.42578125" style="4" customWidth="1"/>
    <col min="12297" max="12297" width="14.7109375" style="4" customWidth="1"/>
    <col min="12298" max="12298" width="13.5703125" style="4" customWidth="1"/>
    <col min="12299" max="12299" width="15.140625" style="4" customWidth="1"/>
    <col min="12300" max="12300" width="14.7109375" style="4" customWidth="1"/>
    <col min="12301" max="12301" width="15.140625" style="4" customWidth="1"/>
    <col min="12302" max="12302" width="14.140625" style="4" customWidth="1"/>
    <col min="12303" max="12303" width="14.7109375" style="4" customWidth="1"/>
    <col min="12304" max="12304" width="14.42578125" style="4" customWidth="1"/>
    <col min="12305" max="12305" width="15" style="4" customWidth="1"/>
    <col min="12306" max="12306" width="14.5703125" style="4" customWidth="1"/>
    <col min="12307" max="12307" width="14.85546875" style="4" customWidth="1"/>
    <col min="12308" max="12308" width="15" style="4" customWidth="1"/>
    <col min="12309" max="12319" width="16.140625" style="4" customWidth="1"/>
    <col min="12320" max="12320" width="58.140625" style="4" customWidth="1"/>
    <col min="12321" max="12321" width="3.7109375" style="4" customWidth="1"/>
    <col min="12322" max="12322" width="18.85546875" style="4" customWidth="1"/>
    <col min="12323" max="12544" width="9.140625" style="4"/>
    <col min="12545" max="12545" width="51.42578125" style="4" customWidth="1"/>
    <col min="12546" max="12546" width="15.28515625" style="4" customWidth="1"/>
    <col min="12547" max="12547" width="17.140625" style="4" customWidth="1"/>
    <col min="12548" max="12548" width="13.85546875" style="4" customWidth="1"/>
    <col min="12549" max="12549" width="15.42578125" style="4" customWidth="1"/>
    <col min="12550" max="12551" width="13.42578125" style="4" customWidth="1"/>
    <col min="12552" max="12552" width="17.42578125" style="4" customWidth="1"/>
    <col min="12553" max="12553" width="14.7109375" style="4" customWidth="1"/>
    <col min="12554" max="12554" width="13.5703125" style="4" customWidth="1"/>
    <col min="12555" max="12555" width="15.140625" style="4" customWidth="1"/>
    <col min="12556" max="12556" width="14.7109375" style="4" customWidth="1"/>
    <col min="12557" max="12557" width="15.140625" style="4" customWidth="1"/>
    <col min="12558" max="12558" width="14.140625" style="4" customWidth="1"/>
    <col min="12559" max="12559" width="14.7109375" style="4" customWidth="1"/>
    <col min="12560" max="12560" width="14.42578125" style="4" customWidth="1"/>
    <col min="12561" max="12561" width="15" style="4" customWidth="1"/>
    <col min="12562" max="12562" width="14.5703125" style="4" customWidth="1"/>
    <col min="12563" max="12563" width="14.85546875" style="4" customWidth="1"/>
    <col min="12564" max="12564" width="15" style="4" customWidth="1"/>
    <col min="12565" max="12575" width="16.140625" style="4" customWidth="1"/>
    <col min="12576" max="12576" width="58.140625" style="4" customWidth="1"/>
    <col min="12577" max="12577" width="3.7109375" style="4" customWidth="1"/>
    <col min="12578" max="12578" width="18.85546875" style="4" customWidth="1"/>
    <col min="12579" max="12800" width="9.140625" style="4"/>
    <col min="12801" max="12801" width="51.42578125" style="4" customWidth="1"/>
    <col min="12802" max="12802" width="15.28515625" style="4" customWidth="1"/>
    <col min="12803" max="12803" width="17.140625" style="4" customWidth="1"/>
    <col min="12804" max="12804" width="13.85546875" style="4" customWidth="1"/>
    <col min="12805" max="12805" width="15.42578125" style="4" customWidth="1"/>
    <col min="12806" max="12807" width="13.42578125" style="4" customWidth="1"/>
    <col min="12808" max="12808" width="17.42578125" style="4" customWidth="1"/>
    <col min="12809" max="12809" width="14.7109375" style="4" customWidth="1"/>
    <col min="12810" max="12810" width="13.5703125" style="4" customWidth="1"/>
    <col min="12811" max="12811" width="15.140625" style="4" customWidth="1"/>
    <col min="12812" max="12812" width="14.7109375" style="4" customWidth="1"/>
    <col min="12813" max="12813" width="15.140625" style="4" customWidth="1"/>
    <col min="12814" max="12814" width="14.140625" style="4" customWidth="1"/>
    <col min="12815" max="12815" width="14.7109375" style="4" customWidth="1"/>
    <col min="12816" max="12816" width="14.42578125" style="4" customWidth="1"/>
    <col min="12817" max="12817" width="15" style="4" customWidth="1"/>
    <col min="12818" max="12818" width="14.5703125" style="4" customWidth="1"/>
    <col min="12819" max="12819" width="14.85546875" style="4" customWidth="1"/>
    <col min="12820" max="12820" width="15" style="4" customWidth="1"/>
    <col min="12821" max="12831" width="16.140625" style="4" customWidth="1"/>
    <col min="12832" max="12832" width="58.140625" style="4" customWidth="1"/>
    <col min="12833" max="12833" width="3.7109375" style="4" customWidth="1"/>
    <col min="12834" max="12834" width="18.85546875" style="4" customWidth="1"/>
    <col min="12835" max="13056" width="9.140625" style="4"/>
    <col min="13057" max="13057" width="51.42578125" style="4" customWidth="1"/>
    <col min="13058" max="13058" width="15.28515625" style="4" customWidth="1"/>
    <col min="13059" max="13059" width="17.140625" style="4" customWidth="1"/>
    <col min="13060" max="13060" width="13.85546875" style="4" customWidth="1"/>
    <col min="13061" max="13061" width="15.42578125" style="4" customWidth="1"/>
    <col min="13062" max="13063" width="13.42578125" style="4" customWidth="1"/>
    <col min="13064" max="13064" width="17.42578125" style="4" customWidth="1"/>
    <col min="13065" max="13065" width="14.7109375" style="4" customWidth="1"/>
    <col min="13066" max="13066" width="13.5703125" style="4" customWidth="1"/>
    <col min="13067" max="13067" width="15.140625" style="4" customWidth="1"/>
    <col min="13068" max="13068" width="14.7109375" style="4" customWidth="1"/>
    <col min="13069" max="13069" width="15.140625" style="4" customWidth="1"/>
    <col min="13070" max="13070" width="14.140625" style="4" customWidth="1"/>
    <col min="13071" max="13071" width="14.7109375" style="4" customWidth="1"/>
    <col min="13072" max="13072" width="14.42578125" style="4" customWidth="1"/>
    <col min="13073" max="13073" width="15" style="4" customWidth="1"/>
    <col min="13074" max="13074" width="14.5703125" style="4" customWidth="1"/>
    <col min="13075" max="13075" width="14.85546875" style="4" customWidth="1"/>
    <col min="13076" max="13076" width="15" style="4" customWidth="1"/>
    <col min="13077" max="13087" width="16.140625" style="4" customWidth="1"/>
    <col min="13088" max="13088" width="58.140625" style="4" customWidth="1"/>
    <col min="13089" max="13089" width="3.7109375" style="4" customWidth="1"/>
    <col min="13090" max="13090" width="18.85546875" style="4" customWidth="1"/>
    <col min="13091" max="13312" width="9.140625" style="4"/>
    <col min="13313" max="13313" width="51.42578125" style="4" customWidth="1"/>
    <col min="13314" max="13314" width="15.28515625" style="4" customWidth="1"/>
    <col min="13315" max="13315" width="17.140625" style="4" customWidth="1"/>
    <col min="13316" max="13316" width="13.85546875" style="4" customWidth="1"/>
    <col min="13317" max="13317" width="15.42578125" style="4" customWidth="1"/>
    <col min="13318" max="13319" width="13.42578125" style="4" customWidth="1"/>
    <col min="13320" max="13320" width="17.42578125" style="4" customWidth="1"/>
    <col min="13321" max="13321" width="14.7109375" style="4" customWidth="1"/>
    <col min="13322" max="13322" width="13.5703125" style="4" customWidth="1"/>
    <col min="13323" max="13323" width="15.140625" style="4" customWidth="1"/>
    <col min="13324" max="13324" width="14.7109375" style="4" customWidth="1"/>
    <col min="13325" max="13325" width="15.140625" style="4" customWidth="1"/>
    <col min="13326" max="13326" width="14.140625" style="4" customWidth="1"/>
    <col min="13327" max="13327" width="14.7109375" style="4" customWidth="1"/>
    <col min="13328" max="13328" width="14.42578125" style="4" customWidth="1"/>
    <col min="13329" max="13329" width="15" style="4" customWidth="1"/>
    <col min="13330" max="13330" width="14.5703125" style="4" customWidth="1"/>
    <col min="13331" max="13331" width="14.85546875" style="4" customWidth="1"/>
    <col min="13332" max="13332" width="15" style="4" customWidth="1"/>
    <col min="13333" max="13343" width="16.140625" style="4" customWidth="1"/>
    <col min="13344" max="13344" width="58.140625" style="4" customWidth="1"/>
    <col min="13345" max="13345" width="3.7109375" style="4" customWidth="1"/>
    <col min="13346" max="13346" width="18.85546875" style="4" customWidth="1"/>
    <col min="13347" max="13568" width="9.140625" style="4"/>
    <col min="13569" max="13569" width="51.42578125" style="4" customWidth="1"/>
    <col min="13570" max="13570" width="15.28515625" style="4" customWidth="1"/>
    <col min="13571" max="13571" width="17.140625" style="4" customWidth="1"/>
    <col min="13572" max="13572" width="13.85546875" style="4" customWidth="1"/>
    <col min="13573" max="13573" width="15.42578125" style="4" customWidth="1"/>
    <col min="13574" max="13575" width="13.42578125" style="4" customWidth="1"/>
    <col min="13576" max="13576" width="17.42578125" style="4" customWidth="1"/>
    <col min="13577" max="13577" width="14.7109375" style="4" customWidth="1"/>
    <col min="13578" max="13578" width="13.5703125" style="4" customWidth="1"/>
    <col min="13579" max="13579" width="15.140625" style="4" customWidth="1"/>
    <col min="13580" max="13580" width="14.7109375" style="4" customWidth="1"/>
    <col min="13581" max="13581" width="15.140625" style="4" customWidth="1"/>
    <col min="13582" max="13582" width="14.140625" style="4" customWidth="1"/>
    <col min="13583" max="13583" width="14.7109375" style="4" customWidth="1"/>
    <col min="13584" max="13584" width="14.42578125" style="4" customWidth="1"/>
    <col min="13585" max="13585" width="15" style="4" customWidth="1"/>
    <col min="13586" max="13586" width="14.5703125" style="4" customWidth="1"/>
    <col min="13587" max="13587" width="14.85546875" style="4" customWidth="1"/>
    <col min="13588" max="13588" width="15" style="4" customWidth="1"/>
    <col min="13589" max="13599" width="16.140625" style="4" customWidth="1"/>
    <col min="13600" max="13600" width="58.140625" style="4" customWidth="1"/>
    <col min="13601" max="13601" width="3.7109375" style="4" customWidth="1"/>
    <col min="13602" max="13602" width="18.85546875" style="4" customWidth="1"/>
    <col min="13603" max="13824" width="9.140625" style="4"/>
    <col min="13825" max="13825" width="51.42578125" style="4" customWidth="1"/>
    <col min="13826" max="13826" width="15.28515625" style="4" customWidth="1"/>
    <col min="13827" max="13827" width="17.140625" style="4" customWidth="1"/>
    <col min="13828" max="13828" width="13.85546875" style="4" customWidth="1"/>
    <col min="13829" max="13829" width="15.42578125" style="4" customWidth="1"/>
    <col min="13830" max="13831" width="13.42578125" style="4" customWidth="1"/>
    <col min="13832" max="13832" width="17.42578125" style="4" customWidth="1"/>
    <col min="13833" max="13833" width="14.7109375" style="4" customWidth="1"/>
    <col min="13834" max="13834" width="13.5703125" style="4" customWidth="1"/>
    <col min="13835" max="13835" width="15.140625" style="4" customWidth="1"/>
    <col min="13836" max="13836" width="14.7109375" style="4" customWidth="1"/>
    <col min="13837" max="13837" width="15.140625" style="4" customWidth="1"/>
    <col min="13838" max="13838" width="14.140625" style="4" customWidth="1"/>
    <col min="13839" max="13839" width="14.7109375" style="4" customWidth="1"/>
    <col min="13840" max="13840" width="14.42578125" style="4" customWidth="1"/>
    <col min="13841" max="13841" width="15" style="4" customWidth="1"/>
    <col min="13842" max="13842" width="14.5703125" style="4" customWidth="1"/>
    <col min="13843" max="13843" width="14.85546875" style="4" customWidth="1"/>
    <col min="13844" max="13844" width="15" style="4" customWidth="1"/>
    <col min="13845" max="13855" width="16.140625" style="4" customWidth="1"/>
    <col min="13856" max="13856" width="58.140625" style="4" customWidth="1"/>
    <col min="13857" max="13857" width="3.7109375" style="4" customWidth="1"/>
    <col min="13858" max="13858" width="18.85546875" style="4" customWidth="1"/>
    <col min="13859" max="14080" width="9.140625" style="4"/>
    <col min="14081" max="14081" width="51.42578125" style="4" customWidth="1"/>
    <col min="14082" max="14082" width="15.28515625" style="4" customWidth="1"/>
    <col min="14083" max="14083" width="17.140625" style="4" customWidth="1"/>
    <col min="14084" max="14084" width="13.85546875" style="4" customWidth="1"/>
    <col min="14085" max="14085" width="15.42578125" style="4" customWidth="1"/>
    <col min="14086" max="14087" width="13.42578125" style="4" customWidth="1"/>
    <col min="14088" max="14088" width="17.42578125" style="4" customWidth="1"/>
    <col min="14089" max="14089" width="14.7109375" style="4" customWidth="1"/>
    <col min="14090" max="14090" width="13.5703125" style="4" customWidth="1"/>
    <col min="14091" max="14091" width="15.140625" style="4" customWidth="1"/>
    <col min="14092" max="14092" width="14.7109375" style="4" customWidth="1"/>
    <col min="14093" max="14093" width="15.140625" style="4" customWidth="1"/>
    <col min="14094" max="14094" width="14.140625" style="4" customWidth="1"/>
    <col min="14095" max="14095" width="14.7109375" style="4" customWidth="1"/>
    <col min="14096" max="14096" width="14.42578125" style="4" customWidth="1"/>
    <col min="14097" max="14097" width="15" style="4" customWidth="1"/>
    <col min="14098" max="14098" width="14.5703125" style="4" customWidth="1"/>
    <col min="14099" max="14099" width="14.85546875" style="4" customWidth="1"/>
    <col min="14100" max="14100" width="15" style="4" customWidth="1"/>
    <col min="14101" max="14111" width="16.140625" style="4" customWidth="1"/>
    <col min="14112" max="14112" width="58.140625" style="4" customWidth="1"/>
    <col min="14113" max="14113" width="3.7109375" style="4" customWidth="1"/>
    <col min="14114" max="14114" width="18.85546875" style="4" customWidth="1"/>
    <col min="14115" max="14336" width="9.140625" style="4"/>
    <col min="14337" max="14337" width="51.42578125" style="4" customWidth="1"/>
    <col min="14338" max="14338" width="15.28515625" style="4" customWidth="1"/>
    <col min="14339" max="14339" width="17.140625" style="4" customWidth="1"/>
    <col min="14340" max="14340" width="13.85546875" style="4" customWidth="1"/>
    <col min="14341" max="14341" width="15.42578125" style="4" customWidth="1"/>
    <col min="14342" max="14343" width="13.42578125" style="4" customWidth="1"/>
    <col min="14344" max="14344" width="17.42578125" style="4" customWidth="1"/>
    <col min="14345" max="14345" width="14.7109375" style="4" customWidth="1"/>
    <col min="14346" max="14346" width="13.5703125" style="4" customWidth="1"/>
    <col min="14347" max="14347" width="15.140625" style="4" customWidth="1"/>
    <col min="14348" max="14348" width="14.7109375" style="4" customWidth="1"/>
    <col min="14349" max="14349" width="15.140625" style="4" customWidth="1"/>
    <col min="14350" max="14350" width="14.140625" style="4" customWidth="1"/>
    <col min="14351" max="14351" width="14.7109375" style="4" customWidth="1"/>
    <col min="14352" max="14352" width="14.42578125" style="4" customWidth="1"/>
    <col min="14353" max="14353" width="15" style="4" customWidth="1"/>
    <col min="14354" max="14354" width="14.5703125" style="4" customWidth="1"/>
    <col min="14355" max="14355" width="14.85546875" style="4" customWidth="1"/>
    <col min="14356" max="14356" width="15" style="4" customWidth="1"/>
    <col min="14357" max="14367" width="16.140625" style="4" customWidth="1"/>
    <col min="14368" max="14368" width="58.140625" style="4" customWidth="1"/>
    <col min="14369" max="14369" width="3.7109375" style="4" customWidth="1"/>
    <col min="14370" max="14370" width="18.85546875" style="4" customWidth="1"/>
    <col min="14371" max="14592" width="9.140625" style="4"/>
    <col min="14593" max="14593" width="51.42578125" style="4" customWidth="1"/>
    <col min="14594" max="14594" width="15.28515625" style="4" customWidth="1"/>
    <col min="14595" max="14595" width="17.140625" style="4" customWidth="1"/>
    <col min="14596" max="14596" width="13.85546875" style="4" customWidth="1"/>
    <col min="14597" max="14597" width="15.42578125" style="4" customWidth="1"/>
    <col min="14598" max="14599" width="13.42578125" style="4" customWidth="1"/>
    <col min="14600" max="14600" width="17.42578125" style="4" customWidth="1"/>
    <col min="14601" max="14601" width="14.7109375" style="4" customWidth="1"/>
    <col min="14602" max="14602" width="13.5703125" style="4" customWidth="1"/>
    <col min="14603" max="14603" width="15.140625" style="4" customWidth="1"/>
    <col min="14604" max="14604" width="14.7109375" style="4" customWidth="1"/>
    <col min="14605" max="14605" width="15.140625" style="4" customWidth="1"/>
    <col min="14606" max="14606" width="14.140625" style="4" customWidth="1"/>
    <col min="14607" max="14607" width="14.7109375" style="4" customWidth="1"/>
    <col min="14608" max="14608" width="14.42578125" style="4" customWidth="1"/>
    <col min="14609" max="14609" width="15" style="4" customWidth="1"/>
    <col min="14610" max="14610" width="14.5703125" style="4" customWidth="1"/>
    <col min="14611" max="14611" width="14.85546875" style="4" customWidth="1"/>
    <col min="14612" max="14612" width="15" style="4" customWidth="1"/>
    <col min="14613" max="14623" width="16.140625" style="4" customWidth="1"/>
    <col min="14624" max="14624" width="58.140625" style="4" customWidth="1"/>
    <col min="14625" max="14625" width="3.7109375" style="4" customWidth="1"/>
    <col min="14626" max="14626" width="18.85546875" style="4" customWidth="1"/>
    <col min="14627" max="14848" width="9.140625" style="4"/>
    <col min="14849" max="14849" width="51.42578125" style="4" customWidth="1"/>
    <col min="14850" max="14850" width="15.28515625" style="4" customWidth="1"/>
    <col min="14851" max="14851" width="17.140625" style="4" customWidth="1"/>
    <col min="14852" max="14852" width="13.85546875" style="4" customWidth="1"/>
    <col min="14853" max="14853" width="15.42578125" style="4" customWidth="1"/>
    <col min="14854" max="14855" width="13.42578125" style="4" customWidth="1"/>
    <col min="14856" max="14856" width="17.42578125" style="4" customWidth="1"/>
    <col min="14857" max="14857" width="14.7109375" style="4" customWidth="1"/>
    <col min="14858" max="14858" width="13.5703125" style="4" customWidth="1"/>
    <col min="14859" max="14859" width="15.140625" style="4" customWidth="1"/>
    <col min="14860" max="14860" width="14.7109375" style="4" customWidth="1"/>
    <col min="14861" max="14861" width="15.140625" style="4" customWidth="1"/>
    <col min="14862" max="14862" width="14.140625" style="4" customWidth="1"/>
    <col min="14863" max="14863" width="14.7109375" style="4" customWidth="1"/>
    <col min="14864" max="14864" width="14.42578125" style="4" customWidth="1"/>
    <col min="14865" max="14865" width="15" style="4" customWidth="1"/>
    <col min="14866" max="14866" width="14.5703125" style="4" customWidth="1"/>
    <col min="14867" max="14867" width="14.85546875" style="4" customWidth="1"/>
    <col min="14868" max="14868" width="15" style="4" customWidth="1"/>
    <col min="14869" max="14879" width="16.140625" style="4" customWidth="1"/>
    <col min="14880" max="14880" width="58.140625" style="4" customWidth="1"/>
    <col min="14881" max="14881" width="3.7109375" style="4" customWidth="1"/>
    <col min="14882" max="14882" width="18.85546875" style="4" customWidth="1"/>
    <col min="14883" max="15104" width="9.140625" style="4"/>
    <col min="15105" max="15105" width="51.42578125" style="4" customWidth="1"/>
    <col min="15106" max="15106" width="15.28515625" style="4" customWidth="1"/>
    <col min="15107" max="15107" width="17.140625" style="4" customWidth="1"/>
    <col min="15108" max="15108" width="13.85546875" style="4" customWidth="1"/>
    <col min="15109" max="15109" width="15.42578125" style="4" customWidth="1"/>
    <col min="15110" max="15111" width="13.42578125" style="4" customWidth="1"/>
    <col min="15112" max="15112" width="17.42578125" style="4" customWidth="1"/>
    <col min="15113" max="15113" width="14.7109375" style="4" customWidth="1"/>
    <col min="15114" max="15114" width="13.5703125" style="4" customWidth="1"/>
    <col min="15115" max="15115" width="15.140625" style="4" customWidth="1"/>
    <col min="15116" max="15116" width="14.7109375" style="4" customWidth="1"/>
    <col min="15117" max="15117" width="15.140625" style="4" customWidth="1"/>
    <col min="15118" max="15118" width="14.140625" style="4" customWidth="1"/>
    <col min="15119" max="15119" width="14.7109375" style="4" customWidth="1"/>
    <col min="15120" max="15120" width="14.42578125" style="4" customWidth="1"/>
    <col min="15121" max="15121" width="15" style="4" customWidth="1"/>
    <col min="15122" max="15122" width="14.5703125" style="4" customWidth="1"/>
    <col min="15123" max="15123" width="14.85546875" style="4" customWidth="1"/>
    <col min="15124" max="15124" width="15" style="4" customWidth="1"/>
    <col min="15125" max="15135" width="16.140625" style="4" customWidth="1"/>
    <col min="15136" max="15136" width="58.140625" style="4" customWidth="1"/>
    <col min="15137" max="15137" width="3.7109375" style="4" customWidth="1"/>
    <col min="15138" max="15138" width="18.85546875" style="4" customWidth="1"/>
    <col min="15139" max="15360" width="9.140625" style="4"/>
    <col min="15361" max="15361" width="51.42578125" style="4" customWidth="1"/>
    <col min="15362" max="15362" width="15.28515625" style="4" customWidth="1"/>
    <col min="15363" max="15363" width="17.140625" style="4" customWidth="1"/>
    <col min="15364" max="15364" width="13.85546875" style="4" customWidth="1"/>
    <col min="15365" max="15365" width="15.42578125" style="4" customWidth="1"/>
    <col min="15366" max="15367" width="13.42578125" style="4" customWidth="1"/>
    <col min="15368" max="15368" width="17.42578125" style="4" customWidth="1"/>
    <col min="15369" max="15369" width="14.7109375" style="4" customWidth="1"/>
    <col min="15370" max="15370" width="13.5703125" style="4" customWidth="1"/>
    <col min="15371" max="15371" width="15.140625" style="4" customWidth="1"/>
    <col min="15372" max="15372" width="14.7109375" style="4" customWidth="1"/>
    <col min="15373" max="15373" width="15.140625" style="4" customWidth="1"/>
    <col min="15374" max="15374" width="14.140625" style="4" customWidth="1"/>
    <col min="15375" max="15375" width="14.7109375" style="4" customWidth="1"/>
    <col min="15376" max="15376" width="14.42578125" style="4" customWidth="1"/>
    <col min="15377" max="15377" width="15" style="4" customWidth="1"/>
    <col min="15378" max="15378" width="14.5703125" style="4" customWidth="1"/>
    <col min="15379" max="15379" width="14.85546875" style="4" customWidth="1"/>
    <col min="15380" max="15380" width="15" style="4" customWidth="1"/>
    <col min="15381" max="15391" width="16.140625" style="4" customWidth="1"/>
    <col min="15392" max="15392" width="58.140625" style="4" customWidth="1"/>
    <col min="15393" max="15393" width="3.7109375" style="4" customWidth="1"/>
    <col min="15394" max="15394" width="18.85546875" style="4" customWidth="1"/>
    <col min="15395" max="15616" width="9.140625" style="4"/>
    <col min="15617" max="15617" width="51.42578125" style="4" customWidth="1"/>
    <col min="15618" max="15618" width="15.28515625" style="4" customWidth="1"/>
    <col min="15619" max="15619" width="17.140625" style="4" customWidth="1"/>
    <col min="15620" max="15620" width="13.85546875" style="4" customWidth="1"/>
    <col min="15621" max="15621" width="15.42578125" style="4" customWidth="1"/>
    <col min="15622" max="15623" width="13.42578125" style="4" customWidth="1"/>
    <col min="15624" max="15624" width="17.42578125" style="4" customWidth="1"/>
    <col min="15625" max="15625" width="14.7109375" style="4" customWidth="1"/>
    <col min="15626" max="15626" width="13.5703125" style="4" customWidth="1"/>
    <col min="15627" max="15627" width="15.140625" style="4" customWidth="1"/>
    <col min="15628" max="15628" width="14.7109375" style="4" customWidth="1"/>
    <col min="15629" max="15629" width="15.140625" style="4" customWidth="1"/>
    <col min="15630" max="15630" width="14.140625" style="4" customWidth="1"/>
    <col min="15631" max="15631" width="14.7109375" style="4" customWidth="1"/>
    <col min="15632" max="15632" width="14.42578125" style="4" customWidth="1"/>
    <col min="15633" max="15633" width="15" style="4" customWidth="1"/>
    <col min="15634" max="15634" width="14.5703125" style="4" customWidth="1"/>
    <col min="15635" max="15635" width="14.85546875" style="4" customWidth="1"/>
    <col min="15636" max="15636" width="15" style="4" customWidth="1"/>
    <col min="15637" max="15647" width="16.140625" style="4" customWidth="1"/>
    <col min="15648" max="15648" width="58.140625" style="4" customWidth="1"/>
    <col min="15649" max="15649" width="3.7109375" style="4" customWidth="1"/>
    <col min="15650" max="15650" width="18.85546875" style="4" customWidth="1"/>
    <col min="15651" max="15872" width="9.140625" style="4"/>
    <col min="15873" max="15873" width="51.42578125" style="4" customWidth="1"/>
    <col min="15874" max="15874" width="15.28515625" style="4" customWidth="1"/>
    <col min="15875" max="15875" width="17.140625" style="4" customWidth="1"/>
    <col min="15876" max="15876" width="13.85546875" style="4" customWidth="1"/>
    <col min="15877" max="15877" width="15.42578125" style="4" customWidth="1"/>
    <col min="15878" max="15879" width="13.42578125" style="4" customWidth="1"/>
    <col min="15880" max="15880" width="17.42578125" style="4" customWidth="1"/>
    <col min="15881" max="15881" width="14.7109375" style="4" customWidth="1"/>
    <col min="15882" max="15882" width="13.5703125" style="4" customWidth="1"/>
    <col min="15883" max="15883" width="15.140625" style="4" customWidth="1"/>
    <col min="15884" max="15884" width="14.7109375" style="4" customWidth="1"/>
    <col min="15885" max="15885" width="15.140625" style="4" customWidth="1"/>
    <col min="15886" max="15886" width="14.140625" style="4" customWidth="1"/>
    <col min="15887" max="15887" width="14.7109375" style="4" customWidth="1"/>
    <col min="15888" max="15888" width="14.42578125" style="4" customWidth="1"/>
    <col min="15889" max="15889" width="15" style="4" customWidth="1"/>
    <col min="15890" max="15890" width="14.5703125" style="4" customWidth="1"/>
    <col min="15891" max="15891" width="14.85546875" style="4" customWidth="1"/>
    <col min="15892" max="15892" width="15" style="4" customWidth="1"/>
    <col min="15893" max="15903" width="16.140625" style="4" customWidth="1"/>
    <col min="15904" max="15904" width="58.140625" style="4" customWidth="1"/>
    <col min="15905" max="15905" width="3.7109375" style="4" customWidth="1"/>
    <col min="15906" max="15906" width="18.85546875" style="4" customWidth="1"/>
    <col min="15907" max="16128" width="9.140625" style="4"/>
    <col min="16129" max="16129" width="51.42578125" style="4" customWidth="1"/>
    <col min="16130" max="16130" width="15.28515625" style="4" customWidth="1"/>
    <col min="16131" max="16131" width="17.140625" style="4" customWidth="1"/>
    <col min="16132" max="16132" width="13.85546875" style="4" customWidth="1"/>
    <col min="16133" max="16133" width="15.42578125" style="4" customWidth="1"/>
    <col min="16134" max="16135" width="13.42578125" style="4" customWidth="1"/>
    <col min="16136" max="16136" width="17.42578125" style="4" customWidth="1"/>
    <col min="16137" max="16137" width="14.7109375" style="4" customWidth="1"/>
    <col min="16138" max="16138" width="13.5703125" style="4" customWidth="1"/>
    <col min="16139" max="16139" width="15.140625" style="4" customWidth="1"/>
    <col min="16140" max="16140" width="14.7109375" style="4" customWidth="1"/>
    <col min="16141" max="16141" width="15.140625" style="4" customWidth="1"/>
    <col min="16142" max="16142" width="14.140625" style="4" customWidth="1"/>
    <col min="16143" max="16143" width="14.7109375" style="4" customWidth="1"/>
    <col min="16144" max="16144" width="14.42578125" style="4" customWidth="1"/>
    <col min="16145" max="16145" width="15" style="4" customWidth="1"/>
    <col min="16146" max="16146" width="14.5703125" style="4" customWidth="1"/>
    <col min="16147" max="16147" width="14.85546875" style="4" customWidth="1"/>
    <col min="16148" max="16148" width="15" style="4" customWidth="1"/>
    <col min="16149" max="16159" width="16.140625" style="4" customWidth="1"/>
    <col min="16160" max="16160" width="58.140625" style="4" customWidth="1"/>
    <col min="16161" max="16161" width="3.7109375" style="4" customWidth="1"/>
    <col min="16162" max="16162" width="18.85546875" style="4" customWidth="1"/>
    <col min="16163" max="16384" width="9.140625" style="4"/>
  </cols>
  <sheetData>
    <row r="1" spans="1:34" ht="21.75" customHeight="1" x14ac:dyDescent="0.2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"/>
      <c r="AC1" s="1"/>
      <c r="AD1" s="1"/>
      <c r="AE1" s="1"/>
      <c r="AF1" s="1"/>
      <c r="AG1" s="2" t="s">
        <v>1</v>
      </c>
    </row>
    <row r="2" spans="1:34" s="7" customFormat="1" ht="21.75" customHeight="1" x14ac:dyDescent="0.35">
      <c r="A2" s="182" t="s">
        <v>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3"/>
      <c r="AC2" s="183"/>
      <c r="AD2" s="183"/>
      <c r="AE2" s="5"/>
      <c r="AF2" s="6" t="s">
        <v>3</v>
      </c>
      <c r="AH2" s="3"/>
    </row>
    <row r="3" spans="1:34" s="8" customFormat="1" ht="18.75" customHeight="1" x14ac:dyDescent="0.25">
      <c r="A3" s="184" t="s">
        <v>4</v>
      </c>
      <c r="B3" s="187" t="s">
        <v>5</v>
      </c>
      <c r="C3" s="189" t="s">
        <v>5</v>
      </c>
      <c r="D3" s="189" t="s">
        <v>6</v>
      </c>
      <c r="E3" s="189" t="s">
        <v>7</v>
      </c>
      <c r="F3" s="189" t="s">
        <v>8</v>
      </c>
      <c r="G3" s="189"/>
      <c r="H3" s="173" t="s">
        <v>9</v>
      </c>
      <c r="I3" s="174"/>
      <c r="J3" s="173" t="s">
        <v>10</v>
      </c>
      <c r="K3" s="174"/>
      <c r="L3" s="173" t="s">
        <v>11</v>
      </c>
      <c r="M3" s="174"/>
      <c r="N3" s="173" t="s">
        <v>12</v>
      </c>
      <c r="O3" s="174"/>
      <c r="P3" s="173" t="s">
        <v>13</v>
      </c>
      <c r="Q3" s="174"/>
      <c r="R3" s="173" t="s">
        <v>14</v>
      </c>
      <c r="S3" s="174"/>
      <c r="T3" s="173" t="s">
        <v>15</v>
      </c>
      <c r="U3" s="174"/>
      <c r="V3" s="173" t="s">
        <v>16</v>
      </c>
      <c r="W3" s="174"/>
      <c r="X3" s="173" t="s">
        <v>17</v>
      </c>
      <c r="Y3" s="174"/>
      <c r="Z3" s="173" t="s">
        <v>18</v>
      </c>
      <c r="AA3" s="174"/>
      <c r="AB3" s="173" t="s">
        <v>19</v>
      </c>
      <c r="AC3" s="174"/>
      <c r="AD3" s="173" t="s">
        <v>20</v>
      </c>
      <c r="AE3" s="174"/>
      <c r="AF3" s="194" t="s">
        <v>21</v>
      </c>
      <c r="AH3" s="9"/>
    </row>
    <row r="4" spans="1:34" s="11" customFormat="1" ht="21" customHeight="1" x14ac:dyDescent="0.25">
      <c r="A4" s="185"/>
      <c r="B4" s="188"/>
      <c r="C4" s="189"/>
      <c r="D4" s="190"/>
      <c r="E4" s="189"/>
      <c r="F4" s="10"/>
      <c r="G4" s="10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94"/>
      <c r="AH4" s="9"/>
    </row>
    <row r="5" spans="1:34" s="11" customFormat="1" ht="42" customHeight="1" x14ac:dyDescent="0.25">
      <c r="A5" s="186"/>
      <c r="B5" s="13">
        <v>2020</v>
      </c>
      <c r="C5" s="14">
        <v>43983</v>
      </c>
      <c r="D5" s="14">
        <v>43983</v>
      </c>
      <c r="E5" s="14">
        <v>43983</v>
      </c>
      <c r="F5" s="15" t="s">
        <v>22</v>
      </c>
      <c r="G5" s="15" t="s">
        <v>23</v>
      </c>
      <c r="H5" s="12" t="s">
        <v>24</v>
      </c>
      <c r="I5" s="15" t="s">
        <v>25</v>
      </c>
      <c r="J5" s="15" t="s">
        <v>24</v>
      </c>
      <c r="K5" s="15" t="s">
        <v>25</v>
      </c>
      <c r="L5" s="15" t="s">
        <v>24</v>
      </c>
      <c r="M5" s="15" t="s">
        <v>25</v>
      </c>
      <c r="N5" s="15" t="s">
        <v>24</v>
      </c>
      <c r="O5" s="15" t="s">
        <v>25</v>
      </c>
      <c r="P5" s="15" t="s">
        <v>24</v>
      </c>
      <c r="Q5" s="15" t="s">
        <v>25</v>
      </c>
      <c r="R5" s="15" t="s">
        <v>24</v>
      </c>
      <c r="S5" s="15" t="s">
        <v>25</v>
      </c>
      <c r="T5" s="15" t="s">
        <v>24</v>
      </c>
      <c r="U5" s="15" t="s">
        <v>25</v>
      </c>
      <c r="V5" s="15" t="s">
        <v>24</v>
      </c>
      <c r="W5" s="15" t="s">
        <v>25</v>
      </c>
      <c r="X5" s="15" t="s">
        <v>24</v>
      </c>
      <c r="Y5" s="15" t="s">
        <v>25</v>
      </c>
      <c r="Z5" s="15" t="s">
        <v>24</v>
      </c>
      <c r="AA5" s="15" t="s">
        <v>25</v>
      </c>
      <c r="AB5" s="15" t="s">
        <v>24</v>
      </c>
      <c r="AC5" s="15" t="s">
        <v>25</v>
      </c>
      <c r="AD5" s="15" t="s">
        <v>24</v>
      </c>
      <c r="AE5" s="15" t="s">
        <v>25</v>
      </c>
      <c r="AF5" s="16"/>
      <c r="AH5" s="9"/>
    </row>
    <row r="6" spans="1:34" s="20" customFormat="1" ht="17.25" customHeight="1" x14ac:dyDescent="0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8">
        <v>31</v>
      </c>
      <c r="AF6" s="19">
        <v>32</v>
      </c>
      <c r="AH6" s="21"/>
    </row>
    <row r="7" spans="1:34" s="20" customFormat="1" ht="27" customHeight="1" x14ac:dyDescent="0.25">
      <c r="A7" s="175" t="s">
        <v>26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7"/>
      <c r="AE7" s="22"/>
      <c r="AF7" s="19"/>
      <c r="AH7" s="21"/>
    </row>
    <row r="8" spans="1:34" s="20" customFormat="1" ht="27" customHeight="1" x14ac:dyDescent="0.25">
      <c r="A8" s="178" t="s">
        <v>69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80"/>
      <c r="AF8" s="19"/>
      <c r="AH8" s="21"/>
    </row>
    <row r="9" spans="1:34" s="26" customFormat="1" ht="24" customHeight="1" x14ac:dyDescent="0.25">
      <c r="A9" s="23" t="s">
        <v>27</v>
      </c>
      <c r="B9" s="24">
        <f>B11+B12</f>
        <v>20274.559000000001</v>
      </c>
      <c r="C9" s="24">
        <f t="shared" ref="C9:AE9" si="0">C11+C12</f>
        <v>2731.5448799999999</v>
      </c>
      <c r="D9" s="24">
        <f t="shared" si="0"/>
        <v>2659.2254600000001</v>
      </c>
      <c r="E9" s="24">
        <f t="shared" si="0"/>
        <v>1753.35688</v>
      </c>
      <c r="F9" s="24">
        <f>E9/B9*100</f>
        <v>8.6480642069699272</v>
      </c>
      <c r="G9" s="24">
        <f>E9/C9*100</f>
        <v>64.189202704954269</v>
      </c>
      <c r="H9" s="24">
        <f t="shared" si="0"/>
        <v>32.01952</v>
      </c>
      <c r="I9" s="24">
        <f t="shared" si="0"/>
        <v>10.93</v>
      </c>
      <c r="J9" s="24">
        <f t="shared" si="0"/>
        <v>463.57381999999996</v>
      </c>
      <c r="K9" s="24">
        <f t="shared" si="0"/>
        <v>422.96197999999998</v>
      </c>
      <c r="L9" s="24">
        <f t="shared" si="0"/>
        <v>429.50694999999996</v>
      </c>
      <c r="M9" s="24">
        <f t="shared" si="0"/>
        <v>462.32928999999996</v>
      </c>
      <c r="N9" s="24">
        <f t="shared" si="0"/>
        <v>1121.62753</v>
      </c>
      <c r="O9" s="24">
        <f t="shared" si="0"/>
        <v>568.95416</v>
      </c>
      <c r="P9" s="24">
        <f t="shared" si="0"/>
        <v>684.81705999999997</v>
      </c>
      <c r="Q9" s="24">
        <f t="shared" si="0"/>
        <v>288.18144999999998</v>
      </c>
      <c r="R9" s="24">
        <f t="shared" si="0"/>
        <v>5251.5957100000005</v>
      </c>
      <c r="S9" s="24">
        <f t="shared" si="0"/>
        <v>0</v>
      </c>
      <c r="T9" s="24">
        <f t="shared" si="0"/>
        <v>5134.7915599999997</v>
      </c>
      <c r="U9" s="24">
        <f t="shared" si="0"/>
        <v>0</v>
      </c>
      <c r="V9" s="24">
        <f t="shared" si="0"/>
        <v>4522.0890100000006</v>
      </c>
      <c r="W9" s="24">
        <f t="shared" si="0"/>
        <v>0</v>
      </c>
      <c r="X9" s="24">
        <f t="shared" si="0"/>
        <v>1259.5038100000002</v>
      </c>
      <c r="Y9" s="24">
        <f t="shared" si="0"/>
        <v>0</v>
      </c>
      <c r="Z9" s="24">
        <f t="shared" si="0"/>
        <v>866.95159000000012</v>
      </c>
      <c r="AA9" s="24">
        <f t="shared" si="0"/>
        <v>0</v>
      </c>
      <c r="AB9" s="24">
        <f t="shared" si="0"/>
        <v>423.80604999999997</v>
      </c>
      <c r="AC9" s="24">
        <f t="shared" si="0"/>
        <v>0</v>
      </c>
      <c r="AD9" s="24">
        <f t="shared" si="0"/>
        <v>84.276389999999992</v>
      </c>
      <c r="AE9" s="24">
        <f t="shared" si="0"/>
        <v>0</v>
      </c>
      <c r="AF9" s="25"/>
      <c r="AH9" s="27"/>
    </row>
    <row r="10" spans="1:34" s="26" customFormat="1" ht="24" customHeight="1" x14ac:dyDescent="0.25">
      <c r="A10" s="28" t="s">
        <v>28</v>
      </c>
      <c r="B10" s="29">
        <v>0</v>
      </c>
      <c r="C10" s="29">
        <v>0</v>
      </c>
      <c r="D10" s="29">
        <v>0</v>
      </c>
      <c r="E10" s="29">
        <v>0</v>
      </c>
      <c r="F10" s="29" t="e">
        <f t="shared" ref="F10:F14" si="1">E10/B10*100</f>
        <v>#DIV/0!</v>
      </c>
      <c r="G10" s="29" t="e">
        <f t="shared" ref="G10:G14" si="2">E10/C10*100</f>
        <v>#DIV/0!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30"/>
      <c r="AH10" s="27"/>
    </row>
    <row r="11" spans="1:34" s="26" customFormat="1" ht="24" customHeight="1" x14ac:dyDescent="0.25">
      <c r="A11" s="28" t="s">
        <v>29</v>
      </c>
      <c r="B11" s="29">
        <f t="shared" ref="B11:E12" si="3">B18+B33+B40+B51+B72</f>
        <v>2801.1</v>
      </c>
      <c r="C11" s="29">
        <f t="shared" si="3"/>
        <v>265.27395999999999</v>
      </c>
      <c r="D11" s="29">
        <f t="shared" si="3"/>
        <v>192.95454000000001</v>
      </c>
      <c r="E11" s="29">
        <f t="shared" si="3"/>
        <v>192.95310000000001</v>
      </c>
      <c r="F11" s="29">
        <f t="shared" si="1"/>
        <v>6.8884759558744779</v>
      </c>
      <c r="G11" s="29">
        <f t="shared" si="2"/>
        <v>72.737293928133766</v>
      </c>
      <c r="H11" s="29">
        <f t="shared" ref="H11:AE11" si="4">H18+H33+H40+H51+H72</f>
        <v>0</v>
      </c>
      <c r="I11" s="29">
        <f t="shared" si="4"/>
        <v>0</v>
      </c>
      <c r="J11" s="29">
        <f t="shared" si="4"/>
        <v>16.859990000000003</v>
      </c>
      <c r="K11" s="29">
        <f t="shared" si="4"/>
        <v>0</v>
      </c>
      <c r="L11" s="29">
        <f t="shared" si="4"/>
        <v>65.009990000000002</v>
      </c>
      <c r="M11" s="29">
        <f t="shared" si="4"/>
        <v>80.430000000000007</v>
      </c>
      <c r="N11" s="29">
        <f t="shared" si="4"/>
        <v>65.009990000000002</v>
      </c>
      <c r="O11" s="29">
        <f t="shared" si="4"/>
        <v>64.373099999999994</v>
      </c>
      <c r="P11" s="29">
        <f t="shared" si="4"/>
        <v>118.39399</v>
      </c>
      <c r="Q11" s="29">
        <f t="shared" si="4"/>
        <v>48.15</v>
      </c>
      <c r="R11" s="29">
        <f t="shared" si="4"/>
        <v>216.87899000000002</v>
      </c>
      <c r="S11" s="29">
        <f t="shared" si="4"/>
        <v>0</v>
      </c>
      <c r="T11" s="29">
        <f t="shared" si="4"/>
        <v>716.29399000000001</v>
      </c>
      <c r="U11" s="29">
        <f t="shared" si="4"/>
        <v>0</v>
      </c>
      <c r="V11" s="29">
        <f t="shared" si="4"/>
        <v>672.68399999999997</v>
      </c>
      <c r="W11" s="29">
        <f t="shared" si="4"/>
        <v>0</v>
      </c>
      <c r="X11" s="29">
        <f t="shared" si="4"/>
        <v>655.82398999999998</v>
      </c>
      <c r="Y11" s="29">
        <f t="shared" si="4"/>
        <v>0</v>
      </c>
      <c r="Z11" s="29">
        <f t="shared" si="4"/>
        <v>149.47498999999999</v>
      </c>
      <c r="AA11" s="29">
        <f t="shared" si="4"/>
        <v>0</v>
      </c>
      <c r="AB11" s="29">
        <f t="shared" si="4"/>
        <v>62.334990000000005</v>
      </c>
      <c r="AC11" s="29">
        <f t="shared" si="4"/>
        <v>0</v>
      </c>
      <c r="AD11" s="29">
        <f t="shared" si="4"/>
        <v>62.335090000000001</v>
      </c>
      <c r="AE11" s="29">
        <f t="shared" si="4"/>
        <v>0</v>
      </c>
      <c r="AF11" s="30"/>
      <c r="AH11" s="27"/>
    </row>
    <row r="12" spans="1:34" s="26" customFormat="1" ht="24" customHeight="1" x14ac:dyDescent="0.25">
      <c r="A12" s="28" t="s">
        <v>30</v>
      </c>
      <c r="B12" s="29">
        <f t="shared" si="3"/>
        <v>17473.459000000003</v>
      </c>
      <c r="C12" s="29">
        <f t="shared" si="3"/>
        <v>2466.2709199999999</v>
      </c>
      <c r="D12" s="29">
        <f t="shared" si="3"/>
        <v>2466.2709199999999</v>
      </c>
      <c r="E12" s="29">
        <f t="shared" si="3"/>
        <v>1560.4037800000001</v>
      </c>
      <c r="F12" s="29">
        <f t="shared" si="1"/>
        <v>8.9301367290815179</v>
      </c>
      <c r="G12" s="29">
        <f t="shared" si="2"/>
        <v>63.269763566769875</v>
      </c>
      <c r="H12" s="31">
        <f t="shared" ref="H12:AE12" si="5">H57+H73</f>
        <v>32.01952</v>
      </c>
      <c r="I12" s="31">
        <f t="shared" si="5"/>
        <v>10.93</v>
      </c>
      <c r="J12" s="31">
        <f t="shared" si="5"/>
        <v>446.71382999999997</v>
      </c>
      <c r="K12" s="31">
        <f t="shared" si="5"/>
        <v>422.96197999999998</v>
      </c>
      <c r="L12" s="31">
        <f t="shared" si="5"/>
        <v>364.49695999999994</v>
      </c>
      <c r="M12" s="31">
        <f t="shared" si="5"/>
        <v>381.89928999999995</v>
      </c>
      <c r="N12" s="31">
        <f t="shared" si="5"/>
        <v>1056.61754</v>
      </c>
      <c r="O12" s="31">
        <f t="shared" si="5"/>
        <v>504.58105999999998</v>
      </c>
      <c r="P12" s="31">
        <f t="shared" si="5"/>
        <v>566.42306999999994</v>
      </c>
      <c r="Q12" s="31">
        <f t="shared" si="5"/>
        <v>240.03145000000001</v>
      </c>
      <c r="R12" s="31">
        <f t="shared" si="5"/>
        <v>5034.7167200000004</v>
      </c>
      <c r="S12" s="31">
        <f t="shared" si="5"/>
        <v>0</v>
      </c>
      <c r="T12" s="31">
        <f t="shared" si="5"/>
        <v>4418.4975699999995</v>
      </c>
      <c r="U12" s="31">
        <f t="shared" si="5"/>
        <v>0</v>
      </c>
      <c r="V12" s="31">
        <f t="shared" si="5"/>
        <v>3849.4050100000004</v>
      </c>
      <c r="W12" s="31">
        <f t="shared" si="5"/>
        <v>0</v>
      </c>
      <c r="X12" s="31">
        <f t="shared" si="5"/>
        <v>603.67982000000006</v>
      </c>
      <c r="Y12" s="31">
        <f t="shared" si="5"/>
        <v>0</v>
      </c>
      <c r="Z12" s="31">
        <f t="shared" si="5"/>
        <v>717.47660000000008</v>
      </c>
      <c r="AA12" s="31">
        <f t="shared" si="5"/>
        <v>0</v>
      </c>
      <c r="AB12" s="31">
        <f t="shared" si="5"/>
        <v>361.47105999999997</v>
      </c>
      <c r="AC12" s="31">
        <f t="shared" si="5"/>
        <v>0</v>
      </c>
      <c r="AD12" s="31">
        <f t="shared" si="5"/>
        <v>21.941299999999998</v>
      </c>
      <c r="AE12" s="31">
        <f t="shared" si="5"/>
        <v>0</v>
      </c>
      <c r="AF12" s="30"/>
      <c r="AH12" s="27"/>
    </row>
    <row r="13" spans="1:34" s="26" customFormat="1" ht="22.5" customHeight="1" x14ac:dyDescent="0.25">
      <c r="A13" s="32" t="s">
        <v>31</v>
      </c>
      <c r="B13" s="29">
        <v>0</v>
      </c>
      <c r="C13" s="31">
        <v>0</v>
      </c>
      <c r="D13" s="31">
        <v>0</v>
      </c>
      <c r="E13" s="31">
        <v>0</v>
      </c>
      <c r="F13" s="29" t="e">
        <f t="shared" si="1"/>
        <v>#DIV/0!</v>
      </c>
      <c r="G13" s="29" t="e">
        <f t="shared" si="2"/>
        <v>#DIV/0!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33"/>
      <c r="AH13" s="27"/>
    </row>
    <row r="14" spans="1:34" s="26" customFormat="1" ht="24" customHeight="1" x14ac:dyDescent="0.25">
      <c r="A14" s="28" t="s">
        <v>32</v>
      </c>
      <c r="B14" s="29">
        <v>0</v>
      </c>
      <c r="C14" s="31">
        <v>0</v>
      </c>
      <c r="D14" s="31">
        <v>0</v>
      </c>
      <c r="E14" s="31">
        <v>0</v>
      </c>
      <c r="F14" s="29" t="e">
        <f t="shared" si="1"/>
        <v>#DIV/0!</v>
      </c>
      <c r="G14" s="29" t="e">
        <f t="shared" si="2"/>
        <v>#DIV/0!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33"/>
      <c r="AH14" s="27"/>
    </row>
    <row r="15" spans="1:34" s="26" customFormat="1" ht="38.25" customHeight="1" x14ac:dyDescent="0.25">
      <c r="A15" s="195" t="s">
        <v>33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7"/>
      <c r="AF15" s="191" t="s">
        <v>34</v>
      </c>
      <c r="AG15" s="34"/>
      <c r="AH15" s="27"/>
    </row>
    <row r="16" spans="1:34" s="26" customFormat="1" x14ac:dyDescent="0.25">
      <c r="A16" s="23" t="s">
        <v>27</v>
      </c>
      <c r="B16" s="24">
        <f>B18+B19</f>
        <v>12081.358</v>
      </c>
      <c r="C16" s="24">
        <f>C18+C19</f>
        <v>656.43211999999994</v>
      </c>
      <c r="D16" s="24">
        <f>D18+D19</f>
        <v>656.43211999999994</v>
      </c>
      <c r="E16" s="24">
        <f>E18+E19</f>
        <v>333.35145</v>
      </c>
      <c r="F16" s="35">
        <f t="shared" ref="F16:F21" si="6">E16/B16</f>
        <v>2.7592216868335497E-2</v>
      </c>
      <c r="G16" s="35">
        <f t="shared" ref="G16:G21" si="7">E16/C16</f>
        <v>0.50782318512994162</v>
      </c>
      <c r="H16" s="36">
        <f t="shared" ref="H16:AE16" si="8">H18+H19</f>
        <v>0</v>
      </c>
      <c r="I16" s="36">
        <f t="shared" si="8"/>
        <v>0</v>
      </c>
      <c r="J16" s="36">
        <f t="shared" si="8"/>
        <v>0</v>
      </c>
      <c r="K16" s="36">
        <f t="shared" si="8"/>
        <v>0</v>
      </c>
      <c r="L16" s="36">
        <f t="shared" si="8"/>
        <v>0</v>
      </c>
      <c r="M16" s="36">
        <f t="shared" si="8"/>
        <v>0</v>
      </c>
      <c r="N16" s="36">
        <f t="shared" si="8"/>
        <v>591.58344999999997</v>
      </c>
      <c r="O16" s="36">
        <f t="shared" si="8"/>
        <v>147.33000000000001</v>
      </c>
      <c r="P16" s="36">
        <f t="shared" si="8"/>
        <v>64.848669999999998</v>
      </c>
      <c r="Q16" s="36">
        <f>Q18+Q19</f>
        <v>186.02145000000002</v>
      </c>
      <c r="R16" s="36">
        <f t="shared" si="8"/>
        <v>3940.34042</v>
      </c>
      <c r="S16" s="36">
        <f t="shared" si="8"/>
        <v>0</v>
      </c>
      <c r="T16" s="36">
        <f t="shared" si="8"/>
        <v>3732.0151700000001</v>
      </c>
      <c r="U16" s="36">
        <f t="shared" si="8"/>
        <v>0</v>
      </c>
      <c r="V16" s="36">
        <f t="shared" si="8"/>
        <v>3217.5702900000001</v>
      </c>
      <c r="W16" s="36">
        <f t="shared" si="8"/>
        <v>0</v>
      </c>
      <c r="X16" s="36">
        <f t="shared" si="8"/>
        <v>535</v>
      </c>
      <c r="Y16" s="36">
        <f t="shared" si="8"/>
        <v>0</v>
      </c>
      <c r="Z16" s="36">
        <f t="shared" si="8"/>
        <v>0</v>
      </c>
      <c r="AA16" s="36">
        <f t="shared" si="8"/>
        <v>0</v>
      </c>
      <c r="AB16" s="36">
        <f t="shared" si="8"/>
        <v>0</v>
      </c>
      <c r="AC16" s="36">
        <f t="shared" si="8"/>
        <v>0</v>
      </c>
      <c r="AD16" s="36">
        <f t="shared" si="8"/>
        <v>0</v>
      </c>
      <c r="AE16" s="36">
        <f t="shared" si="8"/>
        <v>0</v>
      </c>
      <c r="AF16" s="192"/>
      <c r="AH16" s="27"/>
    </row>
    <row r="17" spans="1:34" s="26" customFormat="1" x14ac:dyDescent="0.25">
      <c r="A17" s="28" t="s">
        <v>28</v>
      </c>
      <c r="B17" s="29">
        <v>0</v>
      </c>
      <c r="C17" s="29">
        <v>0</v>
      </c>
      <c r="D17" s="29">
        <v>0</v>
      </c>
      <c r="E17" s="29">
        <v>0</v>
      </c>
      <c r="F17" s="37"/>
      <c r="G17" s="37"/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192"/>
      <c r="AH17" s="27"/>
    </row>
    <row r="18" spans="1:34" s="26" customFormat="1" ht="156.75" customHeight="1" x14ac:dyDescent="0.25">
      <c r="A18" s="172" t="s">
        <v>29</v>
      </c>
      <c r="B18" s="29">
        <f>H18+J18+L18+N18+P18+R18+T18+V18+X18+Z18+AB18+AD18</f>
        <v>1631.75</v>
      </c>
      <c r="C18" s="31">
        <f>H18+J18+L18+N18</f>
        <v>0</v>
      </c>
      <c r="D18" s="31">
        <f>D24</f>
        <v>0</v>
      </c>
      <c r="E18" s="31">
        <f>I18+K18+M18+O18+Q18+S18+U18+W18+Y18+AA18+AC18+AE18</f>
        <v>0</v>
      </c>
      <c r="F18" s="37">
        <f t="shared" si="6"/>
        <v>0</v>
      </c>
      <c r="G18" s="37" t="e">
        <f t="shared" si="7"/>
        <v>#DIV/0!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>
        <f>561750/1000</f>
        <v>561.75</v>
      </c>
      <c r="U18" s="31"/>
      <c r="V18" s="31">
        <f>535000/1000</f>
        <v>535</v>
      </c>
      <c r="W18" s="31"/>
      <c r="X18" s="31">
        <f>535000/1000</f>
        <v>535</v>
      </c>
      <c r="Y18" s="31"/>
      <c r="Z18" s="31"/>
      <c r="AA18" s="31"/>
      <c r="AB18" s="31"/>
      <c r="AC18" s="31"/>
      <c r="AD18" s="31"/>
      <c r="AE18" s="31"/>
      <c r="AF18" s="192"/>
      <c r="AH18" s="27"/>
    </row>
    <row r="19" spans="1:34" s="26" customFormat="1" ht="179.25" customHeight="1" x14ac:dyDescent="0.25">
      <c r="A19" s="28" t="s">
        <v>30</v>
      </c>
      <c r="B19" s="29">
        <f>H19+J19+L19+N19+P19+R19+T19+V19+X19+Z19+AB19+AD19</f>
        <v>10449.608</v>
      </c>
      <c r="C19" s="31">
        <f>H19+J19+L19+N19+P19</f>
        <v>656.43211999999994</v>
      </c>
      <c r="D19" s="31">
        <f>C19</f>
        <v>656.43211999999994</v>
      </c>
      <c r="E19" s="31">
        <f>I19+K19+M19+O19+Q19+S19+U19+W19+Y19+AA19+AC19+AE19</f>
        <v>333.35145</v>
      </c>
      <c r="F19" s="37">
        <f t="shared" si="6"/>
        <v>3.1900856950806189E-2</v>
      </c>
      <c r="G19" s="37">
        <f t="shared" si="7"/>
        <v>0.50782318512994162</v>
      </c>
      <c r="H19" s="31"/>
      <c r="I19" s="31"/>
      <c r="J19" s="31"/>
      <c r="K19" s="31"/>
      <c r="L19" s="31"/>
      <c r="M19" s="31"/>
      <c r="N19" s="31">
        <f>591583.45/1000</f>
        <v>591.58344999999997</v>
      </c>
      <c r="O19" s="31">
        <f>147330/1000</f>
        <v>147.33000000000001</v>
      </c>
      <c r="P19" s="31">
        <f>64848.67/1000</f>
        <v>64.848669999999998</v>
      </c>
      <c r="Q19" s="31">
        <f>186021.45/1000</f>
        <v>186.02145000000002</v>
      </c>
      <c r="R19" s="31">
        <f>3940340.42/1000</f>
        <v>3940.34042</v>
      </c>
      <c r="S19" s="31"/>
      <c r="T19" s="31">
        <f>3170265.17/1000</f>
        <v>3170.2651700000001</v>
      </c>
      <c r="U19" s="31"/>
      <c r="V19" s="31">
        <f>2682570.29/1000</f>
        <v>2682.5702900000001</v>
      </c>
      <c r="W19" s="31"/>
      <c r="X19" s="31"/>
      <c r="Y19" s="31"/>
      <c r="Z19" s="31"/>
      <c r="AA19" s="31"/>
      <c r="AB19" s="31"/>
      <c r="AC19" s="31"/>
      <c r="AD19" s="31"/>
      <c r="AE19" s="31"/>
      <c r="AF19" s="193"/>
      <c r="AH19" s="27"/>
    </row>
    <row r="20" spans="1:34" s="26" customFormat="1" x14ac:dyDescent="0.25">
      <c r="A20" s="38" t="s">
        <v>31</v>
      </c>
      <c r="B20" s="29">
        <v>0</v>
      </c>
      <c r="C20" s="31">
        <f t="shared" ref="C20:C21" si="9">H20+J20+L20</f>
        <v>0</v>
      </c>
      <c r="D20" s="31">
        <v>0</v>
      </c>
      <c r="E20" s="31">
        <v>0</v>
      </c>
      <c r="F20" s="37" t="e">
        <f t="shared" si="6"/>
        <v>#DIV/0!</v>
      </c>
      <c r="G20" s="37" t="e">
        <f t="shared" si="7"/>
        <v>#DIV/0!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33"/>
      <c r="AH20" s="27"/>
    </row>
    <row r="21" spans="1:34" s="26" customFormat="1" x14ac:dyDescent="0.25">
      <c r="A21" s="28" t="s">
        <v>32</v>
      </c>
      <c r="B21" s="29">
        <v>0</v>
      </c>
      <c r="C21" s="31">
        <f t="shared" si="9"/>
        <v>0</v>
      </c>
      <c r="D21" s="31">
        <v>0</v>
      </c>
      <c r="E21" s="31">
        <v>0</v>
      </c>
      <c r="F21" s="37" t="e">
        <f t="shared" si="6"/>
        <v>#DIV/0!</v>
      </c>
      <c r="G21" s="37" t="e">
        <f t="shared" si="7"/>
        <v>#DIV/0!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33"/>
      <c r="AH21" s="27"/>
    </row>
    <row r="22" spans="1:34" s="42" customFormat="1" ht="28.5" hidden="1" customHeight="1" x14ac:dyDescent="0.25">
      <c r="A22" s="39" t="s">
        <v>35</v>
      </c>
      <c r="B22" s="40"/>
      <c r="C22" s="40"/>
      <c r="D22" s="40"/>
      <c r="E22" s="40"/>
      <c r="F22" s="41"/>
      <c r="G22" s="41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198"/>
    </row>
    <row r="23" spans="1:34" s="42" customFormat="1" ht="20.25" hidden="1" customHeight="1" x14ac:dyDescent="0.25">
      <c r="A23" s="43" t="s">
        <v>36</v>
      </c>
      <c r="B23" s="44">
        <f>B25+B24</f>
        <v>0</v>
      </c>
      <c r="C23" s="44">
        <f>C25+C24</f>
        <v>0</v>
      </c>
      <c r="D23" s="44">
        <f>D25+D24</f>
        <v>0</v>
      </c>
      <c r="E23" s="44">
        <f>E25+E24</f>
        <v>0</v>
      </c>
      <c r="F23" s="45" t="e">
        <f>E23/B23</f>
        <v>#DIV/0!</v>
      </c>
      <c r="G23" s="46" t="e">
        <f>E23/C23</f>
        <v>#DIV/0!</v>
      </c>
      <c r="H23" s="47">
        <f>H25+H24</f>
        <v>0</v>
      </c>
      <c r="I23" s="48">
        <f t="shared" ref="I23:AE23" si="10">I25+I24</f>
        <v>0</v>
      </c>
      <c r="J23" s="48">
        <f t="shared" si="10"/>
        <v>0</v>
      </c>
      <c r="K23" s="48">
        <f t="shared" si="10"/>
        <v>0</v>
      </c>
      <c r="L23" s="48">
        <f t="shared" si="10"/>
        <v>0</v>
      </c>
      <c r="M23" s="48">
        <f t="shared" si="10"/>
        <v>0</v>
      </c>
      <c r="N23" s="48">
        <f t="shared" si="10"/>
        <v>0</v>
      </c>
      <c r="O23" s="48">
        <f t="shared" si="10"/>
        <v>0</v>
      </c>
      <c r="P23" s="48">
        <f t="shared" si="10"/>
        <v>0</v>
      </c>
      <c r="Q23" s="48">
        <f t="shared" si="10"/>
        <v>0</v>
      </c>
      <c r="R23" s="48">
        <f t="shared" si="10"/>
        <v>0</v>
      </c>
      <c r="S23" s="48">
        <f t="shared" si="10"/>
        <v>0</v>
      </c>
      <c r="T23" s="48">
        <f t="shared" si="10"/>
        <v>0</v>
      </c>
      <c r="U23" s="48">
        <f t="shared" si="10"/>
        <v>0</v>
      </c>
      <c r="V23" s="48">
        <f t="shared" si="10"/>
        <v>0</v>
      </c>
      <c r="W23" s="48">
        <f t="shared" si="10"/>
        <v>0</v>
      </c>
      <c r="X23" s="48">
        <f t="shared" si="10"/>
        <v>0</v>
      </c>
      <c r="Y23" s="48">
        <f t="shared" si="10"/>
        <v>0</v>
      </c>
      <c r="Z23" s="48">
        <f t="shared" si="10"/>
        <v>0</v>
      </c>
      <c r="AA23" s="48">
        <f t="shared" si="10"/>
        <v>0</v>
      </c>
      <c r="AB23" s="48">
        <f t="shared" si="10"/>
        <v>0</v>
      </c>
      <c r="AC23" s="48">
        <f t="shared" si="10"/>
        <v>0</v>
      </c>
      <c r="AD23" s="48">
        <f t="shared" si="10"/>
        <v>0</v>
      </c>
      <c r="AE23" s="48">
        <f t="shared" si="10"/>
        <v>0</v>
      </c>
      <c r="AF23" s="199"/>
    </row>
    <row r="24" spans="1:34" s="42" customFormat="1" ht="21" hidden="1" customHeight="1" x14ac:dyDescent="0.25">
      <c r="A24" s="43" t="s">
        <v>29</v>
      </c>
      <c r="B24" s="44">
        <f>H24+J24+L24+N24+P24+R24+T24+V24+X24+Z24+AB24+AD24</f>
        <v>0</v>
      </c>
      <c r="C24" s="47">
        <f>H24</f>
        <v>0</v>
      </c>
      <c r="D24" s="47"/>
      <c r="E24" s="47">
        <f>I24+K24+M24+O24+Q24+S24+U24+W24+Y24+AA24+AC24+AE24</f>
        <v>0</v>
      </c>
      <c r="F24" s="49" t="e">
        <f>E24/B24</f>
        <v>#DIV/0!</v>
      </c>
      <c r="G24" s="46" t="e">
        <f t="shared" ref="G24" si="11">E24/C24</f>
        <v>#DIV/0!</v>
      </c>
      <c r="H24" s="47">
        <v>0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31"/>
      <c r="AF24" s="199"/>
      <c r="AG24" s="34"/>
    </row>
    <row r="25" spans="1:34" s="42" customFormat="1" ht="18.75" hidden="1" customHeight="1" x14ac:dyDescent="0.25">
      <c r="A25" s="43" t="s">
        <v>30</v>
      </c>
      <c r="B25" s="44">
        <f>H25+J25+L25+N25+P25+R25+T25+V25+X25+Z25+AB25+AD25</f>
        <v>0</v>
      </c>
      <c r="C25" s="47">
        <f>H25</f>
        <v>0</v>
      </c>
      <c r="D25" s="47"/>
      <c r="E25" s="47">
        <f>I25+K25+M25+O25+Q25+S25+U25+W25+Y25+AA25+AC25+AE25</f>
        <v>0</v>
      </c>
      <c r="F25" s="49" t="e">
        <f>E25/B25</f>
        <v>#DIV/0!</v>
      </c>
      <c r="G25" s="46" t="e">
        <f>E25/C25</f>
        <v>#DIV/0!</v>
      </c>
      <c r="H25" s="47"/>
      <c r="I25" s="47"/>
      <c r="J25" s="47"/>
      <c r="K25" s="47"/>
      <c r="L25" s="47"/>
      <c r="M25" s="47"/>
      <c r="N25" s="47">
        <v>0</v>
      </c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31"/>
      <c r="AF25" s="199"/>
      <c r="AG25" s="34"/>
    </row>
    <row r="26" spans="1:34" s="42" customFormat="1" ht="75" hidden="1" customHeight="1" x14ac:dyDescent="0.25">
      <c r="A26" s="39" t="s">
        <v>37</v>
      </c>
      <c r="B26" s="50"/>
      <c r="C26" s="50"/>
      <c r="D26" s="50"/>
      <c r="E26" s="50"/>
      <c r="F26" s="51"/>
      <c r="G26" s="5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40"/>
      <c r="AF26" s="199"/>
      <c r="AG26" s="34"/>
    </row>
    <row r="27" spans="1:34" s="42" customFormat="1" ht="23.25" hidden="1" customHeight="1" x14ac:dyDescent="0.25">
      <c r="A27" s="43" t="s">
        <v>30</v>
      </c>
      <c r="B27" s="44">
        <f>H27+J27+L27+N27+P27+R27+T27+V27+X27+Z27+AB27+AD27</f>
        <v>0</v>
      </c>
      <c r="C27" s="47">
        <f>H27</f>
        <v>0</v>
      </c>
      <c r="D27" s="52"/>
      <c r="E27" s="47">
        <f>I27+K27+M27+O27+Q27+S27+U27+W27+Y27+AA27+AC27+AE27</f>
        <v>0</v>
      </c>
      <c r="F27" s="49" t="e">
        <f>E27/B27</f>
        <v>#DIV/0!</v>
      </c>
      <c r="G27" s="46" t="e">
        <f>E27/C27</f>
        <v>#DIV/0!</v>
      </c>
      <c r="H27" s="52"/>
      <c r="I27" s="52"/>
      <c r="J27" s="52"/>
      <c r="K27" s="52"/>
      <c r="L27" s="52"/>
      <c r="M27" s="52"/>
      <c r="N27" s="52"/>
      <c r="O27" s="52"/>
      <c r="P27" s="52"/>
      <c r="Q27" s="52">
        <v>0</v>
      </c>
      <c r="R27" s="52"/>
      <c r="S27" s="52">
        <v>0</v>
      </c>
      <c r="T27" s="52"/>
      <c r="U27" s="52">
        <v>0</v>
      </c>
      <c r="V27" s="52">
        <v>0</v>
      </c>
      <c r="W27" s="52">
        <v>0</v>
      </c>
      <c r="X27" s="52">
        <v>0</v>
      </c>
      <c r="Y27" s="52"/>
      <c r="Z27" s="52"/>
      <c r="AA27" s="52"/>
      <c r="AB27" s="52"/>
      <c r="AC27" s="52"/>
      <c r="AD27" s="52"/>
      <c r="AE27" s="52"/>
      <c r="AF27" s="199"/>
      <c r="AG27" s="34"/>
    </row>
    <row r="28" spans="1:34" s="42" customFormat="1" ht="39.75" hidden="1" customHeight="1" x14ac:dyDescent="0.25">
      <c r="A28" s="39" t="s">
        <v>38</v>
      </c>
      <c r="B28" s="50"/>
      <c r="C28" s="50"/>
      <c r="D28" s="50"/>
      <c r="E28" s="50"/>
      <c r="F28" s="51"/>
      <c r="G28" s="5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40"/>
      <c r="AF28" s="199"/>
      <c r="AG28" s="34"/>
    </row>
    <row r="29" spans="1:34" s="42" customFormat="1" ht="25.5" hidden="1" customHeight="1" x14ac:dyDescent="0.25">
      <c r="A29" s="43" t="s">
        <v>30</v>
      </c>
      <c r="B29" s="44">
        <f>H29+J29+L29+N29+P29+R29+T29+V29+X29+Z29+AB29+AD29</f>
        <v>0</v>
      </c>
      <c r="C29" s="47">
        <f>H29</f>
        <v>0</v>
      </c>
      <c r="D29" s="44">
        <f>C29</f>
        <v>0</v>
      </c>
      <c r="E29" s="47">
        <f>I29+K29+M29+O29+Q29+S29+U29+W29+Y29+AA29+AC29+AE29</f>
        <v>0</v>
      </c>
      <c r="F29" s="49" t="e">
        <f>E29/B29</f>
        <v>#DIV/0!</v>
      </c>
      <c r="G29" s="46" t="e">
        <f>E29/C29</f>
        <v>#DIV/0!</v>
      </c>
      <c r="H29" s="52"/>
      <c r="I29" s="52"/>
      <c r="J29" s="52"/>
      <c r="K29" s="52"/>
      <c r="L29" s="52"/>
      <c r="M29" s="52"/>
      <c r="N29" s="52"/>
      <c r="O29" s="52"/>
      <c r="P29" s="52"/>
      <c r="Q29" s="52">
        <v>0</v>
      </c>
      <c r="R29" s="52"/>
      <c r="S29" s="52">
        <v>0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200"/>
      <c r="AG29" s="34"/>
    </row>
    <row r="30" spans="1:34" s="26" customFormat="1" ht="42" customHeight="1" x14ac:dyDescent="0.25">
      <c r="A30" s="204" t="s">
        <v>39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6"/>
      <c r="AF30" s="191" t="s">
        <v>40</v>
      </c>
      <c r="AH30" s="27"/>
    </row>
    <row r="31" spans="1:34" s="26" customFormat="1" ht="18.75" customHeight="1" x14ac:dyDescent="0.25">
      <c r="A31" s="23" t="s">
        <v>27</v>
      </c>
      <c r="B31" s="24">
        <f>B34+B33</f>
        <v>2296.6590000000001</v>
      </c>
      <c r="C31" s="24">
        <f>C34+C33</f>
        <v>1297.7448200000001</v>
      </c>
      <c r="D31" s="24">
        <f>D34+D33</f>
        <v>1297.10482</v>
      </c>
      <c r="E31" s="24">
        <f>E34+E33</f>
        <v>1011.5254299999999</v>
      </c>
      <c r="F31" s="35">
        <f t="shared" ref="F31:F36" si="12">E31/B31</f>
        <v>0.44043344266606399</v>
      </c>
      <c r="G31" s="35">
        <f t="shared" ref="G31:G36" si="13">E31/C31</f>
        <v>0.77944863613479864</v>
      </c>
      <c r="H31" s="24">
        <f>H34+H33</f>
        <v>0</v>
      </c>
      <c r="I31" s="24">
        <f t="shared" ref="I31:AE31" si="14">I34+I33</f>
        <v>0</v>
      </c>
      <c r="J31" s="24">
        <f t="shared" si="14"/>
        <v>339.91197999999997</v>
      </c>
      <c r="K31" s="24">
        <f t="shared" si="14"/>
        <v>339.91197999999997</v>
      </c>
      <c r="L31" s="24">
        <f t="shared" si="14"/>
        <v>341.64854999999994</v>
      </c>
      <c r="M31" s="24">
        <f t="shared" si="14"/>
        <v>334.83928999999995</v>
      </c>
      <c r="N31" s="24">
        <f t="shared" si="14"/>
        <v>336.77352999999999</v>
      </c>
      <c r="O31" s="24">
        <f t="shared" si="14"/>
        <v>336.77415999999999</v>
      </c>
      <c r="P31" s="24">
        <f t="shared" si="14"/>
        <v>279.41075999999998</v>
      </c>
      <c r="Q31" s="24">
        <f t="shared" si="14"/>
        <v>0</v>
      </c>
      <c r="R31" s="24">
        <f t="shared" si="14"/>
        <v>45.475000000000001</v>
      </c>
      <c r="S31" s="24">
        <f t="shared" si="14"/>
        <v>0</v>
      </c>
      <c r="T31" s="24">
        <f t="shared" si="14"/>
        <v>0</v>
      </c>
      <c r="U31" s="24">
        <f t="shared" si="14"/>
        <v>0</v>
      </c>
      <c r="V31" s="24">
        <f t="shared" si="14"/>
        <v>0</v>
      </c>
      <c r="W31" s="24">
        <f t="shared" si="14"/>
        <v>0</v>
      </c>
      <c r="X31" s="24">
        <f t="shared" si="14"/>
        <v>318.07153000000005</v>
      </c>
      <c r="Y31" s="24">
        <f t="shared" si="14"/>
        <v>0</v>
      </c>
      <c r="Z31" s="24">
        <f t="shared" si="14"/>
        <v>318.07153000000005</v>
      </c>
      <c r="AA31" s="24">
        <f t="shared" si="14"/>
        <v>0</v>
      </c>
      <c r="AB31" s="24">
        <f t="shared" si="14"/>
        <v>271.82112000000001</v>
      </c>
      <c r="AC31" s="24">
        <f t="shared" si="14"/>
        <v>0</v>
      </c>
      <c r="AD31" s="24">
        <f t="shared" si="14"/>
        <v>45.475000000000001</v>
      </c>
      <c r="AE31" s="24">
        <f t="shared" si="14"/>
        <v>0</v>
      </c>
      <c r="AF31" s="192"/>
      <c r="AG31" s="34"/>
      <c r="AH31" s="27"/>
    </row>
    <row r="32" spans="1:34" s="26" customFormat="1" x14ac:dyDescent="0.25">
      <c r="A32" s="28" t="s">
        <v>28</v>
      </c>
      <c r="B32" s="29">
        <v>0</v>
      </c>
      <c r="C32" s="29">
        <v>0</v>
      </c>
      <c r="D32" s="29">
        <v>0</v>
      </c>
      <c r="E32" s="29">
        <v>0</v>
      </c>
      <c r="F32" s="37" t="e">
        <f t="shared" si="12"/>
        <v>#DIV/0!</v>
      </c>
      <c r="G32" s="37" t="e">
        <f t="shared" si="13"/>
        <v>#DIV/0!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192"/>
      <c r="AH32" s="27"/>
    </row>
    <row r="33" spans="1:34" s="26" customFormat="1" ht="22.5" customHeight="1" x14ac:dyDescent="0.25">
      <c r="A33" s="28" t="s">
        <v>29</v>
      </c>
      <c r="B33" s="29">
        <f>H33+J33+L33+N33+P33+R33+T33+V33+X33+Z33+AB33+AD33</f>
        <v>326.35000000000002</v>
      </c>
      <c r="C33" s="31">
        <f>H33+J33+L33+N33+P33</f>
        <v>144.44999999999999</v>
      </c>
      <c r="D33" s="31">
        <v>143.81</v>
      </c>
      <c r="E33" s="31">
        <f>I33+K33+M33+O33+Q33+S33+U33+W33+Y33+AA33+AC33+AE33</f>
        <v>143.81309999999999</v>
      </c>
      <c r="F33" s="37">
        <f t="shared" si="12"/>
        <v>0.44067136509882021</v>
      </c>
      <c r="G33" s="37">
        <f t="shared" si="13"/>
        <v>0.99559086188992729</v>
      </c>
      <c r="H33" s="31"/>
      <c r="I33" s="31"/>
      <c r="J33" s="31"/>
      <c r="K33" s="31"/>
      <c r="L33" s="31">
        <f>48150/1000</f>
        <v>48.15</v>
      </c>
      <c r="M33" s="31">
        <f>48150/1000</f>
        <v>48.15</v>
      </c>
      <c r="N33" s="31">
        <f>48150/1000</f>
        <v>48.15</v>
      </c>
      <c r="O33" s="31">
        <f>47513.1/1000</f>
        <v>47.513100000000001</v>
      </c>
      <c r="P33" s="31">
        <f>48150/1000</f>
        <v>48.15</v>
      </c>
      <c r="Q33" s="31">
        <f>48150/1000</f>
        <v>48.15</v>
      </c>
      <c r="R33" s="31">
        <f>45475/1000</f>
        <v>45.475000000000001</v>
      </c>
      <c r="S33" s="53"/>
      <c r="T33" s="53"/>
      <c r="U33" s="53"/>
      <c r="V33" s="53"/>
      <c r="W33" s="53"/>
      <c r="X33" s="31"/>
      <c r="Y33" s="31"/>
      <c r="Z33" s="31">
        <f>45475/1000</f>
        <v>45.475000000000001</v>
      </c>
      <c r="AA33" s="31"/>
      <c r="AB33" s="31">
        <f>45475/1000</f>
        <v>45.475000000000001</v>
      </c>
      <c r="AC33" s="31"/>
      <c r="AD33" s="31">
        <f>45475/1000</f>
        <v>45.475000000000001</v>
      </c>
      <c r="AE33" s="31"/>
      <c r="AF33" s="192"/>
      <c r="AG33" s="34"/>
      <c r="AH33" s="27"/>
    </row>
    <row r="34" spans="1:34" s="26" customFormat="1" ht="106.5" customHeight="1" x14ac:dyDescent="0.25">
      <c r="A34" s="28" t="s">
        <v>30</v>
      </c>
      <c r="B34" s="29">
        <f>H34+J34+L34+N34+P34+R34+T34+V34+X34+Z34+AB34+AD34</f>
        <v>1970.3090000000002</v>
      </c>
      <c r="C34" s="31">
        <f>H34+J34+L34+N34+P34</f>
        <v>1153.2948200000001</v>
      </c>
      <c r="D34" s="31">
        <f>C34</f>
        <v>1153.2948200000001</v>
      </c>
      <c r="E34" s="31">
        <f>I34+K34+M34+O34+Q34+S34+U34+W34+Y34+AA34+AC34+AE34</f>
        <v>867.71232999999995</v>
      </c>
      <c r="F34" s="37">
        <f t="shared" si="12"/>
        <v>0.44039403464126686</v>
      </c>
      <c r="G34" s="37">
        <f t="shared" si="13"/>
        <v>0.75237685538204346</v>
      </c>
      <c r="H34" s="31"/>
      <c r="I34" s="31"/>
      <c r="J34" s="31">
        <f>339911.98/1000</f>
        <v>339.91197999999997</v>
      </c>
      <c r="K34" s="31">
        <f>339911.98/1000</f>
        <v>339.91197999999997</v>
      </c>
      <c r="L34" s="31">
        <f>293498.55/1000</f>
        <v>293.49854999999997</v>
      </c>
      <c r="M34" s="31">
        <f>286689.29/1000</f>
        <v>286.68928999999997</v>
      </c>
      <c r="N34" s="31">
        <f>288623.53/1000</f>
        <v>288.62353000000002</v>
      </c>
      <c r="O34" s="31">
        <f>289261.06/1000</f>
        <v>289.26105999999999</v>
      </c>
      <c r="P34" s="31">
        <f>231260.76/1000</f>
        <v>231.26076</v>
      </c>
      <c r="Q34" s="31">
        <f>-48150/1000</f>
        <v>-48.15</v>
      </c>
      <c r="R34" s="53"/>
      <c r="S34" s="53"/>
      <c r="T34" s="53"/>
      <c r="U34" s="53"/>
      <c r="V34" s="53"/>
      <c r="W34" s="53"/>
      <c r="X34" s="31">
        <f>318071.53/1000</f>
        <v>318.07153000000005</v>
      </c>
      <c r="Y34" s="31"/>
      <c r="Z34" s="31">
        <f>272596.53/1000</f>
        <v>272.59653000000003</v>
      </c>
      <c r="AA34" s="31"/>
      <c r="AB34" s="31">
        <f>226346.12/1000</f>
        <v>226.34611999999998</v>
      </c>
      <c r="AC34" s="31"/>
      <c r="AD34" s="31"/>
      <c r="AE34" s="31"/>
      <c r="AF34" s="193"/>
      <c r="AG34" s="34"/>
      <c r="AH34" s="27"/>
    </row>
    <row r="35" spans="1:34" s="26" customFormat="1" x14ac:dyDescent="0.25">
      <c r="A35" s="38" t="s">
        <v>31</v>
      </c>
      <c r="B35" s="29">
        <v>0</v>
      </c>
      <c r="C35" s="31">
        <v>0</v>
      </c>
      <c r="D35" s="31">
        <v>0</v>
      </c>
      <c r="E35" s="31">
        <v>0</v>
      </c>
      <c r="F35" s="37" t="e">
        <f t="shared" si="12"/>
        <v>#DIV/0!</v>
      </c>
      <c r="G35" s="37" t="e">
        <f t="shared" si="13"/>
        <v>#DIV/0!</v>
      </c>
      <c r="H35" s="29">
        <v>0</v>
      </c>
      <c r="I35" s="29">
        <v>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>
        <v>0</v>
      </c>
      <c r="AF35" s="33"/>
      <c r="AH35" s="27"/>
    </row>
    <row r="36" spans="1:34" s="26" customFormat="1" x14ac:dyDescent="0.25">
      <c r="A36" s="28" t="s">
        <v>32</v>
      </c>
      <c r="B36" s="29">
        <v>0</v>
      </c>
      <c r="C36" s="31">
        <v>0</v>
      </c>
      <c r="D36" s="31">
        <v>0</v>
      </c>
      <c r="E36" s="31"/>
      <c r="F36" s="37" t="e">
        <f t="shared" si="12"/>
        <v>#DIV/0!</v>
      </c>
      <c r="G36" s="37" t="e">
        <f t="shared" si="13"/>
        <v>#DIV/0!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33"/>
      <c r="AH36" s="27"/>
    </row>
    <row r="37" spans="1:34" s="26" customFormat="1" ht="42.75" customHeight="1" x14ac:dyDescent="0.25">
      <c r="A37" s="204" t="s">
        <v>41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6"/>
      <c r="AF37" s="191" t="s">
        <v>42</v>
      </c>
      <c r="AH37" s="27"/>
    </row>
    <row r="38" spans="1:34" s="26" customFormat="1" x14ac:dyDescent="0.25">
      <c r="A38" s="23" t="s">
        <v>27</v>
      </c>
      <c r="B38" s="24">
        <f>B41</f>
        <v>1887.942</v>
      </c>
      <c r="C38" s="24">
        <f>C41</f>
        <v>46.506239999999998</v>
      </c>
      <c r="D38" s="24">
        <f t="shared" ref="D38:AE38" si="15">D41</f>
        <v>46.506239999999998</v>
      </c>
      <c r="E38" s="24">
        <f t="shared" si="15"/>
        <v>26.240000000000002</v>
      </c>
      <c r="F38" s="35">
        <f t="shared" ref="F38:F43" si="16">E38/B38</f>
        <v>1.3898732058506036E-2</v>
      </c>
      <c r="G38" s="35">
        <f t="shared" ref="G38:G43" si="17">E38/C38</f>
        <v>0.56422535986568689</v>
      </c>
      <c r="H38" s="24">
        <f t="shared" si="15"/>
        <v>0</v>
      </c>
      <c r="I38" s="24">
        <f t="shared" si="15"/>
        <v>0</v>
      </c>
      <c r="J38" s="24">
        <f t="shared" si="15"/>
        <v>0</v>
      </c>
      <c r="K38" s="24">
        <f t="shared" si="15"/>
        <v>0</v>
      </c>
      <c r="L38" s="24">
        <f t="shared" si="15"/>
        <v>0</v>
      </c>
      <c r="M38" s="24">
        <f t="shared" si="15"/>
        <v>0</v>
      </c>
      <c r="N38" s="24">
        <f t="shared" si="15"/>
        <v>46.506239999999998</v>
      </c>
      <c r="O38" s="24">
        <f t="shared" si="15"/>
        <v>15.36</v>
      </c>
      <c r="P38" s="24">
        <f t="shared" si="15"/>
        <v>0</v>
      </c>
      <c r="Q38" s="24">
        <f t="shared" si="15"/>
        <v>10.88</v>
      </c>
      <c r="R38" s="24">
        <f t="shared" si="15"/>
        <v>631.60718000000008</v>
      </c>
      <c r="S38" s="24">
        <f t="shared" si="15"/>
        <v>0</v>
      </c>
      <c r="T38" s="24">
        <f t="shared" si="15"/>
        <v>603.48185999999998</v>
      </c>
      <c r="U38" s="24">
        <f t="shared" si="15"/>
        <v>0</v>
      </c>
      <c r="V38" s="24">
        <f t="shared" si="15"/>
        <v>606.34672</v>
      </c>
      <c r="W38" s="24">
        <f t="shared" si="15"/>
        <v>0</v>
      </c>
      <c r="X38" s="24">
        <f t="shared" si="15"/>
        <v>0</v>
      </c>
      <c r="Y38" s="24">
        <f t="shared" si="15"/>
        <v>0</v>
      </c>
      <c r="Z38" s="24">
        <f t="shared" si="15"/>
        <v>0</v>
      </c>
      <c r="AA38" s="24">
        <f t="shared" si="15"/>
        <v>0</v>
      </c>
      <c r="AB38" s="24">
        <f t="shared" si="15"/>
        <v>0</v>
      </c>
      <c r="AC38" s="24">
        <f t="shared" si="15"/>
        <v>0</v>
      </c>
      <c r="AD38" s="24">
        <f t="shared" si="15"/>
        <v>0</v>
      </c>
      <c r="AE38" s="54">
        <f t="shared" si="15"/>
        <v>0</v>
      </c>
      <c r="AF38" s="192"/>
      <c r="AG38" s="34"/>
      <c r="AH38" s="27"/>
    </row>
    <row r="39" spans="1:34" s="26" customFormat="1" x14ac:dyDescent="0.25">
      <c r="A39" s="28" t="s">
        <v>28</v>
      </c>
      <c r="B39" s="29">
        <v>0</v>
      </c>
      <c r="C39" s="29">
        <v>0</v>
      </c>
      <c r="D39" s="29">
        <v>0</v>
      </c>
      <c r="E39" s="29">
        <v>0</v>
      </c>
      <c r="F39" s="37" t="e">
        <f t="shared" si="16"/>
        <v>#DIV/0!</v>
      </c>
      <c r="G39" s="37" t="e">
        <f t="shared" si="17"/>
        <v>#DIV/0!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192"/>
      <c r="AH39" s="27"/>
    </row>
    <row r="40" spans="1:34" s="26" customFormat="1" ht="22.5" customHeight="1" x14ac:dyDescent="0.25">
      <c r="A40" s="28" t="s">
        <v>29</v>
      </c>
      <c r="B40" s="29">
        <f>H40+J40+L40+N40+P40+R40+T40+V40+X40+Z40+AB40+AD40</f>
        <v>0</v>
      </c>
      <c r="C40" s="31">
        <f>H40+J40+L40+N40</f>
        <v>0</v>
      </c>
      <c r="D40" s="31">
        <v>0</v>
      </c>
      <c r="E40" s="31">
        <f>I40+K40+M40+O40+Q40+S40+U40+W40+Y40+AA40+AC40+AE40</f>
        <v>0</v>
      </c>
      <c r="F40" s="37" t="e">
        <f t="shared" si="16"/>
        <v>#DIV/0!</v>
      </c>
      <c r="G40" s="37" t="e">
        <f t="shared" si="17"/>
        <v>#DIV/0!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192"/>
      <c r="AG40" s="34"/>
      <c r="AH40" s="27"/>
    </row>
    <row r="41" spans="1:34" s="26" customFormat="1" ht="19.5" customHeight="1" x14ac:dyDescent="0.25">
      <c r="A41" s="55" t="s">
        <v>30</v>
      </c>
      <c r="B41" s="29">
        <f>H41+J41+L41+N41+P41+R41+T41+V41+X41+Z41+AB41+AD41</f>
        <v>1887.942</v>
      </c>
      <c r="C41" s="31">
        <f>H41+J41+L41+N41+P41</f>
        <v>46.506239999999998</v>
      </c>
      <c r="D41" s="31">
        <f>C41</f>
        <v>46.506239999999998</v>
      </c>
      <c r="E41" s="31">
        <f>I41+K41+M41+O41+Q41+S41+U41+W41+Y41+AA41+AC41+AE41</f>
        <v>26.240000000000002</v>
      </c>
      <c r="F41" s="37">
        <f t="shared" si="16"/>
        <v>1.3898732058506036E-2</v>
      </c>
      <c r="G41" s="37">
        <f t="shared" si="17"/>
        <v>0.56422535986568689</v>
      </c>
      <c r="H41" s="36"/>
      <c r="I41" s="36"/>
      <c r="J41" s="36"/>
      <c r="K41" s="36"/>
      <c r="L41" s="31"/>
      <c r="M41" s="31"/>
      <c r="N41" s="31">
        <f>46506.24/1000</f>
        <v>46.506239999999998</v>
      </c>
      <c r="O41" s="31">
        <f>15360/1000</f>
        <v>15.36</v>
      </c>
      <c r="P41" s="31"/>
      <c r="Q41" s="31">
        <f>10880/1000</f>
        <v>10.88</v>
      </c>
      <c r="R41" s="31">
        <f>631607.18/1000</f>
        <v>631.60718000000008</v>
      </c>
      <c r="S41" s="31"/>
      <c r="T41" s="31">
        <f>603481.86/1000</f>
        <v>603.48185999999998</v>
      </c>
      <c r="U41" s="31"/>
      <c r="V41" s="31">
        <f>606346.72/1000</f>
        <v>606.34672</v>
      </c>
      <c r="W41" s="31"/>
      <c r="X41" s="31"/>
      <c r="Y41" s="31"/>
      <c r="Z41" s="31"/>
      <c r="AA41" s="31"/>
      <c r="AB41" s="31"/>
      <c r="AC41" s="31"/>
      <c r="AD41" s="31"/>
      <c r="AE41" s="31"/>
      <c r="AF41" s="192"/>
      <c r="AG41" s="56"/>
      <c r="AH41" s="57"/>
    </row>
    <row r="42" spans="1:34" s="26" customFormat="1" x14ac:dyDescent="0.25">
      <c r="A42" s="38" t="s">
        <v>31</v>
      </c>
      <c r="B42" s="29">
        <v>0</v>
      </c>
      <c r="C42" s="31">
        <v>0</v>
      </c>
      <c r="D42" s="31">
        <v>0</v>
      </c>
      <c r="E42" s="31">
        <v>0</v>
      </c>
      <c r="F42" s="37" t="e">
        <f t="shared" si="16"/>
        <v>#DIV/0!</v>
      </c>
      <c r="G42" s="37" t="e">
        <f t="shared" si="17"/>
        <v>#DIV/0!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192"/>
      <c r="AH42" s="27"/>
    </row>
    <row r="43" spans="1:34" s="26" customFormat="1" x14ac:dyDescent="0.25">
      <c r="A43" s="28" t="s">
        <v>32</v>
      </c>
      <c r="B43" s="29">
        <v>0</v>
      </c>
      <c r="C43" s="31">
        <v>0</v>
      </c>
      <c r="D43" s="31">
        <v>0</v>
      </c>
      <c r="E43" s="31">
        <v>0</v>
      </c>
      <c r="F43" s="37" t="e">
        <f t="shared" si="16"/>
        <v>#DIV/0!</v>
      </c>
      <c r="G43" s="37" t="e">
        <f t="shared" si="17"/>
        <v>#DIV/0!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192"/>
      <c r="AH43" s="27"/>
    </row>
    <row r="44" spans="1:34" s="42" customFormat="1" ht="24" hidden="1" customHeight="1" x14ac:dyDescent="0.25">
      <c r="A44" s="39" t="s">
        <v>35</v>
      </c>
      <c r="B44" s="58"/>
      <c r="C44" s="58"/>
      <c r="D44" s="58"/>
      <c r="E44" s="58"/>
      <c r="F44" s="59"/>
      <c r="G44" s="59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2"/>
      <c r="AF44" s="192"/>
    </row>
    <row r="45" spans="1:34" s="42" customFormat="1" ht="19.5" hidden="1" customHeight="1" x14ac:dyDescent="0.25">
      <c r="A45" s="43" t="s">
        <v>30</v>
      </c>
      <c r="B45" s="44">
        <f>H45+J45+L45+N45+P45+R45+T45+V45+X45+Z45+AB45+AD45</f>
        <v>0</v>
      </c>
      <c r="C45" s="47">
        <f>H45</f>
        <v>0</v>
      </c>
      <c r="D45" s="47"/>
      <c r="E45" s="47">
        <f>I45+K45+M45+O45+Q45+S45+U45+W45+Y45+AA45+AC45+AE45</f>
        <v>0</v>
      </c>
      <c r="F45" s="49" t="e">
        <f>E45/B45</f>
        <v>#DIV/0!</v>
      </c>
      <c r="G45" s="63" t="e">
        <f>E45/C45</f>
        <v>#DIV/0!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7"/>
      <c r="S45" s="47"/>
      <c r="T45" s="64"/>
      <c r="U45" s="47"/>
      <c r="V45" s="64"/>
      <c r="W45" s="47"/>
      <c r="X45" s="48"/>
      <c r="Y45" s="47"/>
      <c r="Z45" s="48"/>
      <c r="AA45" s="48"/>
      <c r="AB45" s="48"/>
      <c r="AC45" s="48"/>
      <c r="AD45" s="48"/>
      <c r="AE45" s="65"/>
      <c r="AF45" s="192"/>
    </row>
    <row r="46" spans="1:34" s="42" customFormat="1" ht="69.75" hidden="1" customHeight="1" x14ac:dyDescent="0.25">
      <c r="A46" s="39" t="s">
        <v>43</v>
      </c>
      <c r="B46" s="58"/>
      <c r="C46" s="58"/>
      <c r="D46" s="58"/>
      <c r="E46" s="58"/>
      <c r="F46" s="59"/>
      <c r="G46" s="59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0"/>
      <c r="Z46" s="60"/>
      <c r="AA46" s="60"/>
      <c r="AB46" s="60"/>
      <c r="AC46" s="60"/>
      <c r="AD46" s="60"/>
      <c r="AE46" s="66"/>
      <c r="AF46" s="192"/>
    </row>
    <row r="47" spans="1:34" s="42" customFormat="1" ht="27" hidden="1" customHeight="1" x14ac:dyDescent="0.25">
      <c r="A47" s="43" t="s">
        <v>30</v>
      </c>
      <c r="B47" s="44">
        <f>H47+J47+L47+N47+P47+R47+T47+V47+X47+Z47+AB47+AD47</f>
        <v>0</v>
      </c>
      <c r="C47" s="47">
        <f>H47</f>
        <v>0</v>
      </c>
      <c r="D47" s="47"/>
      <c r="E47" s="47">
        <f>I47+K47+M47+O47+Q47+S47+U47+W47+Y47+AA47+AC47+AE47</f>
        <v>0</v>
      </c>
      <c r="F47" s="49" t="e">
        <f>E47/B47</f>
        <v>#DIV/0!</v>
      </c>
      <c r="G47" s="49" t="e">
        <f>E47/C47</f>
        <v>#DIV/0!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8"/>
      <c r="Z47" s="48"/>
      <c r="AA47" s="48"/>
      <c r="AB47" s="48"/>
      <c r="AC47" s="48"/>
      <c r="AD47" s="48"/>
      <c r="AE47" s="65"/>
      <c r="AF47" s="193"/>
    </row>
    <row r="48" spans="1:34" s="26" customFormat="1" ht="47.25" hidden="1" customHeight="1" x14ac:dyDescent="0.25">
      <c r="A48" s="207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9"/>
      <c r="AF48" s="67"/>
      <c r="AH48" s="27"/>
    </row>
    <row r="49" spans="1:34" s="26" customFormat="1" hidden="1" x14ac:dyDescent="0.25">
      <c r="A49" s="23" t="s">
        <v>27</v>
      </c>
      <c r="B49" s="24">
        <f>B52</f>
        <v>0</v>
      </c>
      <c r="C49" s="24">
        <f t="shared" ref="C49:AE49" si="18">C52</f>
        <v>0</v>
      </c>
      <c r="D49" s="24">
        <f t="shared" si="18"/>
        <v>0</v>
      </c>
      <c r="E49" s="24">
        <f t="shared" si="18"/>
        <v>0</v>
      </c>
      <c r="F49" s="35">
        <f t="shared" si="18"/>
        <v>0</v>
      </c>
      <c r="G49" s="35">
        <f t="shared" si="18"/>
        <v>0</v>
      </c>
      <c r="H49" s="36">
        <f>H52</f>
        <v>0</v>
      </c>
      <c r="I49" s="36">
        <f>I52</f>
        <v>0</v>
      </c>
      <c r="J49" s="36">
        <f>J52</f>
        <v>0</v>
      </c>
      <c r="K49" s="36">
        <f t="shared" si="18"/>
        <v>0</v>
      </c>
      <c r="L49" s="36">
        <f t="shared" si="18"/>
        <v>0</v>
      </c>
      <c r="M49" s="36">
        <f t="shared" si="18"/>
        <v>0</v>
      </c>
      <c r="N49" s="36">
        <f t="shared" si="18"/>
        <v>0</v>
      </c>
      <c r="O49" s="36">
        <f t="shared" si="18"/>
        <v>0</v>
      </c>
      <c r="P49" s="36">
        <f t="shared" si="18"/>
        <v>0</v>
      </c>
      <c r="Q49" s="36">
        <f t="shared" si="18"/>
        <v>0</v>
      </c>
      <c r="R49" s="36">
        <f t="shared" si="18"/>
        <v>0</v>
      </c>
      <c r="S49" s="36">
        <f t="shared" si="18"/>
        <v>0</v>
      </c>
      <c r="T49" s="36">
        <f t="shared" si="18"/>
        <v>0</v>
      </c>
      <c r="U49" s="36">
        <f t="shared" si="18"/>
        <v>0</v>
      </c>
      <c r="V49" s="36">
        <f t="shared" si="18"/>
        <v>0</v>
      </c>
      <c r="W49" s="36">
        <f t="shared" si="18"/>
        <v>0</v>
      </c>
      <c r="X49" s="36">
        <f t="shared" si="18"/>
        <v>0</v>
      </c>
      <c r="Y49" s="36">
        <f t="shared" si="18"/>
        <v>0</v>
      </c>
      <c r="Z49" s="36">
        <f t="shared" si="18"/>
        <v>0</v>
      </c>
      <c r="AA49" s="36">
        <f t="shared" si="18"/>
        <v>0</v>
      </c>
      <c r="AB49" s="36">
        <f t="shared" si="18"/>
        <v>0</v>
      </c>
      <c r="AC49" s="36">
        <f t="shared" si="18"/>
        <v>0</v>
      </c>
      <c r="AD49" s="36">
        <f t="shared" si="18"/>
        <v>0</v>
      </c>
      <c r="AE49" s="68">
        <f t="shared" si="18"/>
        <v>0</v>
      </c>
      <c r="AF49" s="69"/>
      <c r="AH49" s="27"/>
    </row>
    <row r="50" spans="1:34" s="26" customFormat="1" hidden="1" x14ac:dyDescent="0.25">
      <c r="A50" s="28" t="s">
        <v>28</v>
      </c>
      <c r="B50" s="29"/>
      <c r="C50" s="29"/>
      <c r="D50" s="29"/>
      <c r="E50" s="29"/>
      <c r="F50" s="37" t="e">
        <f>E50/B50</f>
        <v>#DIV/0!</v>
      </c>
      <c r="G50" s="37" t="e">
        <f>E50/C50</f>
        <v>#DIV/0!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69"/>
      <c r="AH50" s="27"/>
    </row>
    <row r="51" spans="1:34" s="26" customFormat="1" hidden="1" x14ac:dyDescent="0.25">
      <c r="A51" s="28" t="s">
        <v>29</v>
      </c>
      <c r="B51" s="29">
        <f>H51+J51+L51+N51+P51+R51+T51+V51+X51+Z51+AB51+AD51</f>
        <v>0</v>
      </c>
      <c r="C51" s="31"/>
      <c r="D51" s="31"/>
      <c r="E51" s="31"/>
      <c r="F51" s="37" t="e">
        <f>E51/B51</f>
        <v>#DIV/0!</v>
      </c>
      <c r="G51" s="37" t="e">
        <f>E51/C51</f>
        <v>#DIV/0!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30"/>
      <c r="AH51" s="27"/>
    </row>
    <row r="52" spans="1:34" s="70" customFormat="1" ht="23.25" hidden="1" customHeight="1" x14ac:dyDescent="0.25">
      <c r="A52" s="28" t="s">
        <v>30</v>
      </c>
      <c r="B52" s="29">
        <f>H52+J52+L52+N52+P52+R52+T52+V52+X52+Z52+AB52+AD52</f>
        <v>0</v>
      </c>
      <c r="C52" s="31">
        <f>H52</f>
        <v>0</v>
      </c>
      <c r="D52" s="31">
        <f>H52+J52+L52+N52+P52+R52+T52+V52</f>
        <v>0</v>
      </c>
      <c r="E52" s="31">
        <f>I52+K52+M52+O52+Q52+S52+U52+W52+Y52+AA52+AC52+AE52</f>
        <v>0</v>
      </c>
      <c r="F52" s="37"/>
      <c r="G52" s="37"/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0"/>
      <c r="AH52" s="71"/>
    </row>
    <row r="53" spans="1:34" s="26" customFormat="1" hidden="1" x14ac:dyDescent="0.25">
      <c r="A53" s="38" t="s">
        <v>31</v>
      </c>
      <c r="B53" s="29"/>
      <c r="C53" s="31"/>
      <c r="D53" s="31"/>
      <c r="E53" s="31"/>
      <c r="F53" s="37" t="e">
        <f>E53/B53</f>
        <v>#DIV/0!</v>
      </c>
      <c r="G53" s="37" t="e">
        <f>E53/C53</f>
        <v>#DIV/0!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30"/>
      <c r="AH53" s="27"/>
    </row>
    <row r="54" spans="1:34" s="26" customFormat="1" hidden="1" x14ac:dyDescent="0.25">
      <c r="A54" s="28" t="s">
        <v>32</v>
      </c>
      <c r="B54" s="29"/>
      <c r="C54" s="31"/>
      <c r="D54" s="31"/>
      <c r="E54" s="31"/>
      <c r="F54" s="37" t="e">
        <f>E54/B54</f>
        <v>#DIV/0!</v>
      </c>
      <c r="G54" s="37" t="e">
        <f>E54/C54</f>
        <v>#DIV/0!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30"/>
      <c r="AH54" s="27"/>
    </row>
    <row r="55" spans="1:34" s="26" customFormat="1" ht="32.25" customHeight="1" x14ac:dyDescent="0.25">
      <c r="A55" s="72" t="s">
        <v>44</v>
      </c>
      <c r="B55" s="73">
        <f>B56+B57</f>
        <v>16265.959000000001</v>
      </c>
      <c r="C55" s="73">
        <f>C56+C57</f>
        <v>2000.68318</v>
      </c>
      <c r="D55" s="73">
        <f>D56+D57</f>
        <v>2000.0431799999999</v>
      </c>
      <c r="E55" s="73">
        <f t="shared" ref="E55:AC55" si="19">E56+E57</f>
        <v>1371.11688</v>
      </c>
      <c r="F55" s="74">
        <f>E55/B55</f>
        <v>8.4293639249920643E-2</v>
      </c>
      <c r="G55" s="74">
        <f>E55/C55</f>
        <v>0.68532434005867937</v>
      </c>
      <c r="H55" s="73">
        <f>H56+H57</f>
        <v>0</v>
      </c>
      <c r="I55" s="73">
        <f t="shared" si="19"/>
        <v>0</v>
      </c>
      <c r="J55" s="73">
        <f>J56+J57</f>
        <v>339.91197999999997</v>
      </c>
      <c r="K55" s="73">
        <f t="shared" si="19"/>
        <v>339.91197999999997</v>
      </c>
      <c r="L55" s="73">
        <f>L56+L57</f>
        <v>341.64854999999994</v>
      </c>
      <c r="M55" s="73">
        <f t="shared" si="19"/>
        <v>334.83928999999995</v>
      </c>
      <c r="N55" s="73">
        <f>N56+N57</f>
        <v>974.86321999999996</v>
      </c>
      <c r="O55" s="73">
        <f t="shared" si="19"/>
        <v>499.46415999999999</v>
      </c>
      <c r="P55" s="73">
        <f>P56+P57</f>
        <v>344.25942999999995</v>
      </c>
      <c r="Q55" s="73">
        <f t="shared" si="19"/>
        <v>196.90145000000001</v>
      </c>
      <c r="R55" s="73">
        <f>R56+R57</f>
        <v>4617.4226000000008</v>
      </c>
      <c r="S55" s="73">
        <f t="shared" si="19"/>
        <v>0</v>
      </c>
      <c r="T55" s="73">
        <f>T56+T57</f>
        <v>4335.4970300000004</v>
      </c>
      <c r="U55" s="73">
        <f t="shared" si="19"/>
        <v>0</v>
      </c>
      <c r="V55" s="73">
        <f>V56+V57</f>
        <v>3823.9170100000001</v>
      </c>
      <c r="W55" s="73">
        <f t="shared" si="19"/>
        <v>0</v>
      </c>
      <c r="X55" s="73">
        <f>X56+X57</f>
        <v>853.07153000000005</v>
      </c>
      <c r="Y55" s="73">
        <f t="shared" si="19"/>
        <v>0</v>
      </c>
      <c r="Z55" s="73">
        <f>Z56+Z57</f>
        <v>318.07153000000005</v>
      </c>
      <c r="AA55" s="73">
        <f t="shared" si="19"/>
        <v>0</v>
      </c>
      <c r="AB55" s="73">
        <f>AB56+AB57</f>
        <v>271.82112000000001</v>
      </c>
      <c r="AC55" s="73">
        <f t="shared" si="19"/>
        <v>0</v>
      </c>
      <c r="AD55" s="73">
        <f>AD56+AD57</f>
        <v>45.475000000000001</v>
      </c>
      <c r="AE55" s="73">
        <f>AE56+AE57</f>
        <v>0</v>
      </c>
      <c r="AF55" s="75"/>
      <c r="AG55" s="34"/>
      <c r="AH55" s="27"/>
    </row>
    <row r="56" spans="1:34" s="26" customFormat="1" ht="24" customHeight="1" x14ac:dyDescent="0.25">
      <c r="A56" s="76" t="s">
        <v>29</v>
      </c>
      <c r="B56" s="77">
        <f>B18+B33</f>
        <v>1958.1</v>
      </c>
      <c r="C56" s="77">
        <f>C18+C33</f>
        <v>144.44999999999999</v>
      </c>
      <c r="D56" s="77">
        <f>D18+D33</f>
        <v>143.81</v>
      </c>
      <c r="E56" s="77">
        <f>E18+E33</f>
        <v>143.81309999999999</v>
      </c>
      <c r="F56" s="78">
        <f>E56/B56</f>
        <v>7.3445227516470049E-2</v>
      </c>
      <c r="G56" s="78">
        <f>E56/C56</f>
        <v>0.99559086188992729</v>
      </c>
      <c r="H56" s="77">
        <f t="shared" ref="H56:AE56" si="20">H18+H33</f>
        <v>0</v>
      </c>
      <c r="I56" s="77">
        <f t="shared" si="20"/>
        <v>0</v>
      </c>
      <c r="J56" s="77">
        <f t="shared" si="20"/>
        <v>0</v>
      </c>
      <c r="K56" s="77">
        <f t="shared" si="20"/>
        <v>0</v>
      </c>
      <c r="L56" s="77">
        <f t="shared" si="20"/>
        <v>48.15</v>
      </c>
      <c r="M56" s="77">
        <f t="shared" si="20"/>
        <v>48.15</v>
      </c>
      <c r="N56" s="77">
        <f t="shared" si="20"/>
        <v>48.15</v>
      </c>
      <c r="O56" s="77">
        <f t="shared" si="20"/>
        <v>47.513100000000001</v>
      </c>
      <c r="P56" s="77">
        <f t="shared" si="20"/>
        <v>48.15</v>
      </c>
      <c r="Q56" s="77">
        <f t="shared" si="20"/>
        <v>48.15</v>
      </c>
      <c r="R56" s="77">
        <f t="shared" si="20"/>
        <v>45.475000000000001</v>
      </c>
      <c r="S56" s="77">
        <f t="shared" si="20"/>
        <v>0</v>
      </c>
      <c r="T56" s="77">
        <f t="shared" si="20"/>
        <v>561.75</v>
      </c>
      <c r="U56" s="77">
        <f t="shared" si="20"/>
        <v>0</v>
      </c>
      <c r="V56" s="77">
        <f t="shared" si="20"/>
        <v>535</v>
      </c>
      <c r="W56" s="77">
        <f t="shared" si="20"/>
        <v>0</v>
      </c>
      <c r="X56" s="77">
        <f t="shared" si="20"/>
        <v>535</v>
      </c>
      <c r="Y56" s="77">
        <f t="shared" si="20"/>
        <v>0</v>
      </c>
      <c r="Z56" s="77">
        <f t="shared" si="20"/>
        <v>45.475000000000001</v>
      </c>
      <c r="AA56" s="77">
        <f t="shared" si="20"/>
        <v>0</v>
      </c>
      <c r="AB56" s="77">
        <f t="shared" si="20"/>
        <v>45.475000000000001</v>
      </c>
      <c r="AC56" s="77">
        <f t="shared" si="20"/>
        <v>0</v>
      </c>
      <c r="AD56" s="77">
        <f t="shared" si="20"/>
        <v>45.475000000000001</v>
      </c>
      <c r="AE56" s="77">
        <f t="shared" si="20"/>
        <v>0</v>
      </c>
      <c r="AF56" s="79"/>
      <c r="AG56" s="34"/>
      <c r="AH56" s="27"/>
    </row>
    <row r="57" spans="1:34" s="26" customFormat="1" ht="24" customHeight="1" x14ac:dyDescent="0.25">
      <c r="A57" s="80" t="s">
        <v>30</v>
      </c>
      <c r="B57" s="81">
        <f>B19+B34+B41+B52</f>
        <v>14307.859</v>
      </c>
      <c r="C57" s="81">
        <f>C19+C34+C41+C52</f>
        <v>1856.2331799999999</v>
      </c>
      <c r="D57" s="81">
        <f>D19+D34+D41+D52</f>
        <v>1856.2331799999999</v>
      </c>
      <c r="E57" s="81">
        <f>E19+E34+E41+E52</f>
        <v>1227.30378</v>
      </c>
      <c r="F57" s="82">
        <f>E57/B57</f>
        <v>8.5778297088334454E-2</v>
      </c>
      <c r="G57" s="82">
        <f>E57/C57</f>
        <v>0.66117974466979412</v>
      </c>
      <c r="H57" s="81">
        <f t="shared" ref="H57:AE57" si="21">H19+H34+H41+H52</f>
        <v>0</v>
      </c>
      <c r="I57" s="81">
        <f t="shared" si="21"/>
        <v>0</v>
      </c>
      <c r="J57" s="81">
        <f t="shared" si="21"/>
        <v>339.91197999999997</v>
      </c>
      <c r="K57" s="81">
        <f t="shared" si="21"/>
        <v>339.91197999999997</v>
      </c>
      <c r="L57" s="81">
        <f t="shared" si="21"/>
        <v>293.49854999999997</v>
      </c>
      <c r="M57" s="81">
        <f t="shared" si="21"/>
        <v>286.68928999999997</v>
      </c>
      <c r="N57" s="81">
        <f t="shared" si="21"/>
        <v>926.71321999999998</v>
      </c>
      <c r="O57" s="81">
        <f t="shared" si="21"/>
        <v>451.95105999999998</v>
      </c>
      <c r="P57" s="81">
        <f t="shared" si="21"/>
        <v>296.10942999999997</v>
      </c>
      <c r="Q57" s="81">
        <f t="shared" si="21"/>
        <v>148.75145000000001</v>
      </c>
      <c r="R57" s="81">
        <f t="shared" si="21"/>
        <v>4571.9476000000004</v>
      </c>
      <c r="S57" s="81">
        <f t="shared" si="21"/>
        <v>0</v>
      </c>
      <c r="T57" s="81">
        <f t="shared" si="21"/>
        <v>3773.74703</v>
      </c>
      <c r="U57" s="81">
        <f t="shared" si="21"/>
        <v>0</v>
      </c>
      <c r="V57" s="81">
        <f t="shared" si="21"/>
        <v>3288.9170100000001</v>
      </c>
      <c r="W57" s="81">
        <f t="shared" si="21"/>
        <v>0</v>
      </c>
      <c r="X57" s="81">
        <f t="shared" si="21"/>
        <v>318.07153000000005</v>
      </c>
      <c r="Y57" s="81">
        <f t="shared" si="21"/>
        <v>0</v>
      </c>
      <c r="Z57" s="81">
        <f t="shared" si="21"/>
        <v>272.59653000000003</v>
      </c>
      <c r="AA57" s="81">
        <f t="shared" si="21"/>
        <v>0</v>
      </c>
      <c r="AB57" s="81">
        <f t="shared" si="21"/>
        <v>226.34611999999998</v>
      </c>
      <c r="AC57" s="81">
        <f t="shared" si="21"/>
        <v>0</v>
      </c>
      <c r="AD57" s="81">
        <f t="shared" si="21"/>
        <v>0</v>
      </c>
      <c r="AE57" s="81">
        <f t="shared" si="21"/>
        <v>0</v>
      </c>
      <c r="AF57" s="83"/>
      <c r="AG57" s="34"/>
      <c r="AH57" s="27"/>
    </row>
    <row r="58" spans="1:34" s="26" customFormat="1" ht="42.75" customHeight="1" x14ac:dyDescent="0.25">
      <c r="A58" s="210" t="s">
        <v>67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2"/>
      <c r="AF58" s="84"/>
      <c r="AH58" s="27"/>
    </row>
    <row r="59" spans="1:34" s="26" customFormat="1" ht="26.25" customHeight="1" x14ac:dyDescent="0.25">
      <c r="A59" s="85" t="s">
        <v>45</v>
      </c>
      <c r="B59" s="86"/>
      <c r="C59" s="87"/>
      <c r="D59" s="87"/>
      <c r="E59" s="87"/>
      <c r="F59" s="88"/>
      <c r="G59" s="88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9"/>
      <c r="AF59" s="191" t="s">
        <v>46</v>
      </c>
      <c r="AG59" s="34"/>
      <c r="AH59" s="27"/>
    </row>
    <row r="60" spans="1:34" s="26" customFormat="1" ht="26.25" customHeight="1" x14ac:dyDescent="0.25">
      <c r="A60" s="90" t="s">
        <v>36</v>
      </c>
      <c r="B60" s="24">
        <f>B61+B62</f>
        <v>3180.1000000000004</v>
      </c>
      <c r="C60" s="24">
        <f>C61+C62</f>
        <v>325.37599999999998</v>
      </c>
      <c r="D60" s="24">
        <f t="shared" ref="D60:E60" si="22">D61+D62</f>
        <v>271.99199999999996</v>
      </c>
      <c r="E60" s="24">
        <f t="shared" si="22"/>
        <v>61.47</v>
      </c>
      <c r="F60" s="88">
        <f>E60/B60</f>
        <v>1.9329580830791483E-2</v>
      </c>
      <c r="G60" s="88">
        <f>E60/C60</f>
        <v>0.18891989575137688</v>
      </c>
      <c r="H60" s="87">
        <f>H61+H62</f>
        <v>0</v>
      </c>
      <c r="I60" s="87">
        <f t="shared" ref="I60:AE60" si="23">I61+I62</f>
        <v>0</v>
      </c>
      <c r="J60" s="87">
        <f t="shared" si="23"/>
        <v>0</v>
      </c>
      <c r="K60" s="87">
        <f t="shared" si="23"/>
        <v>0</v>
      </c>
      <c r="L60" s="87">
        <f t="shared" si="23"/>
        <v>0</v>
      </c>
      <c r="M60" s="87">
        <f t="shared" si="23"/>
        <v>0</v>
      </c>
      <c r="N60" s="87">
        <f t="shared" si="23"/>
        <v>63.941000000000003</v>
      </c>
      <c r="O60" s="87">
        <f t="shared" si="23"/>
        <v>0</v>
      </c>
      <c r="P60" s="87">
        <f t="shared" si="23"/>
        <v>261.435</v>
      </c>
      <c r="Q60" s="87">
        <f t="shared" si="23"/>
        <v>61.47</v>
      </c>
      <c r="R60" s="87">
        <f t="shared" si="23"/>
        <v>550.93600000000004</v>
      </c>
      <c r="S60" s="87">
        <f t="shared" si="23"/>
        <v>0</v>
      </c>
      <c r="T60" s="87">
        <f t="shared" si="23"/>
        <v>738.36799999999994</v>
      </c>
      <c r="U60" s="87">
        <f t="shared" si="23"/>
        <v>0</v>
      </c>
      <c r="V60" s="87">
        <f t="shared" si="23"/>
        <v>698.17200000000003</v>
      </c>
      <c r="W60" s="87">
        <f t="shared" si="23"/>
        <v>0</v>
      </c>
      <c r="X60" s="87">
        <f t="shared" si="23"/>
        <v>324.04700000000003</v>
      </c>
      <c r="Y60" s="87">
        <f t="shared" si="23"/>
        <v>0</v>
      </c>
      <c r="Z60" s="87">
        <f t="shared" si="23"/>
        <v>468.899</v>
      </c>
      <c r="AA60" s="87">
        <f t="shared" si="23"/>
        <v>0</v>
      </c>
      <c r="AB60" s="87">
        <f t="shared" si="23"/>
        <v>74.302000000000007</v>
      </c>
      <c r="AC60" s="87">
        <f t="shared" si="23"/>
        <v>0</v>
      </c>
      <c r="AD60" s="87">
        <f t="shared" si="23"/>
        <v>0</v>
      </c>
      <c r="AE60" s="87">
        <f t="shared" si="23"/>
        <v>0</v>
      </c>
      <c r="AF60" s="192"/>
      <c r="AH60" s="27"/>
    </row>
    <row r="61" spans="1:34" s="26" customFormat="1" ht="21.75" customHeight="1" x14ac:dyDescent="0.25">
      <c r="A61" s="28" t="s">
        <v>29</v>
      </c>
      <c r="B61" s="29">
        <f>H61+J61+L61+N61+P61+R61+T61+V61+X61+Z61+AB61+AD61</f>
        <v>674.4</v>
      </c>
      <c r="C61" s="31">
        <f>H61+J61+L61+N61+P61</f>
        <v>53.384</v>
      </c>
      <c r="D61" s="31"/>
      <c r="E61" s="31">
        <f>I61+K61+M61+O61+Q61+S61+U61+W61+Y61+AA61+AC61+AE61</f>
        <v>0</v>
      </c>
      <c r="F61" s="37">
        <f>E61/B61</f>
        <v>0</v>
      </c>
      <c r="G61" s="37">
        <f>E61/C61</f>
        <v>0</v>
      </c>
      <c r="H61" s="52"/>
      <c r="I61" s="52"/>
      <c r="J61" s="52"/>
      <c r="K61" s="52"/>
      <c r="L61" s="52"/>
      <c r="M61" s="52"/>
      <c r="N61" s="52"/>
      <c r="O61" s="52"/>
      <c r="P61" s="52">
        <f>53384/1000</f>
        <v>53.384</v>
      </c>
      <c r="Q61" s="52"/>
      <c r="R61" s="52">
        <f>154544/1000</f>
        <v>154.54400000000001</v>
      </c>
      <c r="S61" s="52"/>
      <c r="T61" s="52">
        <f>137684/1000</f>
        <v>137.684</v>
      </c>
      <c r="U61" s="52"/>
      <c r="V61" s="52">
        <f>137684/1000</f>
        <v>137.684</v>
      </c>
      <c r="W61" s="52"/>
      <c r="X61" s="52">
        <f>103964/1000</f>
        <v>103.964</v>
      </c>
      <c r="Y61" s="52"/>
      <c r="Z61" s="52">
        <f>87140/1000</f>
        <v>87.14</v>
      </c>
      <c r="AA61" s="52"/>
      <c r="AB61" s="52"/>
      <c r="AC61" s="52"/>
      <c r="AD61" s="52"/>
      <c r="AE61" s="52"/>
      <c r="AF61" s="192"/>
      <c r="AH61" s="27"/>
    </row>
    <row r="62" spans="1:34" s="26" customFormat="1" ht="153" customHeight="1" x14ac:dyDescent="0.25">
      <c r="A62" s="28" t="s">
        <v>30</v>
      </c>
      <c r="B62" s="29">
        <f>H62+J62+L62+N62+P62+R62+T62+V62+X62+Z62+AB62+AD62</f>
        <v>2505.7000000000003</v>
      </c>
      <c r="C62" s="31">
        <f>H62+J62+L62+N62+P62</f>
        <v>271.99199999999996</v>
      </c>
      <c r="D62" s="31">
        <f>C62</f>
        <v>271.99199999999996</v>
      </c>
      <c r="E62" s="31">
        <f>I62+K62+M62+O62+Q62+S62+U62+W62+Y62+AA62+AC62+AE62</f>
        <v>61.47</v>
      </c>
      <c r="F62" s="37">
        <f>E62/B62</f>
        <v>2.4532066887496505E-2</v>
      </c>
      <c r="G62" s="37">
        <f>E62/C62</f>
        <v>0.22599929409688524</v>
      </c>
      <c r="H62" s="52"/>
      <c r="I62" s="52"/>
      <c r="J62" s="52"/>
      <c r="K62" s="52"/>
      <c r="L62" s="52"/>
      <c r="M62" s="52"/>
      <c r="N62" s="52">
        <f>63941/1000</f>
        <v>63.941000000000003</v>
      </c>
      <c r="O62" s="52"/>
      <c r="P62" s="52">
        <f>208051/1000</f>
        <v>208.05099999999999</v>
      </c>
      <c r="Q62" s="52">
        <v>61.47</v>
      </c>
      <c r="R62" s="52">
        <f>396392/1000</f>
        <v>396.392</v>
      </c>
      <c r="S62" s="52"/>
      <c r="T62" s="52">
        <f>600684/1000</f>
        <v>600.68399999999997</v>
      </c>
      <c r="U62" s="52"/>
      <c r="V62" s="52">
        <f>560488/1000</f>
        <v>560.48800000000006</v>
      </c>
      <c r="W62" s="52"/>
      <c r="X62" s="52">
        <f>220083/1000</f>
        <v>220.083</v>
      </c>
      <c r="Y62" s="52"/>
      <c r="Z62" s="52">
        <f>381759/1000</f>
        <v>381.75900000000001</v>
      </c>
      <c r="AA62" s="52"/>
      <c r="AB62" s="52">
        <f>74302/1000</f>
        <v>74.302000000000007</v>
      </c>
      <c r="AC62" s="52"/>
      <c r="AD62" s="52"/>
      <c r="AE62" s="52"/>
      <c r="AF62" s="192"/>
      <c r="AH62" s="27"/>
    </row>
    <row r="63" spans="1:34" s="26" customFormat="1" ht="22.5" customHeight="1" x14ac:dyDescent="0.25">
      <c r="A63" s="91" t="s">
        <v>47</v>
      </c>
      <c r="B63" s="92"/>
      <c r="C63" s="92"/>
      <c r="D63" s="92"/>
      <c r="E63" s="92"/>
      <c r="F63" s="93"/>
      <c r="G63" s="93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191" t="s">
        <v>48</v>
      </c>
      <c r="AG63" s="34"/>
      <c r="AH63" s="27"/>
    </row>
    <row r="64" spans="1:34" s="26" customFormat="1" ht="22.5" customHeight="1" x14ac:dyDescent="0.25">
      <c r="A64" s="90" t="s">
        <v>36</v>
      </c>
      <c r="B64" s="24">
        <f>B65+B66</f>
        <v>828.5</v>
      </c>
      <c r="C64" s="24">
        <f t="shared" ref="C64:E64" si="24">C65+C66</f>
        <v>405.48569999999995</v>
      </c>
      <c r="D64" s="24">
        <f t="shared" si="24"/>
        <v>387.19027999999997</v>
      </c>
      <c r="E64" s="24">
        <f t="shared" si="24"/>
        <v>320.77</v>
      </c>
      <c r="F64" s="35">
        <f>E64/B64</f>
        <v>0.38716958358479175</v>
      </c>
      <c r="G64" s="35">
        <f>E64/C64</f>
        <v>0.79107598615684849</v>
      </c>
      <c r="H64" s="94">
        <f>H65+H66</f>
        <v>32.01952</v>
      </c>
      <c r="I64" s="94">
        <f t="shared" ref="I64:AD64" si="25">I65+I66</f>
        <v>10.93</v>
      </c>
      <c r="J64" s="94">
        <f>J65+J66</f>
        <v>123.66184000000001</v>
      </c>
      <c r="K64" s="94">
        <f t="shared" si="25"/>
        <v>83.05</v>
      </c>
      <c r="L64" s="94">
        <f t="shared" si="25"/>
        <v>87.858400000000017</v>
      </c>
      <c r="M64" s="94">
        <f t="shared" si="25"/>
        <v>127.49</v>
      </c>
      <c r="N64" s="94">
        <f t="shared" si="25"/>
        <v>82.823310000000021</v>
      </c>
      <c r="O64" s="94">
        <f t="shared" si="25"/>
        <v>69.490000000000009</v>
      </c>
      <c r="P64" s="94">
        <f t="shared" si="25"/>
        <v>79.122630000000001</v>
      </c>
      <c r="Q64" s="94">
        <f>Q65+Q66</f>
        <v>29.81</v>
      </c>
      <c r="R64" s="94">
        <f t="shared" si="25"/>
        <v>83.237110000000001</v>
      </c>
      <c r="S64" s="94">
        <f t="shared" si="25"/>
        <v>0</v>
      </c>
      <c r="T64" s="94">
        <f t="shared" si="25"/>
        <v>60.926530000000007</v>
      </c>
      <c r="U64" s="94">
        <f t="shared" si="25"/>
        <v>0</v>
      </c>
      <c r="V64" s="94">
        <f t="shared" si="25"/>
        <v>0</v>
      </c>
      <c r="W64" s="94">
        <f t="shared" si="25"/>
        <v>0</v>
      </c>
      <c r="X64" s="94">
        <f t="shared" si="25"/>
        <v>82.385279999999995</v>
      </c>
      <c r="Y64" s="94">
        <f t="shared" si="25"/>
        <v>0</v>
      </c>
      <c r="Z64" s="94">
        <f t="shared" si="25"/>
        <v>79.981060000000014</v>
      </c>
      <c r="AA64" s="94">
        <f t="shared" si="25"/>
        <v>0</v>
      </c>
      <c r="AB64" s="94">
        <f t="shared" si="25"/>
        <v>77.682929999999999</v>
      </c>
      <c r="AC64" s="94">
        <f t="shared" si="25"/>
        <v>0</v>
      </c>
      <c r="AD64" s="94">
        <f t="shared" si="25"/>
        <v>38.801389999999998</v>
      </c>
      <c r="AE64" s="94">
        <f>AE65+AE66</f>
        <v>0</v>
      </c>
      <c r="AF64" s="192"/>
      <c r="AG64" s="34"/>
      <c r="AH64" s="27"/>
    </row>
    <row r="65" spans="1:34" s="26" customFormat="1" ht="21.75" customHeight="1" x14ac:dyDescent="0.25">
      <c r="A65" s="28" t="s">
        <v>29</v>
      </c>
      <c r="B65" s="29">
        <f>H65+J65+L65+N65+P65+R65+T65+V65+X65+Z65+AB65+AD65</f>
        <v>168.60000000000008</v>
      </c>
      <c r="C65" s="31">
        <f>H65+J65+L65+N65+P65</f>
        <v>67.439960000000013</v>
      </c>
      <c r="D65" s="31">
        <f>49144.54/1000</f>
        <v>49.144539999999999</v>
      </c>
      <c r="E65" s="31">
        <f>I65+K65+M65+O65+Q65+S65+U65+W65+Y65+AA65+AC65+AE65</f>
        <v>49.14</v>
      </c>
      <c r="F65" s="37">
        <f>E65/B65</f>
        <v>0.29145907473309596</v>
      </c>
      <c r="G65" s="37">
        <f>E65/C65</f>
        <v>0.72864811900837412</v>
      </c>
      <c r="H65" s="52"/>
      <c r="I65" s="52"/>
      <c r="J65" s="52">
        <f>16859.99/1000</f>
        <v>16.859990000000003</v>
      </c>
      <c r="K65" s="52"/>
      <c r="L65" s="52">
        <f>16859.99/1000</f>
        <v>16.859990000000003</v>
      </c>
      <c r="M65" s="52">
        <v>32.28</v>
      </c>
      <c r="N65" s="52">
        <f>16859.99/1000</f>
        <v>16.859990000000003</v>
      </c>
      <c r="O65" s="52">
        <v>16.86</v>
      </c>
      <c r="P65" s="52">
        <f>16859.99/1000</f>
        <v>16.859990000000003</v>
      </c>
      <c r="Q65" s="52">
        <v>0</v>
      </c>
      <c r="R65" s="52">
        <f>16859.99/1000</f>
        <v>16.859990000000003</v>
      </c>
      <c r="S65" s="52"/>
      <c r="T65" s="52">
        <f>16859.99/1000</f>
        <v>16.859990000000003</v>
      </c>
      <c r="U65" s="52"/>
      <c r="V65" s="52"/>
      <c r="W65" s="52"/>
      <c r="X65" s="52">
        <f>16859.99/1000</f>
        <v>16.859990000000003</v>
      </c>
      <c r="Y65" s="52"/>
      <c r="Z65" s="52">
        <f>16859.99/1000</f>
        <v>16.859990000000003</v>
      </c>
      <c r="AA65" s="52"/>
      <c r="AB65" s="52">
        <f>16859.99/1000</f>
        <v>16.859990000000003</v>
      </c>
      <c r="AC65" s="52"/>
      <c r="AD65" s="52">
        <f>16860.09/1000</f>
        <v>16.86009</v>
      </c>
      <c r="AE65" s="52"/>
      <c r="AF65" s="192"/>
      <c r="AG65" s="34"/>
      <c r="AH65" s="27"/>
    </row>
    <row r="66" spans="1:34" s="26" customFormat="1" ht="107.25" customHeight="1" x14ac:dyDescent="0.25">
      <c r="A66" s="28" t="s">
        <v>30</v>
      </c>
      <c r="B66" s="29">
        <f>H66+J66+L66+N66+P66+R66+T66+V66+X66+Z66+AB66+AD66</f>
        <v>659.9</v>
      </c>
      <c r="C66" s="31">
        <f>H66+J66+L66+N66+P66</f>
        <v>338.04573999999997</v>
      </c>
      <c r="D66" s="31">
        <f>C66</f>
        <v>338.04573999999997</v>
      </c>
      <c r="E66" s="31">
        <f>I66+K66+M66+O66+Q66+S66+U66+W66+Y66+AA66+AC66+AE66</f>
        <v>271.63</v>
      </c>
      <c r="F66" s="37">
        <f>E66/B66</f>
        <v>0.4116229731777542</v>
      </c>
      <c r="G66" s="37">
        <f>E66/C66</f>
        <v>0.80353031515794293</v>
      </c>
      <c r="H66" s="52">
        <f>32019.52/1000</f>
        <v>32.01952</v>
      </c>
      <c r="I66" s="52">
        <v>10.93</v>
      </c>
      <c r="J66" s="52">
        <f>106801.85/1000</f>
        <v>106.80185</v>
      </c>
      <c r="K66" s="52">
        <v>83.05</v>
      </c>
      <c r="L66" s="52">
        <f>70998.41/1000</f>
        <v>70.998410000000007</v>
      </c>
      <c r="M66" s="52">
        <f>95.21</f>
        <v>95.21</v>
      </c>
      <c r="N66" s="52">
        <f>65963.32/1000</f>
        <v>65.96332000000001</v>
      </c>
      <c r="O66" s="52">
        <v>52.63</v>
      </c>
      <c r="P66" s="52">
        <f>62262.64/1000</f>
        <v>62.262639999999998</v>
      </c>
      <c r="Q66" s="52">
        <v>29.81</v>
      </c>
      <c r="R66" s="52">
        <f>66377.12/1000</f>
        <v>66.377119999999991</v>
      </c>
      <c r="S66" s="52"/>
      <c r="T66" s="52">
        <f>44066.54/1000</f>
        <v>44.066540000000003</v>
      </c>
      <c r="U66" s="52"/>
      <c r="V66" s="52"/>
      <c r="W66" s="52"/>
      <c r="X66" s="52">
        <f>65525.29/1000</f>
        <v>65.525289999999998</v>
      </c>
      <c r="Y66" s="52"/>
      <c r="Z66" s="52">
        <f>63121.07/1000</f>
        <v>63.121070000000003</v>
      </c>
      <c r="AA66" s="52"/>
      <c r="AB66" s="52">
        <f>60822.94/1000</f>
        <v>60.822940000000003</v>
      </c>
      <c r="AC66" s="52"/>
      <c r="AD66" s="52">
        <f>21941.3/1000</f>
        <v>21.941299999999998</v>
      </c>
      <c r="AE66" s="52"/>
      <c r="AF66" s="192"/>
      <c r="AH66" s="27"/>
    </row>
    <row r="67" spans="1:34" s="26" customFormat="1" ht="22.5" customHeight="1" x14ac:dyDescent="0.25">
      <c r="A67" s="91" t="s">
        <v>49</v>
      </c>
      <c r="B67" s="92"/>
      <c r="C67" s="92"/>
      <c r="D67" s="92"/>
      <c r="E67" s="92"/>
      <c r="F67" s="93"/>
      <c r="G67" s="93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213"/>
      <c r="AH67" s="27"/>
    </row>
    <row r="68" spans="1:34" s="26" customFormat="1" ht="15.75" customHeight="1" x14ac:dyDescent="0.25">
      <c r="A68" s="90" t="s">
        <v>36</v>
      </c>
      <c r="B68" s="24">
        <f>B70+B69</f>
        <v>0</v>
      </c>
      <c r="C68" s="24">
        <f>C70+C69</f>
        <v>0</v>
      </c>
      <c r="D68" s="24">
        <f>D70+D69</f>
        <v>0</v>
      </c>
      <c r="E68" s="24">
        <f>E70+E69</f>
        <v>0</v>
      </c>
      <c r="F68" s="35" t="e">
        <f t="shared" ref="F68:F79" si="26">E68/B68</f>
        <v>#DIV/0!</v>
      </c>
      <c r="G68" s="35" t="e">
        <f t="shared" ref="G68:G79" si="27">E68/C68</f>
        <v>#DIV/0!</v>
      </c>
      <c r="H68" s="36">
        <f>H69+H70</f>
        <v>0</v>
      </c>
      <c r="I68" s="36">
        <f t="shared" ref="I68:AE68" si="28">I69+I70</f>
        <v>0</v>
      </c>
      <c r="J68" s="36">
        <f t="shared" si="28"/>
        <v>0</v>
      </c>
      <c r="K68" s="36">
        <f t="shared" si="28"/>
        <v>0</v>
      </c>
      <c r="L68" s="36">
        <f t="shared" si="28"/>
        <v>0</v>
      </c>
      <c r="M68" s="36">
        <f t="shared" si="28"/>
        <v>0</v>
      </c>
      <c r="N68" s="36">
        <f t="shared" si="28"/>
        <v>0</v>
      </c>
      <c r="O68" s="36">
        <f t="shared" si="28"/>
        <v>0</v>
      </c>
      <c r="P68" s="36">
        <f t="shared" si="28"/>
        <v>0</v>
      </c>
      <c r="Q68" s="36">
        <f t="shared" si="28"/>
        <v>0</v>
      </c>
      <c r="R68" s="36">
        <f t="shared" si="28"/>
        <v>0</v>
      </c>
      <c r="S68" s="36">
        <f t="shared" si="28"/>
        <v>0</v>
      </c>
      <c r="T68" s="36">
        <f t="shared" si="28"/>
        <v>0</v>
      </c>
      <c r="U68" s="36">
        <f t="shared" si="28"/>
        <v>0</v>
      </c>
      <c r="V68" s="36">
        <f t="shared" si="28"/>
        <v>0</v>
      </c>
      <c r="W68" s="36">
        <f t="shared" si="28"/>
        <v>0</v>
      </c>
      <c r="X68" s="36">
        <f t="shared" si="28"/>
        <v>0</v>
      </c>
      <c r="Y68" s="36">
        <f t="shared" si="28"/>
        <v>0</v>
      </c>
      <c r="Z68" s="36">
        <f t="shared" si="28"/>
        <v>0</v>
      </c>
      <c r="AA68" s="36">
        <f t="shared" si="28"/>
        <v>0</v>
      </c>
      <c r="AB68" s="36">
        <f t="shared" si="28"/>
        <v>0</v>
      </c>
      <c r="AC68" s="36">
        <f t="shared" si="28"/>
        <v>0</v>
      </c>
      <c r="AD68" s="36">
        <f t="shared" si="28"/>
        <v>0</v>
      </c>
      <c r="AE68" s="36">
        <f t="shared" si="28"/>
        <v>0</v>
      </c>
      <c r="AF68" s="214"/>
      <c r="AH68" s="27"/>
    </row>
    <row r="69" spans="1:34" s="26" customFormat="1" ht="21.75" customHeight="1" x14ac:dyDescent="0.25">
      <c r="A69" s="28" t="s">
        <v>29</v>
      </c>
      <c r="B69" s="29">
        <f>H69+J69+L69+N69+P69+R69+T69+V69+X69+Z69+AB69+AD69</f>
        <v>0</v>
      </c>
      <c r="C69" s="31">
        <f>H69+J69</f>
        <v>0</v>
      </c>
      <c r="D69" s="31"/>
      <c r="E69" s="31">
        <f>I69+K69+M69+O69+Q69+S69+U69+W69+Y69+AA69+AC69+AE69</f>
        <v>0</v>
      </c>
      <c r="F69" s="37" t="e">
        <f t="shared" si="26"/>
        <v>#DIV/0!</v>
      </c>
      <c r="G69" s="37" t="e">
        <f t="shared" si="27"/>
        <v>#DIV/0!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>
        <v>0</v>
      </c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214"/>
      <c r="AH69" s="27"/>
    </row>
    <row r="70" spans="1:34" s="26" customFormat="1" ht="22.5" customHeight="1" x14ac:dyDescent="0.25">
      <c r="A70" s="28" t="s">
        <v>30</v>
      </c>
      <c r="B70" s="29">
        <f>H70+J70+L70+N70+P70+R70+T70+V70+X70+Z70+AB70+AD70</f>
        <v>0</v>
      </c>
      <c r="C70" s="31">
        <f>H70+J70</f>
        <v>0</v>
      </c>
      <c r="D70" s="31">
        <f>C70</f>
        <v>0</v>
      </c>
      <c r="E70" s="31">
        <f>I70+K70+M70+O70+Q70+S70+U70+W70+Y70+AA70+AC70+AE70</f>
        <v>0</v>
      </c>
      <c r="F70" s="37" t="e">
        <f t="shared" si="26"/>
        <v>#DIV/0!</v>
      </c>
      <c r="G70" s="37" t="e">
        <f t="shared" si="27"/>
        <v>#DIV/0!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>
        <v>0</v>
      </c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214"/>
      <c r="AH70" s="27"/>
    </row>
    <row r="71" spans="1:34" s="26" customFormat="1" ht="21.75" customHeight="1" x14ac:dyDescent="0.3">
      <c r="A71" s="95" t="s">
        <v>68</v>
      </c>
      <c r="B71" s="24">
        <f>B72+B73</f>
        <v>4008.6000000000004</v>
      </c>
      <c r="C71" s="24">
        <f>C73+C72</f>
        <v>730.86170000000004</v>
      </c>
      <c r="D71" s="24">
        <f>D73+D72</f>
        <v>659.18227999999999</v>
      </c>
      <c r="E71" s="24">
        <f>E73+E72</f>
        <v>382.24</v>
      </c>
      <c r="F71" s="35">
        <f t="shared" si="26"/>
        <v>9.5354986778426382E-2</v>
      </c>
      <c r="G71" s="35">
        <f t="shared" si="27"/>
        <v>0.52299908450531751</v>
      </c>
      <c r="H71" s="36">
        <f t="shared" ref="H71:AE71" si="29">H73+H72</f>
        <v>32.01952</v>
      </c>
      <c r="I71" s="36">
        <f t="shared" si="29"/>
        <v>10.93</v>
      </c>
      <c r="J71" s="36">
        <f t="shared" si="29"/>
        <v>123.66184000000001</v>
      </c>
      <c r="K71" s="36">
        <f t="shared" si="29"/>
        <v>83.05</v>
      </c>
      <c r="L71" s="36">
        <f t="shared" si="29"/>
        <v>87.858400000000017</v>
      </c>
      <c r="M71" s="36">
        <f t="shared" si="29"/>
        <v>127.49</v>
      </c>
      <c r="N71" s="36">
        <f t="shared" si="29"/>
        <v>146.76431000000002</v>
      </c>
      <c r="O71" s="36">
        <f t="shared" si="29"/>
        <v>69.490000000000009</v>
      </c>
      <c r="P71" s="36">
        <f t="shared" si="29"/>
        <v>340.55762999999996</v>
      </c>
      <c r="Q71" s="36">
        <f t="shared" si="29"/>
        <v>91.28</v>
      </c>
      <c r="R71" s="36">
        <f t="shared" si="29"/>
        <v>634.17310999999995</v>
      </c>
      <c r="S71" s="36">
        <f t="shared" si="29"/>
        <v>0</v>
      </c>
      <c r="T71" s="36">
        <f t="shared" si="29"/>
        <v>799.29453000000001</v>
      </c>
      <c r="U71" s="36">
        <f t="shared" si="29"/>
        <v>0</v>
      </c>
      <c r="V71" s="36">
        <f t="shared" si="29"/>
        <v>698.17200000000003</v>
      </c>
      <c r="W71" s="36">
        <f t="shared" si="29"/>
        <v>0</v>
      </c>
      <c r="X71" s="36">
        <f t="shared" si="29"/>
        <v>406.43227999999999</v>
      </c>
      <c r="Y71" s="36">
        <f t="shared" si="29"/>
        <v>0</v>
      </c>
      <c r="Z71" s="36">
        <f t="shared" si="29"/>
        <v>548.88006000000007</v>
      </c>
      <c r="AA71" s="36">
        <f t="shared" si="29"/>
        <v>0</v>
      </c>
      <c r="AB71" s="36">
        <f t="shared" si="29"/>
        <v>151.98493000000002</v>
      </c>
      <c r="AC71" s="36">
        <f t="shared" si="29"/>
        <v>0</v>
      </c>
      <c r="AD71" s="36">
        <f t="shared" si="29"/>
        <v>38.801389999999998</v>
      </c>
      <c r="AE71" s="36">
        <f t="shared" si="29"/>
        <v>0</v>
      </c>
      <c r="AF71" s="25"/>
      <c r="AG71" s="34"/>
      <c r="AH71" s="27"/>
    </row>
    <row r="72" spans="1:34" s="26" customFormat="1" ht="28.5" customHeight="1" x14ac:dyDescent="0.25">
      <c r="A72" s="55" t="s">
        <v>29</v>
      </c>
      <c r="B72" s="96">
        <f t="shared" ref="B72:E73" si="30">B69+B65+B61</f>
        <v>843</v>
      </c>
      <c r="C72" s="96">
        <f>C69+C65+C61</f>
        <v>120.82396000000001</v>
      </c>
      <c r="D72" s="96">
        <f t="shared" si="30"/>
        <v>49.144539999999999</v>
      </c>
      <c r="E72" s="96">
        <f t="shared" si="30"/>
        <v>49.14</v>
      </c>
      <c r="F72" s="97">
        <f t="shared" si="26"/>
        <v>5.8291814946619218E-2</v>
      </c>
      <c r="G72" s="96">
        <f t="shared" si="27"/>
        <v>0.406707411344571</v>
      </c>
      <c r="H72" s="96">
        <f>H69+H65+H61</f>
        <v>0</v>
      </c>
      <c r="I72" s="96">
        <f t="shared" ref="I72:AE73" si="31">I69+I65+I61</f>
        <v>0</v>
      </c>
      <c r="J72" s="96">
        <f t="shared" si="31"/>
        <v>16.859990000000003</v>
      </c>
      <c r="K72" s="96">
        <f t="shared" si="31"/>
        <v>0</v>
      </c>
      <c r="L72" s="96">
        <f t="shared" si="31"/>
        <v>16.859990000000003</v>
      </c>
      <c r="M72" s="96">
        <f t="shared" si="31"/>
        <v>32.28</v>
      </c>
      <c r="N72" s="96">
        <f t="shared" si="31"/>
        <v>16.859990000000003</v>
      </c>
      <c r="O72" s="96">
        <f t="shared" si="31"/>
        <v>16.86</v>
      </c>
      <c r="P72" s="96">
        <f t="shared" si="31"/>
        <v>70.243989999999997</v>
      </c>
      <c r="Q72" s="96">
        <f t="shared" si="31"/>
        <v>0</v>
      </c>
      <c r="R72" s="96">
        <f t="shared" si="31"/>
        <v>171.40399000000002</v>
      </c>
      <c r="S72" s="96">
        <f t="shared" si="31"/>
        <v>0</v>
      </c>
      <c r="T72" s="96">
        <f t="shared" si="31"/>
        <v>154.54399000000001</v>
      </c>
      <c r="U72" s="96">
        <f t="shared" si="31"/>
        <v>0</v>
      </c>
      <c r="V72" s="96">
        <f t="shared" si="31"/>
        <v>137.684</v>
      </c>
      <c r="W72" s="96">
        <f t="shared" si="31"/>
        <v>0</v>
      </c>
      <c r="X72" s="96">
        <f t="shared" si="31"/>
        <v>120.82399000000001</v>
      </c>
      <c r="Y72" s="96">
        <f t="shared" si="31"/>
        <v>0</v>
      </c>
      <c r="Z72" s="96">
        <f t="shared" si="31"/>
        <v>103.99999</v>
      </c>
      <c r="AA72" s="96">
        <f t="shared" si="31"/>
        <v>0</v>
      </c>
      <c r="AB72" s="96">
        <f t="shared" si="31"/>
        <v>16.859990000000003</v>
      </c>
      <c r="AC72" s="96">
        <f t="shared" si="31"/>
        <v>0</v>
      </c>
      <c r="AD72" s="96">
        <f t="shared" si="31"/>
        <v>16.86009</v>
      </c>
      <c r="AE72" s="96">
        <f t="shared" si="31"/>
        <v>0</v>
      </c>
      <c r="AF72" s="96"/>
      <c r="AG72" s="98"/>
      <c r="AH72" s="27"/>
    </row>
    <row r="73" spans="1:34" s="70" customFormat="1" ht="26.25" customHeight="1" x14ac:dyDescent="0.25">
      <c r="A73" s="55" t="s">
        <v>30</v>
      </c>
      <c r="B73" s="96">
        <f t="shared" si="30"/>
        <v>3165.6000000000004</v>
      </c>
      <c r="C73" s="96">
        <f t="shared" si="30"/>
        <v>610.03773999999999</v>
      </c>
      <c r="D73" s="96">
        <f t="shared" si="30"/>
        <v>610.03773999999999</v>
      </c>
      <c r="E73" s="96">
        <f>E70+E66+E62</f>
        <v>333.1</v>
      </c>
      <c r="F73" s="99">
        <f t="shared" si="26"/>
        <v>0.10522491786707101</v>
      </c>
      <c r="G73" s="99">
        <f t="shared" si="27"/>
        <v>0.54603179141015112</v>
      </c>
      <c r="H73" s="96">
        <f>H70+H66+H62</f>
        <v>32.01952</v>
      </c>
      <c r="I73" s="96">
        <f t="shared" si="31"/>
        <v>10.93</v>
      </c>
      <c r="J73" s="96">
        <f t="shared" si="31"/>
        <v>106.80185</v>
      </c>
      <c r="K73" s="96">
        <f t="shared" si="31"/>
        <v>83.05</v>
      </c>
      <c r="L73" s="96">
        <f t="shared" si="31"/>
        <v>70.998410000000007</v>
      </c>
      <c r="M73" s="96">
        <f t="shared" si="31"/>
        <v>95.21</v>
      </c>
      <c r="N73" s="96">
        <f t="shared" si="31"/>
        <v>129.90432000000001</v>
      </c>
      <c r="O73" s="96">
        <f t="shared" si="31"/>
        <v>52.63</v>
      </c>
      <c r="P73" s="96">
        <f t="shared" si="31"/>
        <v>270.31363999999996</v>
      </c>
      <c r="Q73" s="96">
        <f t="shared" si="31"/>
        <v>91.28</v>
      </c>
      <c r="R73" s="96">
        <f t="shared" si="31"/>
        <v>462.76911999999999</v>
      </c>
      <c r="S73" s="96">
        <f t="shared" si="31"/>
        <v>0</v>
      </c>
      <c r="T73" s="96">
        <f t="shared" si="31"/>
        <v>644.75054</v>
      </c>
      <c r="U73" s="96">
        <f t="shared" si="31"/>
        <v>0</v>
      </c>
      <c r="V73" s="96">
        <f t="shared" si="31"/>
        <v>560.48800000000006</v>
      </c>
      <c r="W73" s="96">
        <f t="shared" si="31"/>
        <v>0</v>
      </c>
      <c r="X73" s="96">
        <f t="shared" si="31"/>
        <v>285.60829000000001</v>
      </c>
      <c r="Y73" s="96">
        <f t="shared" si="31"/>
        <v>0</v>
      </c>
      <c r="Z73" s="96">
        <f t="shared" si="31"/>
        <v>444.88007000000005</v>
      </c>
      <c r="AA73" s="96">
        <f t="shared" si="31"/>
        <v>0</v>
      </c>
      <c r="AB73" s="96">
        <f t="shared" si="31"/>
        <v>135.12494000000001</v>
      </c>
      <c r="AC73" s="96">
        <f t="shared" si="31"/>
        <v>0</v>
      </c>
      <c r="AD73" s="96">
        <f t="shared" si="31"/>
        <v>21.941299999999998</v>
      </c>
      <c r="AE73" s="96">
        <f t="shared" si="31"/>
        <v>0</v>
      </c>
      <c r="AF73" s="100"/>
      <c r="AG73" s="98"/>
      <c r="AH73" s="71"/>
    </row>
    <row r="74" spans="1:34" s="105" customFormat="1" ht="33" x14ac:dyDescent="0.25">
      <c r="A74" s="101" t="s">
        <v>50</v>
      </c>
      <c r="B74" s="102">
        <f>B76+B77</f>
        <v>20274.559000000001</v>
      </c>
      <c r="C74" s="102">
        <f>C76+C77</f>
        <v>2731.5448799999999</v>
      </c>
      <c r="D74" s="102">
        <f t="shared" ref="D74" si="32">D76+D77</f>
        <v>2659.2254600000001</v>
      </c>
      <c r="E74" s="102">
        <f>E76+E77</f>
        <v>1753.35688</v>
      </c>
      <c r="F74" s="103">
        <f t="shared" si="26"/>
        <v>8.6480642069699271E-2</v>
      </c>
      <c r="G74" s="103">
        <f t="shared" si="27"/>
        <v>0.64189202704954273</v>
      </c>
      <c r="H74" s="102">
        <f t="shared" ref="H74:AE74" si="33">H76+H77</f>
        <v>32.01952</v>
      </c>
      <c r="I74" s="102">
        <f t="shared" si="33"/>
        <v>10.93</v>
      </c>
      <c r="J74" s="102">
        <f t="shared" si="33"/>
        <v>463.57381999999996</v>
      </c>
      <c r="K74" s="102">
        <f t="shared" si="33"/>
        <v>422.96197999999998</v>
      </c>
      <c r="L74" s="102">
        <f t="shared" si="33"/>
        <v>429.50694999999996</v>
      </c>
      <c r="M74" s="102">
        <f t="shared" si="33"/>
        <v>462.32928999999996</v>
      </c>
      <c r="N74" s="102">
        <f t="shared" si="33"/>
        <v>1121.62753</v>
      </c>
      <c r="O74" s="102">
        <f t="shared" si="33"/>
        <v>568.95416</v>
      </c>
      <c r="P74" s="102">
        <f t="shared" si="33"/>
        <v>684.81705999999997</v>
      </c>
      <c r="Q74" s="102">
        <f t="shared" si="33"/>
        <v>288.18144999999998</v>
      </c>
      <c r="R74" s="102">
        <f t="shared" si="33"/>
        <v>5251.5957100000005</v>
      </c>
      <c r="S74" s="102">
        <f t="shared" si="33"/>
        <v>0</v>
      </c>
      <c r="T74" s="102">
        <f t="shared" si="33"/>
        <v>5134.7915599999997</v>
      </c>
      <c r="U74" s="102">
        <f t="shared" si="33"/>
        <v>0</v>
      </c>
      <c r="V74" s="102">
        <f t="shared" si="33"/>
        <v>4522.0890100000006</v>
      </c>
      <c r="W74" s="102">
        <f t="shared" si="33"/>
        <v>0</v>
      </c>
      <c r="X74" s="102">
        <f t="shared" si="33"/>
        <v>1259.5038100000002</v>
      </c>
      <c r="Y74" s="102">
        <f t="shared" si="33"/>
        <v>0</v>
      </c>
      <c r="Z74" s="102">
        <f t="shared" si="33"/>
        <v>866.95159000000012</v>
      </c>
      <c r="AA74" s="102">
        <f t="shared" si="33"/>
        <v>0</v>
      </c>
      <c r="AB74" s="102">
        <f t="shared" si="33"/>
        <v>423.80604999999997</v>
      </c>
      <c r="AC74" s="102">
        <f t="shared" si="33"/>
        <v>0</v>
      </c>
      <c r="AD74" s="102">
        <f t="shared" si="33"/>
        <v>84.276389999999992</v>
      </c>
      <c r="AE74" s="102">
        <f t="shared" si="33"/>
        <v>0</v>
      </c>
      <c r="AF74" s="104"/>
      <c r="AH74" s="106"/>
    </row>
    <row r="75" spans="1:34" s="26" customFormat="1" x14ac:dyDescent="0.25">
      <c r="A75" s="28" t="s">
        <v>28</v>
      </c>
      <c r="B75" s="31">
        <f t="shared" ref="B75:E79" si="34">B10</f>
        <v>0</v>
      </c>
      <c r="C75" s="31">
        <f t="shared" si="34"/>
        <v>0</v>
      </c>
      <c r="D75" s="31">
        <f t="shared" si="34"/>
        <v>0</v>
      </c>
      <c r="E75" s="31">
        <f t="shared" si="34"/>
        <v>0</v>
      </c>
      <c r="F75" s="37" t="e">
        <f t="shared" si="26"/>
        <v>#DIV/0!</v>
      </c>
      <c r="G75" s="37" t="e">
        <f t="shared" si="27"/>
        <v>#DIV/0!</v>
      </c>
      <c r="H75" s="31">
        <f t="shared" ref="H75:AE79" si="35">H10</f>
        <v>0</v>
      </c>
      <c r="I75" s="31">
        <f t="shared" si="35"/>
        <v>0</v>
      </c>
      <c r="J75" s="31">
        <f t="shared" si="35"/>
        <v>0</v>
      </c>
      <c r="K75" s="31">
        <f t="shared" si="35"/>
        <v>0</v>
      </c>
      <c r="L75" s="31">
        <f t="shared" si="35"/>
        <v>0</v>
      </c>
      <c r="M75" s="31">
        <f t="shared" si="35"/>
        <v>0</v>
      </c>
      <c r="N75" s="31">
        <f t="shared" si="35"/>
        <v>0</v>
      </c>
      <c r="O75" s="31">
        <f t="shared" si="35"/>
        <v>0</v>
      </c>
      <c r="P75" s="31">
        <f t="shared" si="35"/>
        <v>0</v>
      </c>
      <c r="Q75" s="31">
        <f t="shared" si="35"/>
        <v>0</v>
      </c>
      <c r="R75" s="31">
        <f t="shared" si="35"/>
        <v>0</v>
      </c>
      <c r="S75" s="31">
        <f t="shared" si="35"/>
        <v>0</v>
      </c>
      <c r="T75" s="31">
        <f t="shared" si="35"/>
        <v>0</v>
      </c>
      <c r="U75" s="31">
        <f t="shared" si="35"/>
        <v>0</v>
      </c>
      <c r="V75" s="31">
        <f t="shared" si="35"/>
        <v>0</v>
      </c>
      <c r="W75" s="31">
        <f t="shared" si="35"/>
        <v>0</v>
      </c>
      <c r="X75" s="31">
        <f t="shared" si="35"/>
        <v>0</v>
      </c>
      <c r="Y75" s="31">
        <f t="shared" si="35"/>
        <v>0</v>
      </c>
      <c r="Z75" s="31">
        <f t="shared" si="35"/>
        <v>0</v>
      </c>
      <c r="AA75" s="31">
        <f t="shared" si="35"/>
        <v>0</v>
      </c>
      <c r="AB75" s="31">
        <f t="shared" si="35"/>
        <v>0</v>
      </c>
      <c r="AC75" s="31">
        <f t="shared" si="35"/>
        <v>0</v>
      </c>
      <c r="AD75" s="31">
        <f t="shared" si="35"/>
        <v>0</v>
      </c>
      <c r="AE75" s="31">
        <f t="shared" si="35"/>
        <v>0</v>
      </c>
      <c r="AF75" s="30"/>
      <c r="AH75" s="27"/>
    </row>
    <row r="76" spans="1:34" s="26" customFormat="1" x14ac:dyDescent="0.25">
      <c r="A76" s="28" t="s">
        <v>29</v>
      </c>
      <c r="B76" s="31">
        <f t="shared" si="34"/>
        <v>2801.1</v>
      </c>
      <c r="C76" s="31">
        <f t="shared" si="34"/>
        <v>265.27395999999999</v>
      </c>
      <c r="D76" s="31">
        <f t="shared" si="34"/>
        <v>192.95454000000001</v>
      </c>
      <c r="E76" s="31">
        <f t="shared" si="34"/>
        <v>192.95310000000001</v>
      </c>
      <c r="F76" s="37">
        <f t="shared" si="26"/>
        <v>6.8884759558744776E-2</v>
      </c>
      <c r="G76" s="37">
        <f t="shared" si="27"/>
        <v>0.72737293928133773</v>
      </c>
      <c r="H76" s="31">
        <f t="shared" si="35"/>
        <v>0</v>
      </c>
      <c r="I76" s="31">
        <f t="shared" si="35"/>
        <v>0</v>
      </c>
      <c r="J76" s="31">
        <f t="shared" si="35"/>
        <v>16.859990000000003</v>
      </c>
      <c r="K76" s="31">
        <f t="shared" si="35"/>
        <v>0</v>
      </c>
      <c r="L76" s="31">
        <f t="shared" si="35"/>
        <v>65.009990000000002</v>
      </c>
      <c r="M76" s="31">
        <f t="shared" si="35"/>
        <v>80.430000000000007</v>
      </c>
      <c r="N76" s="31">
        <f t="shared" si="35"/>
        <v>65.009990000000002</v>
      </c>
      <c r="O76" s="31">
        <f t="shared" si="35"/>
        <v>64.373099999999994</v>
      </c>
      <c r="P76" s="31">
        <f t="shared" si="35"/>
        <v>118.39399</v>
      </c>
      <c r="Q76" s="31">
        <f t="shared" si="35"/>
        <v>48.15</v>
      </c>
      <c r="R76" s="31">
        <f t="shared" si="35"/>
        <v>216.87899000000002</v>
      </c>
      <c r="S76" s="31">
        <f t="shared" si="35"/>
        <v>0</v>
      </c>
      <c r="T76" s="31">
        <f t="shared" si="35"/>
        <v>716.29399000000001</v>
      </c>
      <c r="U76" s="31">
        <f t="shared" si="35"/>
        <v>0</v>
      </c>
      <c r="V76" s="31">
        <f t="shared" si="35"/>
        <v>672.68399999999997</v>
      </c>
      <c r="W76" s="31">
        <f t="shared" si="35"/>
        <v>0</v>
      </c>
      <c r="X76" s="31">
        <f t="shared" si="35"/>
        <v>655.82398999999998</v>
      </c>
      <c r="Y76" s="31">
        <f t="shared" si="35"/>
        <v>0</v>
      </c>
      <c r="Z76" s="31">
        <f t="shared" si="35"/>
        <v>149.47498999999999</v>
      </c>
      <c r="AA76" s="31">
        <f t="shared" si="35"/>
        <v>0</v>
      </c>
      <c r="AB76" s="31">
        <f t="shared" si="35"/>
        <v>62.334990000000005</v>
      </c>
      <c r="AC76" s="31">
        <f t="shared" si="35"/>
        <v>0</v>
      </c>
      <c r="AD76" s="31">
        <f t="shared" si="35"/>
        <v>62.335090000000001</v>
      </c>
      <c r="AE76" s="31">
        <f t="shared" si="35"/>
        <v>0</v>
      </c>
      <c r="AF76" s="30"/>
      <c r="AH76" s="27"/>
    </row>
    <row r="77" spans="1:34" s="26" customFormat="1" x14ac:dyDescent="0.25">
      <c r="A77" s="28" t="s">
        <v>30</v>
      </c>
      <c r="B77" s="31">
        <f t="shared" si="34"/>
        <v>17473.459000000003</v>
      </c>
      <c r="C77" s="31">
        <f t="shared" si="34"/>
        <v>2466.2709199999999</v>
      </c>
      <c r="D77" s="31">
        <f t="shared" si="34"/>
        <v>2466.2709199999999</v>
      </c>
      <c r="E77" s="31">
        <f t="shared" si="34"/>
        <v>1560.4037800000001</v>
      </c>
      <c r="F77" s="37">
        <f t="shared" si="26"/>
        <v>8.930136729081517E-2</v>
      </c>
      <c r="G77" s="37">
        <f t="shared" si="27"/>
        <v>0.63269763566769877</v>
      </c>
      <c r="H77" s="31">
        <f t="shared" si="35"/>
        <v>32.01952</v>
      </c>
      <c r="I77" s="31">
        <f t="shared" si="35"/>
        <v>10.93</v>
      </c>
      <c r="J77" s="31">
        <f t="shared" si="35"/>
        <v>446.71382999999997</v>
      </c>
      <c r="K77" s="31">
        <f t="shared" si="35"/>
        <v>422.96197999999998</v>
      </c>
      <c r="L77" s="31">
        <f t="shared" si="35"/>
        <v>364.49695999999994</v>
      </c>
      <c r="M77" s="31">
        <f t="shared" si="35"/>
        <v>381.89928999999995</v>
      </c>
      <c r="N77" s="31">
        <f t="shared" si="35"/>
        <v>1056.61754</v>
      </c>
      <c r="O77" s="31">
        <f t="shared" si="35"/>
        <v>504.58105999999998</v>
      </c>
      <c r="P77" s="31">
        <f t="shared" si="35"/>
        <v>566.42306999999994</v>
      </c>
      <c r="Q77" s="31">
        <f t="shared" si="35"/>
        <v>240.03145000000001</v>
      </c>
      <c r="R77" s="31">
        <f t="shared" si="35"/>
        <v>5034.7167200000004</v>
      </c>
      <c r="S77" s="31">
        <f t="shared" si="35"/>
        <v>0</v>
      </c>
      <c r="T77" s="31">
        <f t="shared" si="35"/>
        <v>4418.4975699999995</v>
      </c>
      <c r="U77" s="31">
        <f t="shared" si="35"/>
        <v>0</v>
      </c>
      <c r="V77" s="31">
        <f t="shared" si="35"/>
        <v>3849.4050100000004</v>
      </c>
      <c r="W77" s="31">
        <f t="shared" si="35"/>
        <v>0</v>
      </c>
      <c r="X77" s="31">
        <f t="shared" si="35"/>
        <v>603.67982000000006</v>
      </c>
      <c r="Y77" s="31">
        <f t="shared" si="35"/>
        <v>0</v>
      </c>
      <c r="Z77" s="31">
        <f t="shared" si="35"/>
        <v>717.47660000000008</v>
      </c>
      <c r="AA77" s="31">
        <f t="shared" si="35"/>
        <v>0</v>
      </c>
      <c r="AB77" s="31">
        <f t="shared" si="35"/>
        <v>361.47105999999997</v>
      </c>
      <c r="AC77" s="31">
        <f t="shared" si="35"/>
        <v>0</v>
      </c>
      <c r="AD77" s="31">
        <f t="shared" si="35"/>
        <v>21.941299999999998</v>
      </c>
      <c r="AE77" s="31">
        <f t="shared" si="35"/>
        <v>0</v>
      </c>
      <c r="AF77" s="30"/>
      <c r="AH77" s="27"/>
    </row>
    <row r="78" spans="1:34" s="26" customFormat="1" x14ac:dyDescent="0.25">
      <c r="A78" s="38" t="s">
        <v>31</v>
      </c>
      <c r="B78" s="31">
        <f t="shared" si="34"/>
        <v>0</v>
      </c>
      <c r="C78" s="31">
        <f t="shared" si="34"/>
        <v>0</v>
      </c>
      <c r="D78" s="31">
        <f t="shared" si="34"/>
        <v>0</v>
      </c>
      <c r="E78" s="31">
        <f t="shared" si="34"/>
        <v>0</v>
      </c>
      <c r="F78" s="37" t="e">
        <f t="shared" si="26"/>
        <v>#DIV/0!</v>
      </c>
      <c r="G78" s="37" t="e">
        <f t="shared" si="27"/>
        <v>#DIV/0!</v>
      </c>
      <c r="H78" s="31">
        <f t="shared" si="35"/>
        <v>0</v>
      </c>
      <c r="I78" s="31">
        <f t="shared" si="35"/>
        <v>0</v>
      </c>
      <c r="J78" s="31">
        <f t="shared" si="35"/>
        <v>0</v>
      </c>
      <c r="K78" s="31">
        <f t="shared" si="35"/>
        <v>0</v>
      </c>
      <c r="L78" s="31">
        <f t="shared" si="35"/>
        <v>0</v>
      </c>
      <c r="M78" s="31">
        <f t="shared" si="35"/>
        <v>0</v>
      </c>
      <c r="N78" s="31">
        <f t="shared" si="35"/>
        <v>0</v>
      </c>
      <c r="O78" s="31">
        <f t="shared" si="35"/>
        <v>0</v>
      </c>
      <c r="P78" s="31">
        <f t="shared" si="35"/>
        <v>0</v>
      </c>
      <c r="Q78" s="31">
        <f t="shared" si="35"/>
        <v>0</v>
      </c>
      <c r="R78" s="31">
        <f t="shared" si="35"/>
        <v>0</v>
      </c>
      <c r="S78" s="31">
        <f t="shared" si="35"/>
        <v>0</v>
      </c>
      <c r="T78" s="31">
        <f t="shared" si="35"/>
        <v>0</v>
      </c>
      <c r="U78" s="31">
        <f t="shared" si="35"/>
        <v>0</v>
      </c>
      <c r="V78" s="31">
        <f t="shared" si="35"/>
        <v>0</v>
      </c>
      <c r="W78" s="31">
        <f t="shared" si="35"/>
        <v>0</v>
      </c>
      <c r="X78" s="31">
        <f t="shared" si="35"/>
        <v>0</v>
      </c>
      <c r="Y78" s="31">
        <f t="shared" si="35"/>
        <v>0</v>
      </c>
      <c r="Z78" s="31">
        <f t="shared" si="35"/>
        <v>0</v>
      </c>
      <c r="AA78" s="31">
        <f t="shared" si="35"/>
        <v>0</v>
      </c>
      <c r="AB78" s="31">
        <f t="shared" si="35"/>
        <v>0</v>
      </c>
      <c r="AC78" s="31">
        <f t="shared" si="35"/>
        <v>0</v>
      </c>
      <c r="AD78" s="31">
        <f t="shared" si="35"/>
        <v>0</v>
      </c>
      <c r="AE78" s="31">
        <f t="shared" si="35"/>
        <v>0</v>
      </c>
      <c r="AF78" s="33"/>
      <c r="AH78" s="27"/>
    </row>
    <row r="79" spans="1:34" s="26" customFormat="1" x14ac:dyDescent="0.25">
      <c r="A79" s="28" t="s">
        <v>32</v>
      </c>
      <c r="B79" s="31">
        <f t="shared" si="34"/>
        <v>0</v>
      </c>
      <c r="C79" s="31">
        <f t="shared" si="34"/>
        <v>0</v>
      </c>
      <c r="D79" s="31">
        <f t="shared" si="34"/>
        <v>0</v>
      </c>
      <c r="E79" s="31">
        <f t="shared" si="34"/>
        <v>0</v>
      </c>
      <c r="F79" s="37" t="e">
        <f t="shared" si="26"/>
        <v>#DIV/0!</v>
      </c>
      <c r="G79" s="37" t="e">
        <f t="shared" si="27"/>
        <v>#DIV/0!</v>
      </c>
      <c r="H79" s="31">
        <f t="shared" si="35"/>
        <v>0</v>
      </c>
      <c r="I79" s="31">
        <f t="shared" si="35"/>
        <v>0</v>
      </c>
      <c r="J79" s="31">
        <f t="shared" si="35"/>
        <v>0</v>
      </c>
      <c r="K79" s="31">
        <f t="shared" si="35"/>
        <v>0</v>
      </c>
      <c r="L79" s="31">
        <f t="shared" si="35"/>
        <v>0</v>
      </c>
      <c r="M79" s="31">
        <f t="shared" si="35"/>
        <v>0</v>
      </c>
      <c r="N79" s="31">
        <f t="shared" si="35"/>
        <v>0</v>
      </c>
      <c r="O79" s="31">
        <f t="shared" si="35"/>
        <v>0</v>
      </c>
      <c r="P79" s="31">
        <f t="shared" si="35"/>
        <v>0</v>
      </c>
      <c r="Q79" s="31">
        <f t="shared" si="35"/>
        <v>0</v>
      </c>
      <c r="R79" s="31">
        <f t="shared" si="35"/>
        <v>0</v>
      </c>
      <c r="S79" s="31">
        <f t="shared" si="35"/>
        <v>0</v>
      </c>
      <c r="T79" s="31">
        <f t="shared" si="35"/>
        <v>0</v>
      </c>
      <c r="U79" s="31">
        <f t="shared" si="35"/>
        <v>0</v>
      </c>
      <c r="V79" s="31">
        <f t="shared" si="35"/>
        <v>0</v>
      </c>
      <c r="W79" s="31">
        <f t="shared" si="35"/>
        <v>0</v>
      </c>
      <c r="X79" s="31">
        <f t="shared" si="35"/>
        <v>0</v>
      </c>
      <c r="Y79" s="31">
        <f t="shared" si="35"/>
        <v>0</v>
      </c>
      <c r="Z79" s="31">
        <f t="shared" si="35"/>
        <v>0</v>
      </c>
      <c r="AA79" s="31">
        <f t="shared" si="35"/>
        <v>0</v>
      </c>
      <c r="AB79" s="31">
        <f t="shared" si="35"/>
        <v>0</v>
      </c>
      <c r="AC79" s="31">
        <f t="shared" si="35"/>
        <v>0</v>
      </c>
      <c r="AD79" s="31">
        <f t="shared" si="35"/>
        <v>0</v>
      </c>
      <c r="AE79" s="31">
        <f t="shared" si="35"/>
        <v>0</v>
      </c>
      <c r="AF79" s="107"/>
      <c r="AH79" s="27"/>
    </row>
    <row r="80" spans="1:34" s="26" customFormat="1" ht="27.75" customHeight="1" x14ac:dyDescent="0.25">
      <c r="A80" s="175" t="s">
        <v>51</v>
      </c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7"/>
      <c r="AE80" s="108"/>
      <c r="AF80" s="107"/>
      <c r="AH80" s="27"/>
    </row>
    <row r="81" spans="1:34" s="110" customFormat="1" ht="27.75" customHeight="1" x14ac:dyDescent="0.25">
      <c r="A81" s="178" t="s">
        <v>70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80"/>
      <c r="AF81" s="109"/>
      <c r="AH81" s="111"/>
    </row>
    <row r="82" spans="1:34" s="26" customFormat="1" ht="210" customHeight="1" x14ac:dyDescent="0.25">
      <c r="A82" s="112" t="s">
        <v>27</v>
      </c>
      <c r="B82" s="24">
        <f>B84</f>
        <v>3190.7999999999993</v>
      </c>
      <c r="C82" s="24">
        <f t="shared" ref="C82:AD82" si="36">C84</f>
        <v>1463.18111</v>
      </c>
      <c r="D82" s="24">
        <f>D84</f>
        <v>1614.4</v>
      </c>
      <c r="E82" s="24">
        <f t="shared" si="36"/>
        <v>1338.8036799999998</v>
      </c>
      <c r="F82" s="35">
        <f t="shared" ref="F82:F92" si="37">E82/B82</f>
        <v>0.41958244954243451</v>
      </c>
      <c r="G82" s="35">
        <f t="shared" ref="G82:G92" si="38">E82/C82</f>
        <v>0.91499519153852371</v>
      </c>
      <c r="H82" s="24">
        <f>H84</f>
        <v>298.60859000000005</v>
      </c>
      <c r="I82" s="24">
        <f>I84</f>
        <v>240.62367999999998</v>
      </c>
      <c r="J82" s="24">
        <f>J84</f>
        <v>200.71588</v>
      </c>
      <c r="K82" s="24">
        <f>K84</f>
        <v>211.7</v>
      </c>
      <c r="L82" s="24">
        <f>L84</f>
        <v>145.63988000000001</v>
      </c>
      <c r="M82" s="24">
        <f t="shared" si="36"/>
        <v>136.49</v>
      </c>
      <c r="N82" s="24">
        <f t="shared" si="36"/>
        <v>563.54088000000002</v>
      </c>
      <c r="O82" s="24">
        <f t="shared" si="36"/>
        <v>514.9</v>
      </c>
      <c r="P82" s="24">
        <f t="shared" si="36"/>
        <v>254.67588000000001</v>
      </c>
      <c r="Q82" s="24">
        <f t="shared" si="36"/>
        <v>235.09</v>
      </c>
      <c r="R82" s="24">
        <f t="shared" si="36"/>
        <v>423.04687999999999</v>
      </c>
      <c r="S82" s="24">
        <f t="shared" si="36"/>
        <v>0</v>
      </c>
      <c r="T82" s="24">
        <f t="shared" si="36"/>
        <v>371.95787999999999</v>
      </c>
      <c r="U82" s="24">
        <f t="shared" si="36"/>
        <v>0</v>
      </c>
      <c r="V82" s="24">
        <f t="shared" si="36"/>
        <v>181.27888000000002</v>
      </c>
      <c r="W82" s="24">
        <f t="shared" si="36"/>
        <v>0</v>
      </c>
      <c r="X82" s="24">
        <f t="shared" si="36"/>
        <v>139.95287999999999</v>
      </c>
      <c r="Y82" s="24">
        <f t="shared" si="36"/>
        <v>0</v>
      </c>
      <c r="Z82" s="24">
        <f t="shared" si="36"/>
        <v>268.03788000000003</v>
      </c>
      <c r="AA82" s="24">
        <f t="shared" si="36"/>
        <v>0</v>
      </c>
      <c r="AB82" s="24">
        <f t="shared" si="36"/>
        <v>178.15888000000001</v>
      </c>
      <c r="AC82" s="24">
        <f t="shared" si="36"/>
        <v>0</v>
      </c>
      <c r="AD82" s="24">
        <f t="shared" si="36"/>
        <v>165.18561</v>
      </c>
      <c r="AE82" s="68"/>
      <c r="AF82" s="113" t="s">
        <v>52</v>
      </c>
      <c r="AG82" s="98"/>
      <c r="AH82" s="27"/>
    </row>
    <row r="83" spans="1:34" s="26" customFormat="1" x14ac:dyDescent="0.25">
      <c r="A83" s="28" t="s">
        <v>28</v>
      </c>
      <c r="B83" s="29">
        <v>0</v>
      </c>
      <c r="C83" s="29">
        <v>0</v>
      </c>
      <c r="D83" s="29">
        <v>0</v>
      </c>
      <c r="E83" s="29">
        <v>0</v>
      </c>
      <c r="F83" s="37" t="e">
        <f>E83/B83</f>
        <v>#DIV/0!</v>
      </c>
      <c r="G83" s="37" t="e">
        <f>E83/C83</f>
        <v>#DIV/0!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69"/>
      <c r="AH83" s="27"/>
    </row>
    <row r="84" spans="1:34" s="26" customFormat="1" ht="24" customHeight="1" x14ac:dyDescent="0.25">
      <c r="A84" s="55" t="s">
        <v>29</v>
      </c>
      <c r="B84" s="29">
        <f>H84+J84+L84+N84+P84+R84+T84+V84+X84+Z84+AB84+AD84</f>
        <v>3190.7999999999993</v>
      </c>
      <c r="C84" s="29">
        <f>H84+J84+L84+N84+P84</f>
        <v>1463.18111</v>
      </c>
      <c r="D84" s="31">
        <v>1614.4</v>
      </c>
      <c r="E84" s="31">
        <f>I84+K84+M84+O84+Q84+S84+U84+W84+Y84+AA84+AC84+AE84</f>
        <v>1338.8036799999998</v>
      </c>
      <c r="F84" s="37">
        <f t="shared" si="37"/>
        <v>0.41958244954243451</v>
      </c>
      <c r="G84" s="37">
        <f t="shared" si="38"/>
        <v>0.91499519153852371</v>
      </c>
      <c r="H84" s="31">
        <f>298608.59/1000</f>
        <v>298.60859000000005</v>
      </c>
      <c r="I84" s="31">
        <f>240623.68/1000</f>
        <v>240.62367999999998</v>
      </c>
      <c r="J84" s="31">
        <f>200715.88/1000</f>
        <v>200.71588</v>
      </c>
      <c r="K84" s="31">
        <v>211.7</v>
      </c>
      <c r="L84" s="31">
        <f>145639.88/1000</f>
        <v>145.63988000000001</v>
      </c>
      <c r="M84" s="31">
        <f>136.49</f>
        <v>136.49</v>
      </c>
      <c r="N84" s="31">
        <f>563540.88/1000</f>
        <v>563.54088000000002</v>
      </c>
      <c r="O84" s="31">
        <v>514.9</v>
      </c>
      <c r="P84" s="31">
        <f>254675.88/1000</f>
        <v>254.67588000000001</v>
      </c>
      <c r="Q84" s="31">
        <v>235.09</v>
      </c>
      <c r="R84" s="31">
        <f>423046.88/1000</f>
        <v>423.04687999999999</v>
      </c>
      <c r="S84" s="31"/>
      <c r="T84" s="31">
        <f>371957.88/1000</f>
        <v>371.95787999999999</v>
      </c>
      <c r="U84" s="31"/>
      <c r="V84" s="31">
        <f>181278.88/1000</f>
        <v>181.27888000000002</v>
      </c>
      <c r="W84" s="31"/>
      <c r="X84" s="31">
        <f>139952.88/1000</f>
        <v>139.95287999999999</v>
      </c>
      <c r="Y84" s="31"/>
      <c r="Z84" s="31">
        <f>268037.88/1000</f>
        <v>268.03788000000003</v>
      </c>
      <c r="AA84" s="31"/>
      <c r="AB84" s="31">
        <f>178158.88/1000</f>
        <v>178.15888000000001</v>
      </c>
      <c r="AC84" s="31"/>
      <c r="AD84" s="31">
        <f>165185.61/1000</f>
        <v>165.18561</v>
      </c>
      <c r="AE84" s="114"/>
      <c r="AF84" s="53"/>
      <c r="AG84" s="98"/>
      <c r="AH84" s="27"/>
    </row>
    <row r="85" spans="1:34" s="26" customFormat="1" ht="20.25" customHeight="1" x14ac:dyDescent="0.25">
      <c r="A85" s="55" t="s">
        <v>30</v>
      </c>
      <c r="B85" s="29">
        <v>0</v>
      </c>
      <c r="C85" s="29">
        <v>0</v>
      </c>
      <c r="D85" s="29">
        <v>0</v>
      </c>
      <c r="E85" s="29">
        <v>0</v>
      </c>
      <c r="F85" s="37" t="e">
        <f t="shared" si="37"/>
        <v>#DIV/0!</v>
      </c>
      <c r="G85" s="37" t="e">
        <f t="shared" si="38"/>
        <v>#DIV/0!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100"/>
      <c r="AG85" s="98"/>
      <c r="AH85" s="27"/>
    </row>
    <row r="86" spans="1:34" s="26" customFormat="1" x14ac:dyDescent="0.25">
      <c r="A86" s="38" t="s">
        <v>31</v>
      </c>
      <c r="B86" s="29">
        <v>0</v>
      </c>
      <c r="C86" s="31">
        <v>0</v>
      </c>
      <c r="D86" s="31">
        <v>0</v>
      </c>
      <c r="E86" s="31">
        <v>0</v>
      </c>
      <c r="F86" s="37" t="e">
        <f>E86/B86</f>
        <v>#DIV/0!</v>
      </c>
      <c r="G86" s="37" t="e">
        <f>E86/C86</f>
        <v>#DIV/0!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30"/>
      <c r="AH86" s="27"/>
    </row>
    <row r="87" spans="1:34" s="26" customFormat="1" x14ac:dyDescent="0.25">
      <c r="A87" s="28" t="s">
        <v>32</v>
      </c>
      <c r="B87" s="29">
        <v>0</v>
      </c>
      <c r="C87" s="31">
        <v>0</v>
      </c>
      <c r="D87" s="31">
        <v>0</v>
      </c>
      <c r="E87" s="31">
        <v>0</v>
      </c>
      <c r="F87" s="37" t="e">
        <f>E87/B87</f>
        <v>#DIV/0!</v>
      </c>
      <c r="G87" s="37" t="e">
        <f>E87/C87</f>
        <v>#DIV/0!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30"/>
      <c r="AH87" s="27"/>
    </row>
    <row r="88" spans="1:34" s="26" customFormat="1" ht="36" customHeight="1" x14ac:dyDescent="0.25">
      <c r="A88" s="178" t="s">
        <v>71</v>
      </c>
      <c r="B88" s="179">
        <f>B92</f>
        <v>0</v>
      </c>
      <c r="C88" s="179">
        <f t="shared" ref="C88:AD88" si="39">C92</f>
        <v>0</v>
      </c>
      <c r="D88" s="179"/>
      <c r="E88" s="179">
        <f t="shared" si="39"/>
        <v>0</v>
      </c>
      <c r="F88" s="179" t="e">
        <f t="shared" si="37"/>
        <v>#DIV/0!</v>
      </c>
      <c r="G88" s="179" t="e">
        <f t="shared" si="38"/>
        <v>#DIV/0!</v>
      </c>
      <c r="H88" s="179">
        <f>H92</f>
        <v>0</v>
      </c>
      <c r="I88" s="179">
        <f>I92</f>
        <v>0</v>
      </c>
      <c r="J88" s="179">
        <f t="shared" si="39"/>
        <v>0</v>
      </c>
      <c r="K88" s="179">
        <f t="shared" si="39"/>
        <v>0</v>
      </c>
      <c r="L88" s="179">
        <f t="shared" si="39"/>
        <v>0</v>
      </c>
      <c r="M88" s="179">
        <f t="shared" si="39"/>
        <v>0</v>
      </c>
      <c r="N88" s="179">
        <f t="shared" si="39"/>
        <v>0</v>
      </c>
      <c r="O88" s="179">
        <f t="shared" si="39"/>
        <v>0</v>
      </c>
      <c r="P88" s="179">
        <f t="shared" si="39"/>
        <v>0</v>
      </c>
      <c r="Q88" s="179">
        <f t="shared" si="39"/>
        <v>0</v>
      </c>
      <c r="R88" s="179">
        <f t="shared" si="39"/>
        <v>0</v>
      </c>
      <c r="S88" s="179">
        <f t="shared" si="39"/>
        <v>0</v>
      </c>
      <c r="T88" s="179">
        <f t="shared" si="39"/>
        <v>0</v>
      </c>
      <c r="U88" s="179">
        <f t="shared" si="39"/>
        <v>0</v>
      </c>
      <c r="V88" s="179">
        <f t="shared" si="39"/>
        <v>0</v>
      </c>
      <c r="W88" s="179">
        <f t="shared" si="39"/>
        <v>0</v>
      </c>
      <c r="X88" s="179">
        <f t="shared" si="39"/>
        <v>0</v>
      </c>
      <c r="Y88" s="179">
        <f t="shared" si="39"/>
        <v>0</v>
      </c>
      <c r="Z88" s="179">
        <f t="shared" si="39"/>
        <v>0</v>
      </c>
      <c r="AA88" s="179">
        <f t="shared" si="39"/>
        <v>0</v>
      </c>
      <c r="AB88" s="179">
        <f t="shared" si="39"/>
        <v>0</v>
      </c>
      <c r="AC88" s="179">
        <f t="shared" si="39"/>
        <v>0</v>
      </c>
      <c r="AD88" s="179">
        <f t="shared" si="39"/>
        <v>0</v>
      </c>
      <c r="AE88" s="180"/>
      <c r="AF88" s="115"/>
      <c r="AG88" s="98"/>
      <c r="AH88" s="27"/>
    </row>
    <row r="89" spans="1:34" s="26" customFormat="1" x14ac:dyDescent="0.25">
      <c r="A89" s="23" t="s">
        <v>27</v>
      </c>
      <c r="B89" s="24">
        <f>B92</f>
        <v>0</v>
      </c>
      <c r="C89" s="24">
        <f t="shared" ref="C89:AE89" si="40">C92</f>
        <v>0</v>
      </c>
      <c r="D89" s="24">
        <f t="shared" si="40"/>
        <v>0</v>
      </c>
      <c r="E89" s="24">
        <f t="shared" si="40"/>
        <v>0</v>
      </c>
      <c r="F89" s="35" t="e">
        <f t="shared" si="37"/>
        <v>#DIV/0!</v>
      </c>
      <c r="G89" s="116" t="e">
        <f t="shared" si="38"/>
        <v>#DIV/0!</v>
      </c>
      <c r="H89" s="24">
        <f>H92</f>
        <v>0</v>
      </c>
      <c r="I89" s="24">
        <f t="shared" si="40"/>
        <v>0</v>
      </c>
      <c r="J89" s="24">
        <f>J92</f>
        <v>0</v>
      </c>
      <c r="K89" s="24">
        <f t="shared" si="40"/>
        <v>0</v>
      </c>
      <c r="L89" s="24">
        <f t="shared" si="40"/>
        <v>0</v>
      </c>
      <c r="M89" s="24">
        <f t="shared" si="40"/>
        <v>0</v>
      </c>
      <c r="N89" s="24">
        <f t="shared" si="40"/>
        <v>0</v>
      </c>
      <c r="O89" s="24">
        <f t="shared" si="40"/>
        <v>0</v>
      </c>
      <c r="P89" s="24">
        <f t="shared" si="40"/>
        <v>0</v>
      </c>
      <c r="Q89" s="24">
        <f t="shared" si="40"/>
        <v>0</v>
      </c>
      <c r="R89" s="24">
        <f t="shared" si="40"/>
        <v>0</v>
      </c>
      <c r="S89" s="24">
        <f t="shared" si="40"/>
        <v>0</v>
      </c>
      <c r="T89" s="24">
        <f t="shared" si="40"/>
        <v>0</v>
      </c>
      <c r="U89" s="24">
        <f t="shared" si="40"/>
        <v>0</v>
      </c>
      <c r="V89" s="24">
        <f t="shared" si="40"/>
        <v>0</v>
      </c>
      <c r="W89" s="24">
        <f t="shared" si="40"/>
        <v>0</v>
      </c>
      <c r="X89" s="24">
        <f t="shared" si="40"/>
        <v>0</v>
      </c>
      <c r="Y89" s="24">
        <f t="shared" si="40"/>
        <v>0</v>
      </c>
      <c r="Z89" s="24">
        <f t="shared" si="40"/>
        <v>0</v>
      </c>
      <c r="AA89" s="24">
        <f t="shared" si="40"/>
        <v>0</v>
      </c>
      <c r="AB89" s="24">
        <f t="shared" si="40"/>
        <v>0</v>
      </c>
      <c r="AC89" s="24">
        <f t="shared" si="40"/>
        <v>0</v>
      </c>
      <c r="AD89" s="24">
        <f t="shared" si="40"/>
        <v>0</v>
      </c>
      <c r="AE89" s="68">
        <f t="shared" si="40"/>
        <v>0</v>
      </c>
      <c r="AF89" s="69"/>
      <c r="AG89" s="98"/>
      <c r="AH89" s="27"/>
    </row>
    <row r="90" spans="1:34" s="26" customFormat="1" x14ac:dyDescent="0.25">
      <c r="A90" s="28" t="s">
        <v>28</v>
      </c>
      <c r="B90" s="29">
        <v>0</v>
      </c>
      <c r="C90" s="29">
        <v>0</v>
      </c>
      <c r="D90" s="29">
        <v>0</v>
      </c>
      <c r="E90" s="29">
        <v>0</v>
      </c>
      <c r="F90" s="37" t="e">
        <f>E90/B90</f>
        <v>#DIV/0!</v>
      </c>
      <c r="G90" s="37" t="e">
        <f>E90/C90</f>
        <v>#DIV/0!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69"/>
      <c r="AH90" s="27"/>
    </row>
    <row r="91" spans="1:34" s="26" customFormat="1" ht="24.75" customHeight="1" x14ac:dyDescent="0.25">
      <c r="A91" s="55" t="s">
        <v>29</v>
      </c>
      <c r="B91" s="29">
        <f>H91+J91+L91+N91+P91+R91+T91+V91+X91+Z91+AB91+AD91</f>
        <v>0</v>
      </c>
      <c r="C91" s="29">
        <f>H91+J91+L91+N91+P91+R91</f>
        <v>0</v>
      </c>
      <c r="D91" s="31"/>
      <c r="E91" s="31">
        <f>I91+K91+M91+O91+Q91+S91+U91+W91+Y91+AA91+AC91+AE91</f>
        <v>0</v>
      </c>
      <c r="F91" s="37" t="e">
        <f t="shared" ref="F91" si="41">E91/B91</f>
        <v>#DIV/0!</v>
      </c>
      <c r="G91" s="37" t="e">
        <f t="shared" ref="G91" si="42">E91/C91</f>
        <v>#DIV/0!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53"/>
      <c r="T91" s="31"/>
      <c r="U91" s="53"/>
      <c r="V91" s="31"/>
      <c r="W91" s="53"/>
      <c r="X91" s="31"/>
      <c r="Y91" s="53"/>
      <c r="Z91" s="31"/>
      <c r="AA91" s="53"/>
      <c r="AB91" s="31"/>
      <c r="AC91" s="53"/>
      <c r="AD91" s="31"/>
      <c r="AE91" s="114"/>
      <c r="AF91" s="53"/>
      <c r="AG91" s="98"/>
      <c r="AH91" s="27"/>
    </row>
    <row r="92" spans="1:34" s="26" customFormat="1" ht="22.5" customHeight="1" x14ac:dyDescent="0.25">
      <c r="A92" s="55" t="s">
        <v>30</v>
      </c>
      <c r="B92" s="29">
        <f>H92+J92+L92+N92+P92+R92+T92+V92+X92+Z92+AB92+AD92</f>
        <v>0</v>
      </c>
      <c r="C92" s="31">
        <f>H92+J92+L92+N92+P92+R92+T92+V92+X92+Z92+AB92</f>
        <v>0</v>
      </c>
      <c r="D92" s="31"/>
      <c r="E92" s="31">
        <f>I92+K92+M92+O92+Q92+S92+U92+W92+Y92+AA92+AC92+AE92</f>
        <v>0</v>
      </c>
      <c r="F92" s="37" t="e">
        <f t="shared" si="37"/>
        <v>#DIV/0!</v>
      </c>
      <c r="G92" s="37" t="e">
        <f t="shared" si="38"/>
        <v>#DIV/0!</v>
      </c>
      <c r="H92" s="36">
        <f t="shared" ref="H92:AD92" si="43">H98+H104</f>
        <v>0</v>
      </c>
      <c r="I92" s="36">
        <f t="shared" si="43"/>
        <v>0</v>
      </c>
      <c r="J92" s="36">
        <f t="shared" si="43"/>
        <v>0</v>
      </c>
      <c r="K92" s="36">
        <f t="shared" si="43"/>
        <v>0</v>
      </c>
      <c r="L92" s="36">
        <f t="shared" si="43"/>
        <v>0</v>
      </c>
      <c r="M92" s="36">
        <f t="shared" si="43"/>
        <v>0</v>
      </c>
      <c r="N92" s="36">
        <f t="shared" si="43"/>
        <v>0</v>
      </c>
      <c r="O92" s="36">
        <f t="shared" si="43"/>
        <v>0</v>
      </c>
      <c r="P92" s="36">
        <f t="shared" si="43"/>
        <v>0</v>
      </c>
      <c r="Q92" s="36">
        <f t="shared" si="43"/>
        <v>0</v>
      </c>
      <c r="R92" s="36">
        <f t="shared" si="43"/>
        <v>0</v>
      </c>
      <c r="S92" s="36">
        <f t="shared" si="43"/>
        <v>0</v>
      </c>
      <c r="T92" s="36">
        <f t="shared" si="43"/>
        <v>0</v>
      </c>
      <c r="U92" s="36">
        <f t="shared" si="43"/>
        <v>0</v>
      </c>
      <c r="V92" s="36">
        <f t="shared" si="43"/>
        <v>0</v>
      </c>
      <c r="W92" s="36">
        <f t="shared" si="43"/>
        <v>0</v>
      </c>
      <c r="X92" s="36">
        <f t="shared" si="43"/>
        <v>0</v>
      </c>
      <c r="Y92" s="36">
        <f t="shared" si="43"/>
        <v>0</v>
      </c>
      <c r="Z92" s="36">
        <f t="shared" si="43"/>
        <v>0</v>
      </c>
      <c r="AA92" s="36">
        <f t="shared" si="43"/>
        <v>0</v>
      </c>
      <c r="AB92" s="36">
        <f t="shared" si="43"/>
        <v>0</v>
      </c>
      <c r="AC92" s="36">
        <f t="shared" si="43"/>
        <v>0</v>
      </c>
      <c r="AD92" s="36">
        <f t="shared" si="43"/>
        <v>0</v>
      </c>
      <c r="AE92" s="36"/>
      <c r="AF92" s="25"/>
      <c r="AG92" s="98"/>
      <c r="AH92" s="27"/>
    </row>
    <row r="93" spans="1:34" s="26" customFormat="1" x14ac:dyDescent="0.25">
      <c r="A93" s="38" t="s">
        <v>31</v>
      </c>
      <c r="B93" s="29">
        <v>0</v>
      </c>
      <c r="C93" s="31">
        <v>0</v>
      </c>
      <c r="D93" s="31">
        <v>0</v>
      </c>
      <c r="E93" s="31">
        <v>0</v>
      </c>
      <c r="F93" s="37" t="e">
        <f>E93/B93</f>
        <v>#DIV/0!</v>
      </c>
      <c r="G93" s="37" t="e">
        <f>E93/C93</f>
        <v>#DIV/0!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30"/>
      <c r="AH93" s="27"/>
    </row>
    <row r="94" spans="1:34" s="26" customFormat="1" x14ac:dyDescent="0.25">
      <c r="A94" s="28" t="s">
        <v>32</v>
      </c>
      <c r="B94" s="29">
        <v>0</v>
      </c>
      <c r="C94" s="31">
        <v>0</v>
      </c>
      <c r="D94" s="31">
        <v>0</v>
      </c>
      <c r="E94" s="31">
        <v>0</v>
      </c>
      <c r="F94" s="37" t="e">
        <f>E94/B94</f>
        <v>#DIV/0!</v>
      </c>
      <c r="G94" s="37" t="e">
        <f>E94/C94</f>
        <v>#DIV/0!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30"/>
      <c r="AH94" s="27"/>
    </row>
    <row r="95" spans="1:34" s="26" customFormat="1" ht="27.75" customHeight="1" x14ac:dyDescent="0.25">
      <c r="A95" s="201" t="s">
        <v>53</v>
      </c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3"/>
      <c r="AF95" s="117"/>
      <c r="AG95" s="98"/>
      <c r="AH95" s="27"/>
    </row>
    <row r="96" spans="1:34" s="26" customFormat="1" ht="25.5" x14ac:dyDescent="0.25">
      <c r="A96" s="28" t="s">
        <v>28</v>
      </c>
      <c r="B96" s="29">
        <v>0</v>
      </c>
      <c r="C96" s="29">
        <v>0</v>
      </c>
      <c r="D96" s="29">
        <v>0</v>
      </c>
      <c r="E96" s="29">
        <v>0</v>
      </c>
      <c r="F96" s="37" t="e">
        <f>E96/B96</f>
        <v>#DIV/0!</v>
      </c>
      <c r="G96" s="37" t="e">
        <f>E96/C96</f>
        <v>#DIV/0!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118" t="s">
        <v>54</v>
      </c>
      <c r="AH96" s="27"/>
    </row>
    <row r="97" spans="1:34" s="26" customFormat="1" ht="24.75" customHeight="1" x14ac:dyDescent="0.25">
      <c r="A97" s="55" t="s">
        <v>29</v>
      </c>
      <c r="B97" s="29">
        <f>H97+J97+L97+N97+P97+R97+T97+V97+X97+Z97+AB97+AD97</f>
        <v>0</v>
      </c>
      <c r="C97" s="29">
        <f>H97+J97+L97+N97+P97+R97</f>
        <v>0</v>
      </c>
      <c r="D97" s="31"/>
      <c r="E97" s="31">
        <f>I97+K97+M97+O97+Q97+S97+U97+W97+Y97+AA97+AC97+AE97</f>
        <v>0</v>
      </c>
      <c r="F97" s="37" t="e">
        <f t="shared" ref="F97" si="44">E97/B97</f>
        <v>#DIV/0!</v>
      </c>
      <c r="G97" s="37" t="e">
        <f t="shared" ref="G97" si="45">E97/C97</f>
        <v>#DIV/0!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53"/>
      <c r="AG97" s="98"/>
      <c r="AH97" s="27"/>
    </row>
    <row r="98" spans="1:34" s="70" customFormat="1" ht="23.25" customHeight="1" x14ac:dyDescent="0.25">
      <c r="A98" s="28" t="s">
        <v>30</v>
      </c>
      <c r="B98" s="29">
        <f>H98+J98+L98+N98+P98+R98+T98+V98+X98+Z98+AB98+AD98</f>
        <v>0</v>
      </c>
      <c r="C98" s="31">
        <f>H98+J98+L98+N98+P98+R98+T98+V98</f>
        <v>0</v>
      </c>
      <c r="D98" s="31">
        <f>H98+J98+L98+N98+P98+R98+T98+V98</f>
        <v>0</v>
      </c>
      <c r="E98" s="31">
        <f>I98+K98+M98+O98+Q98+S98+U98+W98+Y98+AA98+AC98+AE98</f>
        <v>0</v>
      </c>
      <c r="F98" s="37" t="e">
        <f>E98/B98</f>
        <v>#DIV/0!</v>
      </c>
      <c r="G98" s="37" t="e">
        <f>E98/C98</f>
        <v>#DIV/0!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6">
        <v>0</v>
      </c>
      <c r="AF98" s="25"/>
      <c r="AG98" s="98"/>
      <c r="AH98" s="71"/>
    </row>
    <row r="99" spans="1:34" s="26" customFormat="1" x14ac:dyDescent="0.25">
      <c r="A99" s="38" t="s">
        <v>31</v>
      </c>
      <c r="B99" s="29">
        <v>0</v>
      </c>
      <c r="C99" s="31">
        <v>0</v>
      </c>
      <c r="D99" s="31">
        <v>0</v>
      </c>
      <c r="E99" s="31">
        <v>0</v>
      </c>
      <c r="F99" s="37" t="e">
        <f>E99/B99</f>
        <v>#DIV/0!</v>
      </c>
      <c r="G99" s="37" t="e">
        <f>E99/C99</f>
        <v>#DIV/0!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30"/>
      <c r="AH99" s="27"/>
    </row>
    <row r="100" spans="1:34" s="26" customFormat="1" x14ac:dyDescent="0.25">
      <c r="A100" s="28" t="s">
        <v>32</v>
      </c>
      <c r="B100" s="29">
        <v>0</v>
      </c>
      <c r="C100" s="31">
        <v>0</v>
      </c>
      <c r="D100" s="31">
        <v>0</v>
      </c>
      <c r="E100" s="31">
        <v>0</v>
      </c>
      <c r="F100" s="37" t="e">
        <f>E100/B100</f>
        <v>#DIV/0!</v>
      </c>
      <c r="G100" s="37" t="e">
        <f>E100/C100</f>
        <v>#DIV/0!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30"/>
      <c r="AH100" s="27"/>
    </row>
    <row r="101" spans="1:34" s="26" customFormat="1" ht="40.5" customHeight="1" x14ac:dyDescent="0.25">
      <c r="A101" s="201" t="s">
        <v>55</v>
      </c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3"/>
      <c r="AF101" s="119"/>
      <c r="AG101" s="98"/>
      <c r="AH101" s="27"/>
    </row>
    <row r="102" spans="1:34" s="26" customFormat="1" x14ac:dyDescent="0.25">
      <c r="A102" s="28" t="s">
        <v>28</v>
      </c>
      <c r="B102" s="29">
        <v>0</v>
      </c>
      <c r="C102" s="29">
        <v>0</v>
      </c>
      <c r="D102" s="29">
        <v>0</v>
      </c>
      <c r="E102" s="29">
        <v>0</v>
      </c>
      <c r="F102" s="37" t="e">
        <f>E102/B102</f>
        <v>#DIV/0!</v>
      </c>
      <c r="G102" s="37" t="e">
        <f>E102/C102</f>
        <v>#DIV/0!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69"/>
      <c r="AH102" s="27"/>
    </row>
    <row r="103" spans="1:34" s="26" customFormat="1" ht="24.75" customHeight="1" x14ac:dyDescent="0.25">
      <c r="A103" s="55" t="s">
        <v>29</v>
      </c>
      <c r="B103" s="29">
        <f>H103+J103+L103+N103+P103+R103+T103+V103+X103+Z103+AB103+AD103</f>
        <v>0</v>
      </c>
      <c r="C103" s="29">
        <f>H103+J103+L103+N103+P103+R103</f>
        <v>0</v>
      </c>
      <c r="D103" s="31">
        <v>0</v>
      </c>
      <c r="E103" s="31">
        <f>I103+K103+M103+O103+Q103+S103+U103+W103+Y103+AA103+AC103+AE103</f>
        <v>0</v>
      </c>
      <c r="F103" s="37" t="e">
        <f t="shared" ref="F103" si="46">E103/B103</f>
        <v>#DIV/0!</v>
      </c>
      <c r="G103" s="37" t="e">
        <f t="shared" ref="G103" si="47">E103/C103</f>
        <v>#DIV/0!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118" t="s">
        <v>56</v>
      </c>
      <c r="AG103" s="98"/>
      <c r="AH103" s="27"/>
    </row>
    <row r="104" spans="1:34" s="70" customFormat="1" ht="23.25" customHeight="1" x14ac:dyDescent="0.25">
      <c r="A104" s="28" t="s">
        <v>30</v>
      </c>
      <c r="B104" s="29">
        <f>H104+J104+L104+N104+P104+R104+T104+V104+X104+Z104+AB104+AD104</f>
        <v>0</v>
      </c>
      <c r="C104" s="31">
        <f>H104+J104+L104+N104+P104+R104+T104+V104</f>
        <v>0</v>
      </c>
      <c r="D104" s="31">
        <f>H104+J104+L104+N104+P104+R104+T104+V104</f>
        <v>0</v>
      </c>
      <c r="E104" s="31">
        <f>I104+K104+M104+O104+Q104+S104+U104+W104+Y104+AA104+AC104+AE104</f>
        <v>0</v>
      </c>
      <c r="F104" s="37"/>
      <c r="G104" s="37"/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6">
        <v>0</v>
      </c>
      <c r="AF104" s="25"/>
      <c r="AG104" s="98"/>
      <c r="AH104" s="71"/>
    </row>
    <row r="105" spans="1:34" s="26" customFormat="1" x14ac:dyDescent="0.25">
      <c r="A105" s="38" t="s">
        <v>31</v>
      </c>
      <c r="B105" s="29">
        <v>0</v>
      </c>
      <c r="C105" s="31">
        <v>0</v>
      </c>
      <c r="D105" s="31">
        <v>0</v>
      </c>
      <c r="E105" s="31">
        <v>0</v>
      </c>
      <c r="F105" s="37" t="e">
        <f t="shared" ref="F105:F134" si="48">E105/B105</f>
        <v>#DIV/0!</v>
      </c>
      <c r="G105" s="37" t="e">
        <f t="shared" ref="G105:G134" si="49">E105/C105</f>
        <v>#DIV/0!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30"/>
      <c r="AH105" s="27"/>
    </row>
    <row r="106" spans="1:34" s="26" customFormat="1" x14ac:dyDescent="0.25">
      <c r="A106" s="28" t="s">
        <v>32</v>
      </c>
      <c r="B106" s="29">
        <v>0</v>
      </c>
      <c r="C106" s="31">
        <v>0</v>
      </c>
      <c r="D106" s="31">
        <v>0</v>
      </c>
      <c r="E106" s="31">
        <v>0</v>
      </c>
      <c r="F106" s="37" t="e">
        <f t="shared" si="48"/>
        <v>#DIV/0!</v>
      </c>
      <c r="G106" s="37" t="e">
        <f t="shared" si="49"/>
        <v>#DIV/0!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30"/>
      <c r="AH106" s="27"/>
    </row>
    <row r="107" spans="1:34" s="105" customFormat="1" ht="53.25" customHeight="1" x14ac:dyDescent="0.25">
      <c r="A107" s="120" t="s">
        <v>57</v>
      </c>
      <c r="B107" s="121">
        <f>B108+B109+B110+B112</f>
        <v>3190.7999999999993</v>
      </c>
      <c r="C107" s="121">
        <f t="shared" ref="C107:E107" si="50">C108+C109+C110+C112</f>
        <v>1463.18111</v>
      </c>
      <c r="D107" s="121">
        <f t="shared" si="50"/>
        <v>1614.4</v>
      </c>
      <c r="E107" s="121">
        <f t="shared" si="50"/>
        <v>1338.8036799999998</v>
      </c>
      <c r="F107" s="121">
        <f t="shared" si="48"/>
        <v>0.41958244954243451</v>
      </c>
      <c r="G107" s="121">
        <f t="shared" si="49"/>
        <v>0.91499519153852371</v>
      </c>
      <c r="H107" s="121">
        <f>H108+H109+H110+H112</f>
        <v>298.60859000000005</v>
      </c>
      <c r="I107" s="121">
        <f t="shared" ref="I107:AE107" si="51">I108+I109+I110+I112</f>
        <v>240.62367999999998</v>
      </c>
      <c r="J107" s="121">
        <f t="shared" si="51"/>
        <v>200.71588</v>
      </c>
      <c r="K107" s="121">
        <f t="shared" si="51"/>
        <v>211.7</v>
      </c>
      <c r="L107" s="121">
        <f t="shared" si="51"/>
        <v>145.63988000000001</v>
      </c>
      <c r="M107" s="121">
        <f t="shared" si="51"/>
        <v>136.49</v>
      </c>
      <c r="N107" s="121">
        <f t="shared" si="51"/>
        <v>563.54088000000002</v>
      </c>
      <c r="O107" s="121">
        <f t="shared" si="51"/>
        <v>514.9</v>
      </c>
      <c r="P107" s="121">
        <f t="shared" si="51"/>
        <v>254.67588000000001</v>
      </c>
      <c r="Q107" s="121">
        <f t="shared" si="51"/>
        <v>235.09</v>
      </c>
      <c r="R107" s="121">
        <f t="shared" si="51"/>
        <v>423.04687999999999</v>
      </c>
      <c r="S107" s="121">
        <f t="shared" si="51"/>
        <v>0</v>
      </c>
      <c r="T107" s="121">
        <f t="shared" si="51"/>
        <v>371.95787999999999</v>
      </c>
      <c r="U107" s="121">
        <f t="shared" si="51"/>
        <v>0</v>
      </c>
      <c r="V107" s="121">
        <f t="shared" si="51"/>
        <v>181.27888000000002</v>
      </c>
      <c r="W107" s="121">
        <f t="shared" si="51"/>
        <v>0</v>
      </c>
      <c r="X107" s="121">
        <f t="shared" si="51"/>
        <v>139.95287999999999</v>
      </c>
      <c r="Y107" s="121">
        <f t="shared" si="51"/>
        <v>0</v>
      </c>
      <c r="Z107" s="121">
        <f t="shared" si="51"/>
        <v>268.03788000000003</v>
      </c>
      <c r="AA107" s="121">
        <f t="shared" si="51"/>
        <v>0</v>
      </c>
      <c r="AB107" s="121">
        <f t="shared" si="51"/>
        <v>178.15888000000001</v>
      </c>
      <c r="AC107" s="121">
        <f t="shared" si="51"/>
        <v>0</v>
      </c>
      <c r="AD107" s="121">
        <f t="shared" si="51"/>
        <v>165.18561</v>
      </c>
      <c r="AE107" s="121">
        <f t="shared" si="51"/>
        <v>0</v>
      </c>
      <c r="AF107" s="122"/>
      <c r="AH107" s="106"/>
    </row>
    <row r="108" spans="1:34" s="26" customFormat="1" x14ac:dyDescent="0.25">
      <c r="A108" s="28" t="s">
        <v>28</v>
      </c>
      <c r="B108" s="29">
        <f>B90+B83</f>
        <v>0</v>
      </c>
      <c r="C108" s="29">
        <f t="shared" ref="C108:AE109" si="52">C90+C83</f>
        <v>0</v>
      </c>
      <c r="D108" s="29">
        <f t="shared" si="52"/>
        <v>0</v>
      </c>
      <c r="E108" s="29">
        <f t="shared" si="52"/>
        <v>0</v>
      </c>
      <c r="F108" s="96" t="e">
        <f t="shared" si="48"/>
        <v>#DIV/0!</v>
      </c>
      <c r="G108" s="96" t="e">
        <f t="shared" si="49"/>
        <v>#DIV/0!</v>
      </c>
      <c r="H108" s="29">
        <f t="shared" si="52"/>
        <v>0</v>
      </c>
      <c r="I108" s="29">
        <f t="shared" si="52"/>
        <v>0</v>
      </c>
      <c r="J108" s="29">
        <f t="shared" si="52"/>
        <v>0</v>
      </c>
      <c r="K108" s="29">
        <f t="shared" si="52"/>
        <v>0</v>
      </c>
      <c r="L108" s="29">
        <f t="shared" si="52"/>
        <v>0</v>
      </c>
      <c r="M108" s="29">
        <f t="shared" si="52"/>
        <v>0</v>
      </c>
      <c r="N108" s="29">
        <f t="shared" si="52"/>
        <v>0</v>
      </c>
      <c r="O108" s="29">
        <f t="shared" si="52"/>
        <v>0</v>
      </c>
      <c r="P108" s="29">
        <f t="shared" si="52"/>
        <v>0</v>
      </c>
      <c r="Q108" s="29">
        <f t="shared" si="52"/>
        <v>0</v>
      </c>
      <c r="R108" s="29">
        <f t="shared" si="52"/>
        <v>0</v>
      </c>
      <c r="S108" s="29">
        <f t="shared" si="52"/>
        <v>0</v>
      </c>
      <c r="T108" s="29">
        <f t="shared" si="52"/>
        <v>0</v>
      </c>
      <c r="U108" s="29">
        <f t="shared" si="52"/>
        <v>0</v>
      </c>
      <c r="V108" s="29">
        <f t="shared" si="52"/>
        <v>0</v>
      </c>
      <c r="W108" s="29">
        <f t="shared" si="52"/>
        <v>0</v>
      </c>
      <c r="X108" s="29">
        <f t="shared" si="52"/>
        <v>0</v>
      </c>
      <c r="Y108" s="29">
        <f t="shared" si="52"/>
        <v>0</v>
      </c>
      <c r="Z108" s="29">
        <f t="shared" si="52"/>
        <v>0</v>
      </c>
      <c r="AA108" s="29">
        <f t="shared" si="52"/>
        <v>0</v>
      </c>
      <c r="AB108" s="29">
        <f t="shared" si="52"/>
        <v>0</v>
      </c>
      <c r="AC108" s="29">
        <f t="shared" si="52"/>
        <v>0</v>
      </c>
      <c r="AD108" s="29">
        <f t="shared" si="52"/>
        <v>0</v>
      </c>
      <c r="AE108" s="29">
        <f t="shared" si="52"/>
        <v>0</v>
      </c>
      <c r="AF108" s="30"/>
      <c r="AH108" s="27"/>
    </row>
    <row r="109" spans="1:34" s="26" customFormat="1" x14ac:dyDescent="0.25">
      <c r="A109" s="28" t="s">
        <v>29</v>
      </c>
      <c r="B109" s="29">
        <f>B91+B84</f>
        <v>3190.7999999999993</v>
      </c>
      <c r="C109" s="29">
        <f>C91+C84</f>
        <v>1463.18111</v>
      </c>
      <c r="D109" s="29">
        <f t="shared" si="52"/>
        <v>1614.4</v>
      </c>
      <c r="E109" s="29">
        <f t="shared" si="52"/>
        <v>1338.8036799999998</v>
      </c>
      <c r="F109" s="96">
        <f t="shared" si="48"/>
        <v>0.41958244954243451</v>
      </c>
      <c r="G109" s="96">
        <f t="shared" si="49"/>
        <v>0.91499519153852371</v>
      </c>
      <c r="H109" s="29">
        <f t="shared" si="52"/>
        <v>298.60859000000005</v>
      </c>
      <c r="I109" s="29">
        <f t="shared" si="52"/>
        <v>240.62367999999998</v>
      </c>
      <c r="J109" s="29">
        <f t="shared" si="52"/>
        <v>200.71588</v>
      </c>
      <c r="K109" s="29">
        <f t="shared" si="52"/>
        <v>211.7</v>
      </c>
      <c r="L109" s="29">
        <f t="shared" si="52"/>
        <v>145.63988000000001</v>
      </c>
      <c r="M109" s="29">
        <f t="shared" si="52"/>
        <v>136.49</v>
      </c>
      <c r="N109" s="29">
        <f t="shared" si="52"/>
        <v>563.54088000000002</v>
      </c>
      <c r="O109" s="29">
        <f t="shared" si="52"/>
        <v>514.9</v>
      </c>
      <c r="P109" s="29">
        <f t="shared" si="52"/>
        <v>254.67588000000001</v>
      </c>
      <c r="Q109" s="29">
        <f t="shared" si="52"/>
        <v>235.09</v>
      </c>
      <c r="R109" s="29">
        <f t="shared" si="52"/>
        <v>423.04687999999999</v>
      </c>
      <c r="S109" s="29">
        <f t="shared" si="52"/>
        <v>0</v>
      </c>
      <c r="T109" s="29">
        <f t="shared" si="52"/>
        <v>371.95787999999999</v>
      </c>
      <c r="U109" s="29">
        <f t="shared" si="52"/>
        <v>0</v>
      </c>
      <c r="V109" s="29">
        <f t="shared" si="52"/>
        <v>181.27888000000002</v>
      </c>
      <c r="W109" s="29">
        <f t="shared" si="52"/>
        <v>0</v>
      </c>
      <c r="X109" s="29">
        <f t="shared" si="52"/>
        <v>139.95287999999999</v>
      </c>
      <c r="Y109" s="29">
        <f t="shared" si="52"/>
        <v>0</v>
      </c>
      <c r="Z109" s="29">
        <f t="shared" si="52"/>
        <v>268.03788000000003</v>
      </c>
      <c r="AA109" s="29">
        <f t="shared" si="52"/>
        <v>0</v>
      </c>
      <c r="AB109" s="29">
        <f t="shared" si="52"/>
        <v>178.15888000000001</v>
      </c>
      <c r="AC109" s="29">
        <f t="shared" si="52"/>
        <v>0</v>
      </c>
      <c r="AD109" s="29">
        <f t="shared" si="52"/>
        <v>165.18561</v>
      </c>
      <c r="AE109" s="29">
        <f t="shared" si="52"/>
        <v>0</v>
      </c>
      <c r="AF109" s="30"/>
      <c r="AH109" s="27"/>
    </row>
    <row r="110" spans="1:34" s="26" customFormat="1" x14ac:dyDescent="0.25">
      <c r="A110" s="28" t="s">
        <v>30</v>
      </c>
      <c r="B110" s="29">
        <f>B92+B85</f>
        <v>0</v>
      </c>
      <c r="C110" s="29">
        <f t="shared" ref="C110:AE112" si="53">C92+C85</f>
        <v>0</v>
      </c>
      <c r="D110" s="29">
        <f t="shared" si="53"/>
        <v>0</v>
      </c>
      <c r="E110" s="29">
        <f t="shared" si="53"/>
        <v>0</v>
      </c>
      <c r="F110" s="96" t="e">
        <f t="shared" si="48"/>
        <v>#DIV/0!</v>
      </c>
      <c r="G110" s="96" t="e">
        <f t="shared" si="49"/>
        <v>#DIV/0!</v>
      </c>
      <c r="H110" s="29">
        <f t="shared" si="53"/>
        <v>0</v>
      </c>
      <c r="I110" s="29">
        <f t="shared" si="53"/>
        <v>0</v>
      </c>
      <c r="J110" s="29">
        <f t="shared" si="53"/>
        <v>0</v>
      </c>
      <c r="K110" s="29">
        <f t="shared" si="53"/>
        <v>0</v>
      </c>
      <c r="L110" s="29">
        <f t="shared" si="53"/>
        <v>0</v>
      </c>
      <c r="M110" s="29">
        <f t="shared" si="53"/>
        <v>0</v>
      </c>
      <c r="N110" s="29">
        <f t="shared" si="53"/>
        <v>0</v>
      </c>
      <c r="O110" s="29">
        <f t="shared" si="53"/>
        <v>0</v>
      </c>
      <c r="P110" s="29">
        <f t="shared" si="53"/>
        <v>0</v>
      </c>
      <c r="Q110" s="29">
        <f t="shared" si="53"/>
        <v>0</v>
      </c>
      <c r="R110" s="29">
        <f t="shared" si="53"/>
        <v>0</v>
      </c>
      <c r="S110" s="29">
        <f t="shared" si="53"/>
        <v>0</v>
      </c>
      <c r="T110" s="29">
        <f t="shared" si="53"/>
        <v>0</v>
      </c>
      <c r="U110" s="29">
        <f t="shared" si="53"/>
        <v>0</v>
      </c>
      <c r="V110" s="29">
        <f t="shared" si="53"/>
        <v>0</v>
      </c>
      <c r="W110" s="29">
        <f t="shared" si="53"/>
        <v>0</v>
      </c>
      <c r="X110" s="29">
        <f t="shared" si="53"/>
        <v>0</v>
      </c>
      <c r="Y110" s="29">
        <f t="shared" si="53"/>
        <v>0</v>
      </c>
      <c r="Z110" s="29">
        <f t="shared" si="53"/>
        <v>0</v>
      </c>
      <c r="AA110" s="29">
        <f t="shared" si="53"/>
        <v>0</v>
      </c>
      <c r="AB110" s="29">
        <f t="shared" si="53"/>
        <v>0</v>
      </c>
      <c r="AC110" s="29">
        <f t="shared" si="53"/>
        <v>0</v>
      </c>
      <c r="AD110" s="29">
        <f t="shared" si="53"/>
        <v>0</v>
      </c>
      <c r="AE110" s="29">
        <f t="shared" si="53"/>
        <v>0</v>
      </c>
      <c r="AF110" s="30"/>
      <c r="AH110" s="27"/>
    </row>
    <row r="111" spans="1:34" s="26" customFormat="1" x14ac:dyDescent="0.25">
      <c r="A111" s="38" t="s">
        <v>31</v>
      </c>
      <c r="B111" s="29">
        <f t="shared" ref="B111:Q112" si="54">B93+B86</f>
        <v>0</v>
      </c>
      <c r="C111" s="29">
        <f t="shared" si="54"/>
        <v>0</v>
      </c>
      <c r="D111" s="29">
        <f t="shared" si="54"/>
        <v>0</v>
      </c>
      <c r="E111" s="29">
        <f t="shared" si="54"/>
        <v>0</v>
      </c>
      <c r="F111" s="96" t="e">
        <f t="shared" si="48"/>
        <v>#DIV/0!</v>
      </c>
      <c r="G111" s="96" t="e">
        <f t="shared" si="49"/>
        <v>#DIV/0!</v>
      </c>
      <c r="H111" s="29">
        <f t="shared" si="54"/>
        <v>0</v>
      </c>
      <c r="I111" s="29">
        <f t="shared" si="54"/>
        <v>0</v>
      </c>
      <c r="J111" s="29">
        <f t="shared" si="54"/>
        <v>0</v>
      </c>
      <c r="K111" s="29">
        <f t="shared" si="54"/>
        <v>0</v>
      </c>
      <c r="L111" s="29">
        <f t="shared" si="54"/>
        <v>0</v>
      </c>
      <c r="M111" s="29">
        <f t="shared" si="54"/>
        <v>0</v>
      </c>
      <c r="N111" s="29">
        <f t="shared" si="54"/>
        <v>0</v>
      </c>
      <c r="O111" s="29">
        <f t="shared" si="54"/>
        <v>0</v>
      </c>
      <c r="P111" s="29">
        <f t="shared" si="54"/>
        <v>0</v>
      </c>
      <c r="Q111" s="29">
        <f t="shared" si="54"/>
        <v>0</v>
      </c>
      <c r="R111" s="29">
        <f t="shared" si="53"/>
        <v>0</v>
      </c>
      <c r="S111" s="29">
        <f t="shared" si="53"/>
        <v>0</v>
      </c>
      <c r="T111" s="29">
        <f t="shared" si="53"/>
        <v>0</v>
      </c>
      <c r="U111" s="29">
        <f t="shared" si="53"/>
        <v>0</v>
      </c>
      <c r="V111" s="29">
        <f t="shared" si="53"/>
        <v>0</v>
      </c>
      <c r="W111" s="29">
        <f t="shared" si="53"/>
        <v>0</v>
      </c>
      <c r="X111" s="29">
        <f t="shared" si="53"/>
        <v>0</v>
      </c>
      <c r="Y111" s="29">
        <f t="shared" si="53"/>
        <v>0</v>
      </c>
      <c r="Z111" s="29">
        <f t="shared" si="53"/>
        <v>0</v>
      </c>
      <c r="AA111" s="29">
        <f t="shared" si="53"/>
        <v>0</v>
      </c>
      <c r="AB111" s="29">
        <f t="shared" si="53"/>
        <v>0</v>
      </c>
      <c r="AC111" s="29">
        <f t="shared" si="53"/>
        <v>0</v>
      </c>
      <c r="AD111" s="29">
        <f t="shared" si="53"/>
        <v>0</v>
      </c>
      <c r="AE111" s="29">
        <f t="shared" si="53"/>
        <v>0</v>
      </c>
      <c r="AF111" s="33"/>
      <c r="AH111" s="27"/>
    </row>
    <row r="112" spans="1:34" s="26" customFormat="1" x14ac:dyDescent="0.25">
      <c r="A112" s="28" t="s">
        <v>32</v>
      </c>
      <c r="B112" s="29">
        <f t="shared" si="54"/>
        <v>0</v>
      </c>
      <c r="C112" s="29">
        <f t="shared" si="54"/>
        <v>0</v>
      </c>
      <c r="D112" s="29">
        <f t="shared" si="54"/>
        <v>0</v>
      </c>
      <c r="E112" s="29">
        <f t="shared" si="54"/>
        <v>0</v>
      </c>
      <c r="F112" s="96" t="e">
        <f t="shared" si="48"/>
        <v>#DIV/0!</v>
      </c>
      <c r="G112" s="96" t="e">
        <f t="shared" si="49"/>
        <v>#DIV/0!</v>
      </c>
      <c r="H112" s="29">
        <f t="shared" si="54"/>
        <v>0</v>
      </c>
      <c r="I112" s="29">
        <f t="shared" si="54"/>
        <v>0</v>
      </c>
      <c r="J112" s="29">
        <f t="shared" si="54"/>
        <v>0</v>
      </c>
      <c r="K112" s="29">
        <f t="shared" si="54"/>
        <v>0</v>
      </c>
      <c r="L112" s="29">
        <f t="shared" si="54"/>
        <v>0</v>
      </c>
      <c r="M112" s="29">
        <f t="shared" si="54"/>
        <v>0</v>
      </c>
      <c r="N112" s="29">
        <f t="shared" si="54"/>
        <v>0</v>
      </c>
      <c r="O112" s="29">
        <f t="shared" si="54"/>
        <v>0</v>
      </c>
      <c r="P112" s="29">
        <f t="shared" si="54"/>
        <v>0</v>
      </c>
      <c r="Q112" s="29">
        <f t="shared" si="54"/>
        <v>0</v>
      </c>
      <c r="R112" s="29">
        <f t="shared" si="53"/>
        <v>0</v>
      </c>
      <c r="S112" s="29">
        <f t="shared" si="53"/>
        <v>0</v>
      </c>
      <c r="T112" s="29">
        <f t="shared" si="53"/>
        <v>0</v>
      </c>
      <c r="U112" s="29">
        <f t="shared" si="53"/>
        <v>0</v>
      </c>
      <c r="V112" s="29">
        <f t="shared" si="53"/>
        <v>0</v>
      </c>
      <c r="W112" s="29">
        <f t="shared" si="53"/>
        <v>0</v>
      </c>
      <c r="X112" s="29">
        <f t="shared" si="53"/>
        <v>0</v>
      </c>
      <c r="Y112" s="29">
        <f t="shared" si="53"/>
        <v>0</v>
      </c>
      <c r="Z112" s="29">
        <f t="shared" si="53"/>
        <v>0</v>
      </c>
      <c r="AA112" s="29">
        <f t="shared" si="53"/>
        <v>0</v>
      </c>
      <c r="AB112" s="29">
        <f t="shared" si="53"/>
        <v>0</v>
      </c>
      <c r="AC112" s="29">
        <f t="shared" si="53"/>
        <v>0</v>
      </c>
      <c r="AD112" s="29">
        <f t="shared" si="53"/>
        <v>0</v>
      </c>
      <c r="AE112" s="29">
        <f t="shared" si="53"/>
        <v>0</v>
      </c>
      <c r="AF112" s="33"/>
      <c r="AH112" s="27"/>
    </row>
    <row r="113" spans="1:34" s="26" customFormat="1" ht="33" customHeight="1" x14ac:dyDescent="0.25">
      <c r="A113" s="175" t="s">
        <v>58</v>
      </c>
      <c r="B113" s="176">
        <f>B115</f>
        <v>72.7</v>
      </c>
      <c r="C113" s="176">
        <f t="shared" ref="C113:AD113" si="55">C115</f>
        <v>0</v>
      </c>
      <c r="D113" s="176">
        <f t="shared" si="55"/>
        <v>0</v>
      </c>
      <c r="E113" s="176">
        <f t="shared" si="55"/>
        <v>0</v>
      </c>
      <c r="F113" s="176">
        <f t="shared" si="48"/>
        <v>0</v>
      </c>
      <c r="G113" s="176" t="e">
        <f t="shared" si="49"/>
        <v>#DIV/0!</v>
      </c>
      <c r="H113" s="176">
        <f>H115</f>
        <v>0</v>
      </c>
      <c r="I113" s="176">
        <f t="shared" si="55"/>
        <v>0</v>
      </c>
      <c r="J113" s="176">
        <f t="shared" si="55"/>
        <v>0</v>
      </c>
      <c r="K113" s="176">
        <f t="shared" si="55"/>
        <v>0</v>
      </c>
      <c r="L113" s="176">
        <f t="shared" si="55"/>
        <v>0</v>
      </c>
      <c r="M113" s="176">
        <f t="shared" si="55"/>
        <v>0</v>
      </c>
      <c r="N113" s="176">
        <f t="shared" si="55"/>
        <v>0</v>
      </c>
      <c r="O113" s="176">
        <f t="shared" si="55"/>
        <v>0</v>
      </c>
      <c r="P113" s="176">
        <f t="shared" si="55"/>
        <v>0</v>
      </c>
      <c r="Q113" s="176">
        <f t="shared" si="55"/>
        <v>0</v>
      </c>
      <c r="R113" s="176">
        <f t="shared" si="55"/>
        <v>0</v>
      </c>
      <c r="S113" s="176">
        <f t="shared" si="55"/>
        <v>0</v>
      </c>
      <c r="T113" s="176">
        <f t="shared" si="55"/>
        <v>0</v>
      </c>
      <c r="U113" s="176">
        <f t="shared" si="55"/>
        <v>0</v>
      </c>
      <c r="V113" s="176">
        <f t="shared" si="55"/>
        <v>0</v>
      </c>
      <c r="W113" s="176">
        <f t="shared" si="55"/>
        <v>0</v>
      </c>
      <c r="X113" s="176">
        <f t="shared" si="55"/>
        <v>0</v>
      </c>
      <c r="Y113" s="176">
        <f t="shared" si="55"/>
        <v>0</v>
      </c>
      <c r="Z113" s="176">
        <f t="shared" si="55"/>
        <v>0</v>
      </c>
      <c r="AA113" s="176">
        <f t="shared" si="55"/>
        <v>0</v>
      </c>
      <c r="AB113" s="176">
        <f t="shared" si="55"/>
        <v>0</v>
      </c>
      <c r="AC113" s="176">
        <f t="shared" si="55"/>
        <v>0</v>
      </c>
      <c r="AD113" s="177">
        <f t="shared" si="55"/>
        <v>72.7</v>
      </c>
      <c r="AE113" s="123"/>
      <c r="AF113" s="124"/>
      <c r="AG113" s="98"/>
      <c r="AH113" s="27"/>
    </row>
    <row r="114" spans="1:34" s="26" customFormat="1" ht="33" customHeight="1" x14ac:dyDescent="0.25">
      <c r="A114" s="178" t="s">
        <v>72</v>
      </c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80"/>
      <c r="AF114" s="124"/>
      <c r="AG114" s="98"/>
      <c r="AH114" s="27"/>
    </row>
    <row r="115" spans="1:34" s="26" customFormat="1" ht="31.5" customHeight="1" x14ac:dyDescent="0.25">
      <c r="A115" s="112" t="s">
        <v>27</v>
      </c>
      <c r="B115" s="24">
        <f>B117</f>
        <v>72.7</v>
      </c>
      <c r="C115" s="24">
        <f t="shared" ref="C115" si="56">C117</f>
        <v>0</v>
      </c>
      <c r="D115" s="24">
        <f>D117</f>
        <v>0</v>
      </c>
      <c r="E115" s="24">
        <f t="shared" ref="E115" si="57">E117</f>
        <v>0</v>
      </c>
      <c r="F115" s="35">
        <f t="shared" si="48"/>
        <v>0</v>
      </c>
      <c r="G115" s="35" t="e">
        <f t="shared" si="49"/>
        <v>#DIV/0!</v>
      </c>
      <c r="H115" s="24">
        <f t="shared" ref="H115:AD115" si="58">H117</f>
        <v>0</v>
      </c>
      <c r="I115" s="24">
        <f t="shared" si="58"/>
        <v>0</v>
      </c>
      <c r="J115" s="24">
        <f t="shared" si="58"/>
        <v>0</v>
      </c>
      <c r="K115" s="24">
        <f t="shared" si="58"/>
        <v>0</v>
      </c>
      <c r="L115" s="24">
        <f t="shared" si="58"/>
        <v>0</v>
      </c>
      <c r="M115" s="24">
        <f t="shared" si="58"/>
        <v>0</v>
      </c>
      <c r="N115" s="24">
        <f t="shared" si="58"/>
        <v>0</v>
      </c>
      <c r="O115" s="24">
        <f t="shared" si="58"/>
        <v>0</v>
      </c>
      <c r="P115" s="24">
        <f t="shared" si="58"/>
        <v>0</v>
      </c>
      <c r="Q115" s="24">
        <f t="shared" si="58"/>
        <v>0</v>
      </c>
      <c r="R115" s="24">
        <f t="shared" si="58"/>
        <v>0</v>
      </c>
      <c r="S115" s="24">
        <f t="shared" si="58"/>
        <v>0</v>
      </c>
      <c r="T115" s="24">
        <f t="shared" si="58"/>
        <v>0</v>
      </c>
      <c r="U115" s="24">
        <f t="shared" si="58"/>
        <v>0</v>
      </c>
      <c r="V115" s="24">
        <f t="shared" si="58"/>
        <v>0</v>
      </c>
      <c r="W115" s="24">
        <f t="shared" si="58"/>
        <v>0</v>
      </c>
      <c r="X115" s="24">
        <f t="shared" si="58"/>
        <v>0</v>
      </c>
      <c r="Y115" s="24">
        <f t="shared" si="58"/>
        <v>0</v>
      </c>
      <c r="Z115" s="24">
        <f t="shared" si="58"/>
        <v>0</v>
      </c>
      <c r="AA115" s="24">
        <f t="shared" si="58"/>
        <v>0</v>
      </c>
      <c r="AB115" s="24">
        <f t="shared" si="58"/>
        <v>0</v>
      </c>
      <c r="AC115" s="24">
        <f t="shared" si="58"/>
        <v>0</v>
      </c>
      <c r="AD115" s="24">
        <f t="shared" si="58"/>
        <v>72.7</v>
      </c>
      <c r="AE115" s="68"/>
      <c r="AF115" s="117"/>
      <c r="AG115" s="98"/>
      <c r="AH115" s="27"/>
    </row>
    <row r="116" spans="1:34" s="26" customFormat="1" x14ac:dyDescent="0.25">
      <c r="A116" s="28" t="s">
        <v>28</v>
      </c>
      <c r="B116" s="29">
        <v>0</v>
      </c>
      <c r="C116" s="29">
        <v>0</v>
      </c>
      <c r="D116" s="29">
        <v>0</v>
      </c>
      <c r="E116" s="29">
        <v>0</v>
      </c>
      <c r="F116" s="37" t="e">
        <f>E116/B116</f>
        <v>#DIV/0!</v>
      </c>
      <c r="G116" s="37" t="e">
        <f>E116/C116</f>
        <v>#DIV/0!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  <c r="AF116" s="30"/>
      <c r="AH116" s="27"/>
    </row>
    <row r="117" spans="1:34" s="26" customFormat="1" ht="24.75" customHeight="1" x14ac:dyDescent="0.25">
      <c r="A117" s="55" t="s">
        <v>29</v>
      </c>
      <c r="B117" s="29">
        <f>H117+J117+L117+N117+P117+R117+T117+V117+X117+Z117+AB117+AD117</f>
        <v>72.7</v>
      </c>
      <c r="C117" s="31">
        <f>H117+J117+L117</f>
        <v>0</v>
      </c>
      <c r="D117" s="31"/>
      <c r="E117" s="31">
        <f>I117+K117+M117+O117+Q117+S117+U117+W117+Y117+AA117+AC117+AE117</f>
        <v>0</v>
      </c>
      <c r="F117" s="37">
        <f t="shared" si="48"/>
        <v>0</v>
      </c>
      <c r="G117" s="37" t="e">
        <f t="shared" si="49"/>
        <v>#DIV/0!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>
        <v>72.7</v>
      </c>
      <c r="AE117" s="31"/>
      <c r="AF117" s="125"/>
      <c r="AG117" s="98"/>
      <c r="AH117" s="27"/>
    </row>
    <row r="118" spans="1:34" s="26" customFormat="1" x14ac:dyDescent="0.25">
      <c r="A118" s="28" t="s">
        <v>30</v>
      </c>
      <c r="B118" s="29">
        <f>H118+J118+L118+N118+P118+R118+T118+V118+X118+Z118+AB118+AD118</f>
        <v>0</v>
      </c>
      <c r="C118" s="31">
        <f>C168+C236</f>
        <v>0</v>
      </c>
      <c r="D118" s="31">
        <f>D168+D236</f>
        <v>0</v>
      </c>
      <c r="E118" s="31">
        <f>E168+E236</f>
        <v>0</v>
      </c>
      <c r="F118" s="37" t="e">
        <f t="shared" si="48"/>
        <v>#DIV/0!</v>
      </c>
      <c r="G118" s="37" t="e">
        <f t="shared" si="49"/>
        <v>#DIV/0!</v>
      </c>
      <c r="H118" s="31">
        <f t="shared" ref="H118:AE118" si="59">H168+H236</f>
        <v>0</v>
      </c>
      <c r="I118" s="31">
        <f t="shared" si="59"/>
        <v>0</v>
      </c>
      <c r="J118" s="31">
        <f t="shared" si="59"/>
        <v>0</v>
      </c>
      <c r="K118" s="31">
        <f t="shared" si="59"/>
        <v>0</v>
      </c>
      <c r="L118" s="31">
        <f t="shared" si="59"/>
        <v>0</v>
      </c>
      <c r="M118" s="31">
        <f t="shared" si="59"/>
        <v>0</v>
      </c>
      <c r="N118" s="31">
        <f t="shared" si="59"/>
        <v>0</v>
      </c>
      <c r="O118" s="31">
        <f t="shared" si="59"/>
        <v>0</v>
      </c>
      <c r="P118" s="31">
        <f t="shared" si="59"/>
        <v>0</v>
      </c>
      <c r="Q118" s="31">
        <f t="shared" si="59"/>
        <v>0</v>
      </c>
      <c r="R118" s="31">
        <f t="shared" si="59"/>
        <v>0</v>
      </c>
      <c r="S118" s="31">
        <f t="shared" si="59"/>
        <v>0</v>
      </c>
      <c r="T118" s="31">
        <f t="shared" si="59"/>
        <v>0</v>
      </c>
      <c r="U118" s="31">
        <f t="shared" si="59"/>
        <v>0</v>
      </c>
      <c r="V118" s="31">
        <f t="shared" si="59"/>
        <v>0</v>
      </c>
      <c r="W118" s="31">
        <f t="shared" si="59"/>
        <v>0</v>
      </c>
      <c r="X118" s="31">
        <f t="shared" si="59"/>
        <v>0</v>
      </c>
      <c r="Y118" s="31">
        <f t="shared" si="59"/>
        <v>0</v>
      </c>
      <c r="Z118" s="31">
        <f t="shared" si="59"/>
        <v>0</v>
      </c>
      <c r="AA118" s="31">
        <f t="shared" si="59"/>
        <v>0</v>
      </c>
      <c r="AB118" s="31">
        <f t="shared" si="59"/>
        <v>0</v>
      </c>
      <c r="AC118" s="31">
        <f t="shared" si="59"/>
        <v>0</v>
      </c>
      <c r="AD118" s="31">
        <f t="shared" si="59"/>
        <v>0</v>
      </c>
      <c r="AE118" s="31">
        <f t="shared" si="59"/>
        <v>0</v>
      </c>
      <c r="AF118" s="30"/>
      <c r="AH118" s="27"/>
    </row>
    <row r="119" spans="1:34" s="26" customFormat="1" x14ac:dyDescent="0.25">
      <c r="A119" s="38" t="s">
        <v>31</v>
      </c>
      <c r="B119" s="29">
        <v>0</v>
      </c>
      <c r="C119" s="31">
        <v>0</v>
      </c>
      <c r="D119" s="31">
        <v>0</v>
      </c>
      <c r="E119" s="31">
        <v>0</v>
      </c>
      <c r="F119" s="37" t="e">
        <f t="shared" si="48"/>
        <v>#DIV/0!</v>
      </c>
      <c r="G119" s="37" t="e">
        <f t="shared" si="49"/>
        <v>#DIV/0!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33"/>
      <c r="AH119" s="27"/>
    </row>
    <row r="120" spans="1:34" s="26" customFormat="1" x14ac:dyDescent="0.25">
      <c r="A120" s="28" t="s">
        <v>32</v>
      </c>
      <c r="B120" s="29">
        <v>0</v>
      </c>
      <c r="C120" s="31">
        <v>0</v>
      </c>
      <c r="D120" s="31">
        <v>0</v>
      </c>
      <c r="E120" s="31">
        <v>0</v>
      </c>
      <c r="F120" s="37" t="e">
        <f t="shared" si="48"/>
        <v>#DIV/0!</v>
      </c>
      <c r="G120" s="37" t="e">
        <f t="shared" si="49"/>
        <v>#DIV/0!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33"/>
      <c r="AH120" s="27"/>
    </row>
    <row r="121" spans="1:34" s="26" customFormat="1" ht="34.5" customHeight="1" x14ac:dyDescent="0.25">
      <c r="A121" s="204" t="s">
        <v>59</v>
      </c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6"/>
      <c r="AF121" s="33"/>
      <c r="AH121" s="27"/>
    </row>
    <row r="122" spans="1:34" s="26" customFormat="1" x14ac:dyDescent="0.25">
      <c r="A122" s="23" t="s">
        <v>27</v>
      </c>
      <c r="B122" s="24">
        <f>B124+B125</f>
        <v>72.7</v>
      </c>
      <c r="C122" s="24">
        <f>C124+C125</f>
        <v>0</v>
      </c>
      <c r="D122" s="24">
        <f t="shared" ref="D122" si="60">D124+D125</f>
        <v>0</v>
      </c>
      <c r="E122" s="24">
        <f>E124+E125</f>
        <v>0</v>
      </c>
      <c r="F122" s="35">
        <f t="shared" si="48"/>
        <v>0</v>
      </c>
      <c r="G122" s="35" t="e">
        <f t="shared" si="49"/>
        <v>#DIV/0!</v>
      </c>
      <c r="H122" s="24">
        <f t="shared" ref="H122:AE122" si="61">H124+H125</f>
        <v>0</v>
      </c>
      <c r="I122" s="24">
        <f t="shared" si="61"/>
        <v>0</v>
      </c>
      <c r="J122" s="24">
        <f t="shared" si="61"/>
        <v>0</v>
      </c>
      <c r="K122" s="24">
        <f t="shared" si="61"/>
        <v>0</v>
      </c>
      <c r="L122" s="24">
        <f t="shared" si="61"/>
        <v>0</v>
      </c>
      <c r="M122" s="24">
        <f t="shared" si="61"/>
        <v>0</v>
      </c>
      <c r="N122" s="24">
        <f t="shared" si="61"/>
        <v>0</v>
      </c>
      <c r="O122" s="24">
        <f t="shared" si="61"/>
        <v>0</v>
      </c>
      <c r="P122" s="24">
        <f t="shared" si="61"/>
        <v>0</v>
      </c>
      <c r="Q122" s="24">
        <f t="shared" si="61"/>
        <v>0</v>
      </c>
      <c r="R122" s="24">
        <f t="shared" si="61"/>
        <v>0</v>
      </c>
      <c r="S122" s="24">
        <f t="shared" si="61"/>
        <v>0</v>
      </c>
      <c r="T122" s="24">
        <f t="shared" si="61"/>
        <v>0</v>
      </c>
      <c r="U122" s="24">
        <f t="shared" si="61"/>
        <v>0</v>
      </c>
      <c r="V122" s="24">
        <f t="shared" si="61"/>
        <v>0</v>
      </c>
      <c r="W122" s="24">
        <f t="shared" si="61"/>
        <v>0</v>
      </c>
      <c r="X122" s="24">
        <f t="shared" si="61"/>
        <v>0</v>
      </c>
      <c r="Y122" s="24">
        <f t="shared" si="61"/>
        <v>0</v>
      </c>
      <c r="Z122" s="24">
        <f t="shared" si="61"/>
        <v>0</v>
      </c>
      <c r="AA122" s="24">
        <f t="shared" si="61"/>
        <v>0</v>
      </c>
      <c r="AB122" s="24">
        <f t="shared" si="61"/>
        <v>0</v>
      </c>
      <c r="AC122" s="24">
        <f t="shared" si="61"/>
        <v>0</v>
      </c>
      <c r="AD122" s="24">
        <f t="shared" si="61"/>
        <v>72.7</v>
      </c>
      <c r="AE122" s="24">
        <f t="shared" si="61"/>
        <v>0</v>
      </c>
      <c r="AF122" s="25"/>
      <c r="AH122" s="27"/>
    </row>
    <row r="123" spans="1:34" s="26" customFormat="1" x14ac:dyDescent="0.25">
      <c r="A123" s="28" t="s">
        <v>28</v>
      </c>
      <c r="B123" s="29">
        <f>B130</f>
        <v>0</v>
      </c>
      <c r="C123" s="29">
        <f t="shared" ref="C123:E123" si="62">C130</f>
        <v>0</v>
      </c>
      <c r="D123" s="29">
        <f t="shared" si="62"/>
        <v>0</v>
      </c>
      <c r="E123" s="29">
        <f t="shared" si="62"/>
        <v>0</v>
      </c>
      <c r="F123" s="37" t="e">
        <f t="shared" si="48"/>
        <v>#DIV/0!</v>
      </c>
      <c r="G123" s="37" t="e">
        <f t="shared" si="49"/>
        <v>#DIV/0!</v>
      </c>
      <c r="H123" s="29">
        <f t="shared" ref="H123:AE127" si="63">H116</f>
        <v>0</v>
      </c>
      <c r="I123" s="29">
        <f t="shared" si="63"/>
        <v>0</v>
      </c>
      <c r="J123" s="29">
        <f t="shared" si="63"/>
        <v>0</v>
      </c>
      <c r="K123" s="29">
        <f t="shared" si="63"/>
        <v>0</v>
      </c>
      <c r="L123" s="29">
        <f t="shared" si="63"/>
        <v>0</v>
      </c>
      <c r="M123" s="29">
        <f t="shared" si="63"/>
        <v>0</v>
      </c>
      <c r="N123" s="29">
        <f t="shared" si="63"/>
        <v>0</v>
      </c>
      <c r="O123" s="29">
        <f t="shared" si="63"/>
        <v>0</v>
      </c>
      <c r="P123" s="29">
        <f t="shared" si="63"/>
        <v>0</v>
      </c>
      <c r="Q123" s="29">
        <f t="shared" si="63"/>
        <v>0</v>
      </c>
      <c r="R123" s="29">
        <f t="shared" si="63"/>
        <v>0</v>
      </c>
      <c r="S123" s="29">
        <f t="shared" si="63"/>
        <v>0</v>
      </c>
      <c r="T123" s="29">
        <f t="shared" si="63"/>
        <v>0</v>
      </c>
      <c r="U123" s="29">
        <f t="shared" si="63"/>
        <v>0</v>
      </c>
      <c r="V123" s="29">
        <f t="shared" si="63"/>
        <v>0</v>
      </c>
      <c r="W123" s="29">
        <f t="shared" si="63"/>
        <v>0</v>
      </c>
      <c r="X123" s="29">
        <f t="shared" si="63"/>
        <v>0</v>
      </c>
      <c r="Y123" s="29">
        <f t="shared" si="63"/>
        <v>0</v>
      </c>
      <c r="Z123" s="29">
        <f t="shared" si="63"/>
        <v>0</v>
      </c>
      <c r="AA123" s="29">
        <f t="shared" si="63"/>
        <v>0</v>
      </c>
      <c r="AB123" s="29">
        <f t="shared" si="63"/>
        <v>0</v>
      </c>
      <c r="AC123" s="29">
        <f t="shared" si="63"/>
        <v>0</v>
      </c>
      <c r="AD123" s="29">
        <f t="shared" si="63"/>
        <v>0</v>
      </c>
      <c r="AE123" s="29">
        <f t="shared" si="63"/>
        <v>0</v>
      </c>
      <c r="AF123" s="30"/>
      <c r="AH123" s="27"/>
    </row>
    <row r="124" spans="1:34" s="26" customFormat="1" x14ac:dyDescent="0.25">
      <c r="A124" s="28" t="s">
        <v>29</v>
      </c>
      <c r="B124" s="29">
        <f t="shared" ref="B124:E127" si="64">B131</f>
        <v>72.7</v>
      </c>
      <c r="C124" s="31">
        <f>C131</f>
        <v>0</v>
      </c>
      <c r="D124" s="31">
        <f t="shared" si="64"/>
        <v>0</v>
      </c>
      <c r="E124" s="31">
        <f t="shared" si="64"/>
        <v>0</v>
      </c>
      <c r="F124" s="37">
        <f t="shared" si="48"/>
        <v>0</v>
      </c>
      <c r="G124" s="37" t="e">
        <f t="shared" si="49"/>
        <v>#DIV/0!</v>
      </c>
      <c r="H124" s="31">
        <f t="shared" si="63"/>
        <v>0</v>
      </c>
      <c r="I124" s="31">
        <f t="shared" si="63"/>
        <v>0</v>
      </c>
      <c r="J124" s="31">
        <f t="shared" si="63"/>
        <v>0</v>
      </c>
      <c r="K124" s="31">
        <f t="shared" si="63"/>
        <v>0</v>
      </c>
      <c r="L124" s="31">
        <f t="shared" si="63"/>
        <v>0</v>
      </c>
      <c r="M124" s="31">
        <f t="shared" si="63"/>
        <v>0</v>
      </c>
      <c r="N124" s="31">
        <f t="shared" si="63"/>
        <v>0</v>
      </c>
      <c r="O124" s="31">
        <f t="shared" si="63"/>
        <v>0</v>
      </c>
      <c r="P124" s="31">
        <f t="shared" si="63"/>
        <v>0</v>
      </c>
      <c r="Q124" s="31">
        <f t="shared" si="63"/>
        <v>0</v>
      </c>
      <c r="R124" s="31">
        <f t="shared" si="63"/>
        <v>0</v>
      </c>
      <c r="S124" s="31">
        <f t="shared" si="63"/>
        <v>0</v>
      </c>
      <c r="T124" s="31">
        <f t="shared" si="63"/>
        <v>0</v>
      </c>
      <c r="U124" s="31">
        <f t="shared" si="63"/>
        <v>0</v>
      </c>
      <c r="V124" s="31">
        <f t="shared" si="63"/>
        <v>0</v>
      </c>
      <c r="W124" s="31">
        <f t="shared" si="63"/>
        <v>0</v>
      </c>
      <c r="X124" s="31">
        <f t="shared" si="63"/>
        <v>0</v>
      </c>
      <c r="Y124" s="31">
        <f t="shared" si="63"/>
        <v>0</v>
      </c>
      <c r="Z124" s="31">
        <f t="shared" si="63"/>
        <v>0</v>
      </c>
      <c r="AA124" s="31">
        <f t="shared" si="63"/>
        <v>0</v>
      </c>
      <c r="AB124" s="31">
        <f t="shared" si="63"/>
        <v>0</v>
      </c>
      <c r="AC124" s="31">
        <f t="shared" si="63"/>
        <v>0</v>
      </c>
      <c r="AD124" s="31">
        <f t="shared" si="63"/>
        <v>72.7</v>
      </c>
      <c r="AE124" s="31">
        <f t="shared" si="63"/>
        <v>0</v>
      </c>
      <c r="AF124" s="30"/>
      <c r="AH124" s="27"/>
    </row>
    <row r="125" spans="1:34" s="26" customFormat="1" x14ac:dyDescent="0.25">
      <c r="A125" s="28" t="s">
        <v>30</v>
      </c>
      <c r="B125" s="29">
        <f t="shared" si="64"/>
        <v>0</v>
      </c>
      <c r="C125" s="31">
        <f t="shared" si="64"/>
        <v>0</v>
      </c>
      <c r="D125" s="31">
        <f t="shared" si="64"/>
        <v>0</v>
      </c>
      <c r="E125" s="31">
        <f t="shared" si="64"/>
        <v>0</v>
      </c>
      <c r="F125" s="37" t="e">
        <f t="shared" si="48"/>
        <v>#DIV/0!</v>
      </c>
      <c r="G125" s="37" t="e">
        <f t="shared" si="49"/>
        <v>#DIV/0!</v>
      </c>
      <c r="H125" s="31">
        <f t="shared" si="63"/>
        <v>0</v>
      </c>
      <c r="I125" s="31">
        <f t="shared" si="63"/>
        <v>0</v>
      </c>
      <c r="J125" s="31">
        <f t="shared" si="63"/>
        <v>0</v>
      </c>
      <c r="K125" s="31">
        <f t="shared" si="63"/>
        <v>0</v>
      </c>
      <c r="L125" s="31">
        <f t="shared" si="63"/>
        <v>0</v>
      </c>
      <c r="M125" s="31">
        <f t="shared" si="63"/>
        <v>0</v>
      </c>
      <c r="N125" s="31">
        <f t="shared" si="63"/>
        <v>0</v>
      </c>
      <c r="O125" s="31">
        <f t="shared" si="63"/>
        <v>0</v>
      </c>
      <c r="P125" s="31">
        <f t="shared" si="63"/>
        <v>0</v>
      </c>
      <c r="Q125" s="31">
        <f t="shared" si="63"/>
        <v>0</v>
      </c>
      <c r="R125" s="31">
        <f t="shared" si="63"/>
        <v>0</v>
      </c>
      <c r="S125" s="31">
        <f t="shared" si="63"/>
        <v>0</v>
      </c>
      <c r="T125" s="31">
        <f t="shared" si="63"/>
        <v>0</v>
      </c>
      <c r="U125" s="31">
        <f t="shared" si="63"/>
        <v>0</v>
      </c>
      <c r="V125" s="31">
        <f t="shared" si="63"/>
        <v>0</v>
      </c>
      <c r="W125" s="31">
        <f t="shared" si="63"/>
        <v>0</v>
      </c>
      <c r="X125" s="31">
        <f t="shared" si="63"/>
        <v>0</v>
      </c>
      <c r="Y125" s="31">
        <f t="shared" si="63"/>
        <v>0</v>
      </c>
      <c r="Z125" s="31">
        <f t="shared" si="63"/>
        <v>0</v>
      </c>
      <c r="AA125" s="31">
        <f t="shared" si="63"/>
        <v>0</v>
      </c>
      <c r="AB125" s="31">
        <f t="shared" si="63"/>
        <v>0</v>
      </c>
      <c r="AC125" s="31">
        <f t="shared" si="63"/>
        <v>0</v>
      </c>
      <c r="AD125" s="31">
        <f t="shared" si="63"/>
        <v>0</v>
      </c>
      <c r="AE125" s="31">
        <f t="shared" si="63"/>
        <v>0</v>
      </c>
      <c r="AF125" s="30"/>
      <c r="AH125" s="27"/>
    </row>
    <row r="126" spans="1:34" s="26" customFormat="1" x14ac:dyDescent="0.25">
      <c r="A126" s="38" t="s">
        <v>31</v>
      </c>
      <c r="B126" s="29">
        <f t="shared" si="64"/>
        <v>0</v>
      </c>
      <c r="C126" s="29">
        <f t="shared" si="64"/>
        <v>0</v>
      </c>
      <c r="D126" s="29">
        <f t="shared" si="64"/>
        <v>0</v>
      </c>
      <c r="E126" s="29">
        <f t="shared" si="64"/>
        <v>0</v>
      </c>
      <c r="F126" s="37" t="e">
        <f t="shared" si="48"/>
        <v>#DIV/0!</v>
      </c>
      <c r="G126" s="37" t="e">
        <f t="shared" si="49"/>
        <v>#DIV/0!</v>
      </c>
      <c r="H126" s="29">
        <f t="shared" si="63"/>
        <v>0</v>
      </c>
      <c r="I126" s="29">
        <f t="shared" si="63"/>
        <v>0</v>
      </c>
      <c r="J126" s="29">
        <f t="shared" si="63"/>
        <v>0</v>
      </c>
      <c r="K126" s="29">
        <f t="shared" si="63"/>
        <v>0</v>
      </c>
      <c r="L126" s="29">
        <f t="shared" si="63"/>
        <v>0</v>
      </c>
      <c r="M126" s="29">
        <f t="shared" si="63"/>
        <v>0</v>
      </c>
      <c r="N126" s="29">
        <f t="shared" si="63"/>
        <v>0</v>
      </c>
      <c r="O126" s="29">
        <f t="shared" si="63"/>
        <v>0</v>
      </c>
      <c r="P126" s="29">
        <f t="shared" si="63"/>
        <v>0</v>
      </c>
      <c r="Q126" s="29">
        <f t="shared" si="63"/>
        <v>0</v>
      </c>
      <c r="R126" s="29">
        <f t="shared" si="63"/>
        <v>0</v>
      </c>
      <c r="S126" s="29">
        <f t="shared" si="63"/>
        <v>0</v>
      </c>
      <c r="T126" s="29">
        <f t="shared" si="63"/>
        <v>0</v>
      </c>
      <c r="U126" s="29">
        <f t="shared" si="63"/>
        <v>0</v>
      </c>
      <c r="V126" s="29">
        <f t="shared" si="63"/>
        <v>0</v>
      </c>
      <c r="W126" s="29">
        <f t="shared" si="63"/>
        <v>0</v>
      </c>
      <c r="X126" s="29">
        <f t="shared" si="63"/>
        <v>0</v>
      </c>
      <c r="Y126" s="29">
        <f t="shared" si="63"/>
        <v>0</v>
      </c>
      <c r="Z126" s="29">
        <f t="shared" si="63"/>
        <v>0</v>
      </c>
      <c r="AA126" s="29">
        <f t="shared" si="63"/>
        <v>0</v>
      </c>
      <c r="AB126" s="29">
        <f t="shared" si="63"/>
        <v>0</v>
      </c>
      <c r="AC126" s="29">
        <f t="shared" si="63"/>
        <v>0</v>
      </c>
      <c r="AD126" s="29">
        <f t="shared" si="63"/>
        <v>0</v>
      </c>
      <c r="AE126" s="29">
        <f t="shared" si="63"/>
        <v>0</v>
      </c>
      <c r="AF126" s="33"/>
      <c r="AH126" s="27"/>
    </row>
    <row r="127" spans="1:34" s="26" customFormat="1" x14ac:dyDescent="0.25">
      <c r="A127" s="28" t="s">
        <v>32</v>
      </c>
      <c r="B127" s="29">
        <f t="shared" si="64"/>
        <v>0</v>
      </c>
      <c r="C127" s="29">
        <f t="shared" si="64"/>
        <v>0</v>
      </c>
      <c r="D127" s="29">
        <f t="shared" si="64"/>
        <v>0</v>
      </c>
      <c r="E127" s="29">
        <f t="shared" si="64"/>
        <v>0</v>
      </c>
      <c r="F127" s="37" t="e">
        <f t="shared" si="48"/>
        <v>#DIV/0!</v>
      </c>
      <c r="G127" s="37" t="e">
        <f t="shared" si="49"/>
        <v>#DIV/0!</v>
      </c>
      <c r="H127" s="29">
        <f t="shared" si="63"/>
        <v>0</v>
      </c>
      <c r="I127" s="29">
        <f t="shared" si="63"/>
        <v>0</v>
      </c>
      <c r="J127" s="29">
        <f t="shared" si="63"/>
        <v>0</v>
      </c>
      <c r="K127" s="29">
        <f t="shared" si="63"/>
        <v>0</v>
      </c>
      <c r="L127" s="29">
        <f t="shared" si="63"/>
        <v>0</v>
      </c>
      <c r="M127" s="29">
        <f t="shared" si="63"/>
        <v>0</v>
      </c>
      <c r="N127" s="29">
        <f t="shared" si="63"/>
        <v>0</v>
      </c>
      <c r="O127" s="29">
        <f t="shared" si="63"/>
        <v>0</v>
      </c>
      <c r="P127" s="29">
        <f t="shared" si="63"/>
        <v>0</v>
      </c>
      <c r="Q127" s="29">
        <f t="shared" si="63"/>
        <v>0</v>
      </c>
      <c r="R127" s="29">
        <f t="shared" si="63"/>
        <v>0</v>
      </c>
      <c r="S127" s="29">
        <f t="shared" si="63"/>
        <v>0</v>
      </c>
      <c r="T127" s="29">
        <f t="shared" si="63"/>
        <v>0</v>
      </c>
      <c r="U127" s="29">
        <f t="shared" si="63"/>
        <v>0</v>
      </c>
      <c r="V127" s="29">
        <f t="shared" si="63"/>
        <v>0</v>
      </c>
      <c r="W127" s="29">
        <f t="shared" si="63"/>
        <v>0</v>
      </c>
      <c r="X127" s="29">
        <f t="shared" si="63"/>
        <v>0</v>
      </c>
      <c r="Y127" s="29">
        <f t="shared" si="63"/>
        <v>0</v>
      </c>
      <c r="Z127" s="29">
        <f t="shared" si="63"/>
        <v>0</v>
      </c>
      <c r="AA127" s="29">
        <f t="shared" si="63"/>
        <v>0</v>
      </c>
      <c r="AB127" s="29">
        <f t="shared" si="63"/>
        <v>0</v>
      </c>
      <c r="AC127" s="29">
        <f t="shared" si="63"/>
        <v>0</v>
      </c>
      <c r="AD127" s="29">
        <f t="shared" si="63"/>
        <v>0</v>
      </c>
      <c r="AE127" s="29">
        <f t="shared" si="63"/>
        <v>0</v>
      </c>
      <c r="AF127" s="33"/>
      <c r="AH127" s="27"/>
    </row>
    <row r="128" spans="1:34" s="105" customFormat="1" ht="52.5" customHeight="1" x14ac:dyDescent="0.25">
      <c r="A128" s="120" t="s">
        <v>60</v>
      </c>
      <c r="B128" s="121">
        <f>B129</f>
        <v>72.7</v>
      </c>
      <c r="C128" s="121">
        <f t="shared" ref="C128:AD128" si="65">C129</f>
        <v>0</v>
      </c>
      <c r="D128" s="121">
        <f t="shared" si="65"/>
        <v>0</v>
      </c>
      <c r="E128" s="121">
        <f t="shared" si="65"/>
        <v>0</v>
      </c>
      <c r="F128" s="103">
        <f t="shared" si="48"/>
        <v>0</v>
      </c>
      <c r="G128" s="103" t="e">
        <f t="shared" si="49"/>
        <v>#DIV/0!</v>
      </c>
      <c r="H128" s="121">
        <f>H129</f>
        <v>0</v>
      </c>
      <c r="I128" s="121">
        <f t="shared" si="65"/>
        <v>0</v>
      </c>
      <c r="J128" s="121">
        <f>J129</f>
        <v>0</v>
      </c>
      <c r="K128" s="121">
        <f t="shared" si="65"/>
        <v>0</v>
      </c>
      <c r="L128" s="121">
        <f t="shared" si="65"/>
        <v>0</v>
      </c>
      <c r="M128" s="121">
        <f t="shared" si="65"/>
        <v>0</v>
      </c>
      <c r="N128" s="121">
        <f t="shared" si="65"/>
        <v>0</v>
      </c>
      <c r="O128" s="121">
        <f t="shared" si="65"/>
        <v>0</v>
      </c>
      <c r="P128" s="121">
        <f>P129</f>
        <v>0</v>
      </c>
      <c r="Q128" s="121">
        <f t="shared" si="65"/>
        <v>0</v>
      </c>
      <c r="R128" s="121">
        <f t="shared" si="65"/>
        <v>0</v>
      </c>
      <c r="S128" s="121">
        <f t="shared" si="65"/>
        <v>0</v>
      </c>
      <c r="T128" s="121">
        <f>T129</f>
        <v>0</v>
      </c>
      <c r="U128" s="121">
        <f t="shared" si="65"/>
        <v>0</v>
      </c>
      <c r="V128" s="121">
        <f t="shared" si="65"/>
        <v>0</v>
      </c>
      <c r="W128" s="121">
        <f t="shared" si="65"/>
        <v>0</v>
      </c>
      <c r="X128" s="121">
        <f>X129</f>
        <v>0</v>
      </c>
      <c r="Y128" s="121">
        <f t="shared" si="65"/>
        <v>0</v>
      </c>
      <c r="Z128" s="121">
        <f t="shared" si="65"/>
        <v>0</v>
      </c>
      <c r="AA128" s="121">
        <f t="shared" si="65"/>
        <v>0</v>
      </c>
      <c r="AB128" s="121">
        <f t="shared" si="65"/>
        <v>0</v>
      </c>
      <c r="AC128" s="121">
        <f t="shared" si="65"/>
        <v>0</v>
      </c>
      <c r="AD128" s="121">
        <f t="shared" si="65"/>
        <v>72.7</v>
      </c>
      <c r="AE128" s="126"/>
      <c r="AF128" s="122"/>
      <c r="AH128" s="106"/>
    </row>
    <row r="129" spans="1:35" s="26" customFormat="1" x14ac:dyDescent="0.25">
      <c r="A129" s="23" t="s">
        <v>27</v>
      </c>
      <c r="B129" s="24">
        <f>B131+B132</f>
        <v>72.7</v>
      </c>
      <c r="C129" s="24">
        <f>C131+C132</f>
        <v>0</v>
      </c>
      <c r="D129" s="24">
        <f t="shared" ref="D129" si="66">D131+D132</f>
        <v>0</v>
      </c>
      <c r="E129" s="24">
        <f>E131+E132</f>
        <v>0</v>
      </c>
      <c r="F129" s="35">
        <f t="shared" si="48"/>
        <v>0</v>
      </c>
      <c r="G129" s="35" t="e">
        <f t="shared" si="49"/>
        <v>#DIV/0!</v>
      </c>
      <c r="H129" s="24">
        <f t="shared" ref="H129:AE129" si="67">H131+H132</f>
        <v>0</v>
      </c>
      <c r="I129" s="24">
        <f t="shared" si="67"/>
        <v>0</v>
      </c>
      <c r="J129" s="24">
        <f t="shared" si="67"/>
        <v>0</v>
      </c>
      <c r="K129" s="24">
        <f t="shared" si="67"/>
        <v>0</v>
      </c>
      <c r="L129" s="24">
        <f t="shared" si="67"/>
        <v>0</v>
      </c>
      <c r="M129" s="24">
        <f t="shared" si="67"/>
        <v>0</v>
      </c>
      <c r="N129" s="24">
        <f t="shared" si="67"/>
        <v>0</v>
      </c>
      <c r="O129" s="24">
        <f t="shared" si="67"/>
        <v>0</v>
      </c>
      <c r="P129" s="24">
        <f t="shared" si="67"/>
        <v>0</v>
      </c>
      <c r="Q129" s="24">
        <f t="shared" si="67"/>
        <v>0</v>
      </c>
      <c r="R129" s="24">
        <f t="shared" si="67"/>
        <v>0</v>
      </c>
      <c r="S129" s="24">
        <f t="shared" si="67"/>
        <v>0</v>
      </c>
      <c r="T129" s="24">
        <f t="shared" si="67"/>
        <v>0</v>
      </c>
      <c r="U129" s="24">
        <f t="shared" si="67"/>
        <v>0</v>
      </c>
      <c r="V129" s="24">
        <f t="shared" si="67"/>
        <v>0</v>
      </c>
      <c r="W129" s="24">
        <f t="shared" si="67"/>
        <v>0</v>
      </c>
      <c r="X129" s="24">
        <f t="shared" si="67"/>
        <v>0</v>
      </c>
      <c r="Y129" s="24">
        <f t="shared" si="67"/>
        <v>0</v>
      </c>
      <c r="Z129" s="24">
        <f t="shared" si="67"/>
        <v>0</v>
      </c>
      <c r="AA129" s="24">
        <f t="shared" si="67"/>
        <v>0</v>
      </c>
      <c r="AB129" s="24">
        <f t="shared" si="67"/>
        <v>0</v>
      </c>
      <c r="AC129" s="24">
        <f t="shared" si="67"/>
        <v>0</v>
      </c>
      <c r="AD129" s="24">
        <f t="shared" si="67"/>
        <v>72.7</v>
      </c>
      <c r="AE129" s="24">
        <f t="shared" si="67"/>
        <v>0</v>
      </c>
      <c r="AF129" s="25"/>
      <c r="AH129" s="27"/>
    </row>
    <row r="130" spans="1:35" s="26" customFormat="1" x14ac:dyDescent="0.25">
      <c r="A130" s="28" t="s">
        <v>28</v>
      </c>
      <c r="B130" s="29">
        <f t="shared" ref="B130:E134" si="68">B116</f>
        <v>0</v>
      </c>
      <c r="C130" s="29">
        <f t="shared" si="68"/>
        <v>0</v>
      </c>
      <c r="D130" s="29">
        <f t="shared" si="68"/>
        <v>0</v>
      </c>
      <c r="E130" s="29">
        <f t="shared" si="68"/>
        <v>0</v>
      </c>
      <c r="F130" s="37" t="e">
        <f t="shared" si="48"/>
        <v>#DIV/0!</v>
      </c>
      <c r="G130" s="37" t="e">
        <f t="shared" si="49"/>
        <v>#DIV/0!</v>
      </c>
      <c r="H130" s="29">
        <f>H123</f>
        <v>0</v>
      </c>
      <c r="I130" s="29">
        <f t="shared" ref="I130:AE130" si="69">I123</f>
        <v>0</v>
      </c>
      <c r="J130" s="29">
        <f t="shared" si="69"/>
        <v>0</v>
      </c>
      <c r="K130" s="29">
        <f t="shared" si="69"/>
        <v>0</v>
      </c>
      <c r="L130" s="29">
        <f t="shared" si="69"/>
        <v>0</v>
      </c>
      <c r="M130" s="29">
        <f t="shared" si="69"/>
        <v>0</v>
      </c>
      <c r="N130" s="29">
        <f t="shared" si="69"/>
        <v>0</v>
      </c>
      <c r="O130" s="29">
        <f t="shared" si="69"/>
        <v>0</v>
      </c>
      <c r="P130" s="29">
        <f t="shared" si="69"/>
        <v>0</v>
      </c>
      <c r="Q130" s="29">
        <f t="shared" si="69"/>
        <v>0</v>
      </c>
      <c r="R130" s="29">
        <f t="shared" si="69"/>
        <v>0</v>
      </c>
      <c r="S130" s="29">
        <f t="shared" si="69"/>
        <v>0</v>
      </c>
      <c r="T130" s="29">
        <f t="shared" si="69"/>
        <v>0</v>
      </c>
      <c r="U130" s="29">
        <f t="shared" si="69"/>
        <v>0</v>
      </c>
      <c r="V130" s="29">
        <f t="shared" si="69"/>
        <v>0</v>
      </c>
      <c r="W130" s="29">
        <f t="shared" si="69"/>
        <v>0</v>
      </c>
      <c r="X130" s="29">
        <f t="shared" si="69"/>
        <v>0</v>
      </c>
      <c r="Y130" s="29">
        <f t="shared" si="69"/>
        <v>0</v>
      </c>
      <c r="Z130" s="29">
        <f t="shared" si="69"/>
        <v>0</v>
      </c>
      <c r="AA130" s="29">
        <f t="shared" si="69"/>
        <v>0</v>
      </c>
      <c r="AB130" s="29">
        <f t="shared" si="69"/>
        <v>0</v>
      </c>
      <c r="AC130" s="29">
        <f t="shared" si="69"/>
        <v>0</v>
      </c>
      <c r="AD130" s="29">
        <f t="shared" si="69"/>
        <v>0</v>
      </c>
      <c r="AE130" s="29">
        <f t="shared" si="69"/>
        <v>0</v>
      </c>
      <c r="AF130" s="30"/>
      <c r="AH130" s="27"/>
    </row>
    <row r="131" spans="1:35" s="26" customFormat="1" x14ac:dyDescent="0.25">
      <c r="A131" s="28" t="s">
        <v>29</v>
      </c>
      <c r="B131" s="29">
        <f>B117</f>
        <v>72.7</v>
      </c>
      <c r="C131" s="31">
        <f t="shared" si="68"/>
        <v>0</v>
      </c>
      <c r="D131" s="31">
        <f t="shared" si="68"/>
        <v>0</v>
      </c>
      <c r="E131" s="31">
        <f t="shared" si="68"/>
        <v>0</v>
      </c>
      <c r="F131" s="37">
        <f t="shared" si="48"/>
        <v>0</v>
      </c>
      <c r="G131" s="37" t="e">
        <f t="shared" si="49"/>
        <v>#DIV/0!</v>
      </c>
      <c r="H131" s="29">
        <f t="shared" ref="H131:AE134" si="70">H124</f>
        <v>0</v>
      </c>
      <c r="I131" s="31">
        <f t="shared" si="70"/>
        <v>0</v>
      </c>
      <c r="J131" s="31">
        <f t="shared" si="70"/>
        <v>0</v>
      </c>
      <c r="K131" s="31">
        <f t="shared" si="70"/>
        <v>0</v>
      </c>
      <c r="L131" s="29">
        <f t="shared" si="70"/>
        <v>0</v>
      </c>
      <c r="M131" s="31">
        <f t="shared" si="70"/>
        <v>0</v>
      </c>
      <c r="N131" s="31">
        <f t="shared" si="70"/>
        <v>0</v>
      </c>
      <c r="O131" s="31">
        <f t="shared" si="70"/>
        <v>0</v>
      </c>
      <c r="P131" s="29">
        <f t="shared" si="70"/>
        <v>0</v>
      </c>
      <c r="Q131" s="31">
        <f t="shared" si="70"/>
        <v>0</v>
      </c>
      <c r="R131" s="31">
        <f t="shared" si="70"/>
        <v>0</v>
      </c>
      <c r="S131" s="31">
        <f t="shared" si="70"/>
        <v>0</v>
      </c>
      <c r="T131" s="29">
        <f t="shared" si="70"/>
        <v>0</v>
      </c>
      <c r="U131" s="31">
        <f t="shared" si="70"/>
        <v>0</v>
      </c>
      <c r="V131" s="31">
        <f t="shared" si="70"/>
        <v>0</v>
      </c>
      <c r="W131" s="31">
        <f t="shared" si="70"/>
        <v>0</v>
      </c>
      <c r="X131" s="29">
        <f t="shared" si="70"/>
        <v>0</v>
      </c>
      <c r="Y131" s="31">
        <f t="shared" si="70"/>
        <v>0</v>
      </c>
      <c r="Z131" s="31">
        <f t="shared" si="70"/>
        <v>0</v>
      </c>
      <c r="AA131" s="31">
        <f t="shared" si="70"/>
        <v>0</v>
      </c>
      <c r="AB131" s="29">
        <f t="shared" si="70"/>
        <v>0</v>
      </c>
      <c r="AC131" s="31">
        <f t="shared" si="70"/>
        <v>0</v>
      </c>
      <c r="AD131" s="31">
        <f t="shared" si="70"/>
        <v>72.7</v>
      </c>
      <c r="AE131" s="31">
        <f t="shared" si="70"/>
        <v>0</v>
      </c>
      <c r="AF131" s="30"/>
      <c r="AH131" s="27"/>
    </row>
    <row r="132" spans="1:35" s="26" customFormat="1" x14ac:dyDescent="0.25">
      <c r="A132" s="28" t="s">
        <v>30</v>
      </c>
      <c r="B132" s="29">
        <f t="shared" si="68"/>
        <v>0</v>
      </c>
      <c r="C132" s="31">
        <f t="shared" si="68"/>
        <v>0</v>
      </c>
      <c r="D132" s="31">
        <f t="shared" si="68"/>
        <v>0</v>
      </c>
      <c r="E132" s="31">
        <f t="shared" si="68"/>
        <v>0</v>
      </c>
      <c r="F132" s="37" t="e">
        <f t="shared" si="48"/>
        <v>#DIV/0!</v>
      </c>
      <c r="G132" s="37" t="e">
        <f t="shared" si="49"/>
        <v>#DIV/0!</v>
      </c>
      <c r="H132" s="29">
        <f t="shared" si="70"/>
        <v>0</v>
      </c>
      <c r="I132" s="31">
        <f t="shared" si="70"/>
        <v>0</v>
      </c>
      <c r="J132" s="31">
        <f t="shared" si="70"/>
        <v>0</v>
      </c>
      <c r="K132" s="31">
        <f t="shared" si="70"/>
        <v>0</v>
      </c>
      <c r="L132" s="29">
        <f t="shared" si="70"/>
        <v>0</v>
      </c>
      <c r="M132" s="31">
        <f t="shared" si="70"/>
        <v>0</v>
      </c>
      <c r="N132" s="31">
        <f t="shared" si="70"/>
        <v>0</v>
      </c>
      <c r="O132" s="31">
        <f t="shared" si="70"/>
        <v>0</v>
      </c>
      <c r="P132" s="29">
        <f t="shared" si="70"/>
        <v>0</v>
      </c>
      <c r="Q132" s="31">
        <f t="shared" si="70"/>
        <v>0</v>
      </c>
      <c r="R132" s="31">
        <f t="shared" si="70"/>
        <v>0</v>
      </c>
      <c r="S132" s="31">
        <f t="shared" si="70"/>
        <v>0</v>
      </c>
      <c r="T132" s="29">
        <f t="shared" si="70"/>
        <v>0</v>
      </c>
      <c r="U132" s="31">
        <f t="shared" si="70"/>
        <v>0</v>
      </c>
      <c r="V132" s="31">
        <f t="shared" si="70"/>
        <v>0</v>
      </c>
      <c r="W132" s="31">
        <f t="shared" si="70"/>
        <v>0</v>
      </c>
      <c r="X132" s="29">
        <f t="shared" si="70"/>
        <v>0</v>
      </c>
      <c r="Y132" s="31">
        <f t="shared" si="70"/>
        <v>0</v>
      </c>
      <c r="Z132" s="31">
        <f t="shared" si="70"/>
        <v>0</v>
      </c>
      <c r="AA132" s="31">
        <f t="shared" si="70"/>
        <v>0</v>
      </c>
      <c r="AB132" s="29">
        <f t="shared" si="70"/>
        <v>0</v>
      </c>
      <c r="AC132" s="31">
        <f t="shared" si="70"/>
        <v>0</v>
      </c>
      <c r="AD132" s="31">
        <f t="shared" si="70"/>
        <v>0</v>
      </c>
      <c r="AE132" s="31">
        <f t="shared" si="70"/>
        <v>0</v>
      </c>
      <c r="AF132" s="30"/>
      <c r="AH132" s="27"/>
    </row>
    <row r="133" spans="1:35" s="26" customFormat="1" x14ac:dyDescent="0.25">
      <c r="A133" s="38" t="s">
        <v>31</v>
      </c>
      <c r="B133" s="29">
        <f t="shared" si="68"/>
        <v>0</v>
      </c>
      <c r="C133" s="29">
        <f t="shared" si="68"/>
        <v>0</v>
      </c>
      <c r="D133" s="29">
        <f t="shared" si="68"/>
        <v>0</v>
      </c>
      <c r="E133" s="29">
        <f t="shared" si="68"/>
        <v>0</v>
      </c>
      <c r="F133" s="37" t="e">
        <f t="shared" si="48"/>
        <v>#DIV/0!</v>
      </c>
      <c r="G133" s="37" t="e">
        <f t="shared" si="49"/>
        <v>#DIV/0!</v>
      </c>
      <c r="H133" s="29">
        <f t="shared" si="70"/>
        <v>0</v>
      </c>
      <c r="I133" s="29">
        <f t="shared" si="70"/>
        <v>0</v>
      </c>
      <c r="J133" s="29">
        <f t="shared" si="70"/>
        <v>0</v>
      </c>
      <c r="K133" s="29">
        <f t="shared" si="70"/>
        <v>0</v>
      </c>
      <c r="L133" s="29">
        <f t="shared" si="70"/>
        <v>0</v>
      </c>
      <c r="M133" s="29">
        <f t="shared" si="70"/>
        <v>0</v>
      </c>
      <c r="N133" s="29">
        <f t="shared" si="70"/>
        <v>0</v>
      </c>
      <c r="O133" s="29">
        <f t="shared" si="70"/>
        <v>0</v>
      </c>
      <c r="P133" s="29">
        <f t="shared" si="70"/>
        <v>0</v>
      </c>
      <c r="Q133" s="29">
        <f t="shared" si="70"/>
        <v>0</v>
      </c>
      <c r="R133" s="29">
        <f t="shared" si="70"/>
        <v>0</v>
      </c>
      <c r="S133" s="29">
        <f t="shared" si="70"/>
        <v>0</v>
      </c>
      <c r="T133" s="29">
        <f t="shared" si="70"/>
        <v>0</v>
      </c>
      <c r="U133" s="29">
        <f t="shared" si="70"/>
        <v>0</v>
      </c>
      <c r="V133" s="29">
        <f t="shared" si="70"/>
        <v>0</v>
      </c>
      <c r="W133" s="29">
        <f t="shared" si="70"/>
        <v>0</v>
      </c>
      <c r="X133" s="29">
        <f t="shared" si="70"/>
        <v>0</v>
      </c>
      <c r="Y133" s="29">
        <f t="shared" si="70"/>
        <v>0</v>
      </c>
      <c r="Z133" s="29">
        <f t="shared" si="70"/>
        <v>0</v>
      </c>
      <c r="AA133" s="29">
        <f t="shared" si="70"/>
        <v>0</v>
      </c>
      <c r="AB133" s="29">
        <f t="shared" si="70"/>
        <v>0</v>
      </c>
      <c r="AC133" s="29">
        <f t="shared" si="70"/>
        <v>0</v>
      </c>
      <c r="AD133" s="29">
        <f t="shared" si="70"/>
        <v>0</v>
      </c>
      <c r="AE133" s="29">
        <f t="shared" si="70"/>
        <v>0</v>
      </c>
      <c r="AF133" s="33"/>
      <c r="AH133" s="27"/>
    </row>
    <row r="134" spans="1:35" s="26" customFormat="1" x14ac:dyDescent="0.25">
      <c r="A134" s="28" t="s">
        <v>32</v>
      </c>
      <c r="B134" s="29">
        <f t="shared" si="68"/>
        <v>0</v>
      </c>
      <c r="C134" s="29">
        <f t="shared" si="68"/>
        <v>0</v>
      </c>
      <c r="D134" s="29">
        <f t="shared" si="68"/>
        <v>0</v>
      </c>
      <c r="E134" s="29">
        <f t="shared" si="68"/>
        <v>0</v>
      </c>
      <c r="F134" s="37" t="e">
        <f t="shared" si="48"/>
        <v>#DIV/0!</v>
      </c>
      <c r="G134" s="37" t="e">
        <f t="shared" si="49"/>
        <v>#DIV/0!</v>
      </c>
      <c r="H134" s="29">
        <f t="shared" si="70"/>
        <v>0</v>
      </c>
      <c r="I134" s="29">
        <f t="shared" si="70"/>
        <v>0</v>
      </c>
      <c r="J134" s="29">
        <f t="shared" si="70"/>
        <v>0</v>
      </c>
      <c r="K134" s="29">
        <f t="shared" si="70"/>
        <v>0</v>
      </c>
      <c r="L134" s="29">
        <f t="shared" si="70"/>
        <v>0</v>
      </c>
      <c r="M134" s="29">
        <f t="shared" si="70"/>
        <v>0</v>
      </c>
      <c r="N134" s="29">
        <f t="shared" si="70"/>
        <v>0</v>
      </c>
      <c r="O134" s="29">
        <f t="shared" si="70"/>
        <v>0</v>
      </c>
      <c r="P134" s="29">
        <f t="shared" si="70"/>
        <v>0</v>
      </c>
      <c r="Q134" s="29">
        <f t="shared" si="70"/>
        <v>0</v>
      </c>
      <c r="R134" s="29">
        <f t="shared" si="70"/>
        <v>0</v>
      </c>
      <c r="S134" s="29">
        <f t="shared" si="70"/>
        <v>0</v>
      </c>
      <c r="T134" s="29">
        <f t="shared" si="70"/>
        <v>0</v>
      </c>
      <c r="U134" s="29">
        <f t="shared" si="70"/>
        <v>0</v>
      </c>
      <c r="V134" s="29">
        <f t="shared" si="70"/>
        <v>0</v>
      </c>
      <c r="W134" s="29">
        <f t="shared" si="70"/>
        <v>0</v>
      </c>
      <c r="X134" s="29">
        <f t="shared" si="70"/>
        <v>0</v>
      </c>
      <c r="Y134" s="29">
        <f t="shared" si="70"/>
        <v>0</v>
      </c>
      <c r="Z134" s="29">
        <f t="shared" si="70"/>
        <v>0</v>
      </c>
      <c r="AA134" s="29">
        <f t="shared" si="70"/>
        <v>0</v>
      </c>
      <c r="AB134" s="29">
        <f t="shared" si="70"/>
        <v>0</v>
      </c>
      <c r="AC134" s="29">
        <f t="shared" si="70"/>
        <v>0</v>
      </c>
      <c r="AD134" s="29">
        <f t="shared" si="70"/>
        <v>0</v>
      </c>
      <c r="AE134" s="29">
        <f t="shared" si="70"/>
        <v>0</v>
      </c>
      <c r="AF134" s="33"/>
      <c r="AH134" s="27"/>
    </row>
    <row r="135" spans="1:35" s="132" customFormat="1" ht="33.75" customHeight="1" x14ac:dyDescent="0.25">
      <c r="A135" s="127" t="s">
        <v>61</v>
      </c>
      <c r="B135" s="102">
        <f>B137+B138</f>
        <v>23538.059000000001</v>
      </c>
      <c r="C135" s="102">
        <f t="shared" ref="C135:E135" si="71">C137+C138</f>
        <v>4194.7259899999999</v>
      </c>
      <c r="D135" s="102">
        <f t="shared" si="71"/>
        <v>4273.6254600000002</v>
      </c>
      <c r="E135" s="102">
        <f t="shared" si="71"/>
        <v>3092.1605599999998</v>
      </c>
      <c r="F135" s="128">
        <f>E135/B135</f>
        <v>0.13136854487449454</v>
      </c>
      <c r="G135" s="128">
        <f>E135/C135</f>
        <v>0.73715436177989779</v>
      </c>
      <c r="H135" s="102">
        <f>H137+H138</f>
        <v>330.62811000000005</v>
      </c>
      <c r="I135" s="102">
        <f t="shared" ref="I135:AE135" si="72">I137+I138</f>
        <v>251.55367999999999</v>
      </c>
      <c r="J135" s="102">
        <f t="shared" si="72"/>
        <v>664.28970000000004</v>
      </c>
      <c r="K135" s="102">
        <f t="shared" si="72"/>
        <v>634.66197999999997</v>
      </c>
      <c r="L135" s="102">
        <f t="shared" si="72"/>
        <v>575.14682999999991</v>
      </c>
      <c r="M135" s="102">
        <f t="shared" si="72"/>
        <v>598.81928999999991</v>
      </c>
      <c r="N135" s="102">
        <f t="shared" si="72"/>
        <v>1685.16841</v>
      </c>
      <c r="O135" s="102">
        <f t="shared" si="72"/>
        <v>1083.8541599999999</v>
      </c>
      <c r="P135" s="102">
        <f t="shared" si="72"/>
        <v>939.49293999999998</v>
      </c>
      <c r="Q135" s="102">
        <f t="shared" si="72"/>
        <v>523.27144999999996</v>
      </c>
      <c r="R135" s="102">
        <f t="shared" si="72"/>
        <v>5674.6425900000004</v>
      </c>
      <c r="S135" s="102">
        <f t="shared" si="72"/>
        <v>0</v>
      </c>
      <c r="T135" s="102">
        <f t="shared" si="72"/>
        <v>5506.7494399999996</v>
      </c>
      <c r="U135" s="102">
        <f t="shared" si="72"/>
        <v>0</v>
      </c>
      <c r="V135" s="102">
        <f t="shared" si="72"/>
        <v>4703.3678900000004</v>
      </c>
      <c r="W135" s="102">
        <f t="shared" si="72"/>
        <v>0</v>
      </c>
      <c r="X135" s="102">
        <f t="shared" si="72"/>
        <v>1399.45669</v>
      </c>
      <c r="Y135" s="102">
        <f t="shared" si="72"/>
        <v>0</v>
      </c>
      <c r="Z135" s="102">
        <f t="shared" si="72"/>
        <v>1134.98947</v>
      </c>
      <c r="AA135" s="102">
        <f t="shared" si="72"/>
        <v>0</v>
      </c>
      <c r="AB135" s="102">
        <f t="shared" si="72"/>
        <v>601.96492999999998</v>
      </c>
      <c r="AC135" s="102">
        <f t="shared" si="72"/>
        <v>0</v>
      </c>
      <c r="AD135" s="102">
        <f t="shared" si="72"/>
        <v>322.16200000000003</v>
      </c>
      <c r="AE135" s="102">
        <f t="shared" si="72"/>
        <v>0</v>
      </c>
      <c r="AF135" s="129"/>
      <c r="AG135" s="130"/>
      <c r="AH135" s="131"/>
    </row>
    <row r="136" spans="1:35" s="26" customFormat="1" x14ac:dyDescent="0.25">
      <c r="A136" s="28" t="s">
        <v>28</v>
      </c>
      <c r="B136" s="29">
        <v>0</v>
      </c>
      <c r="C136" s="29">
        <v>0</v>
      </c>
      <c r="D136" s="29">
        <v>0</v>
      </c>
      <c r="E136" s="29">
        <v>0</v>
      </c>
      <c r="F136" s="37" t="e">
        <f>E136/B136</f>
        <v>#DIV/0!</v>
      </c>
      <c r="G136" s="37" t="e">
        <f>E136/C136</f>
        <v>#DIV/0!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  <c r="AF136" s="30"/>
      <c r="AH136" s="27"/>
    </row>
    <row r="137" spans="1:35" s="26" customFormat="1" ht="24" customHeight="1" x14ac:dyDescent="0.25">
      <c r="A137" s="28" t="s">
        <v>29</v>
      </c>
      <c r="B137" s="29">
        <f>B76+B109+B131</f>
        <v>6064.5999999999995</v>
      </c>
      <c r="C137" s="29">
        <f t="shared" ref="C137:AE138" si="73">C76+C109+C131</f>
        <v>1728.45507</v>
      </c>
      <c r="D137" s="29">
        <f t="shared" si="73"/>
        <v>1807.35454</v>
      </c>
      <c r="E137" s="29">
        <f t="shared" si="73"/>
        <v>1531.7567799999997</v>
      </c>
      <c r="F137" s="37">
        <f t="shared" ref="F137:F138" si="74">E137/B137</f>
        <v>0.25257342281436529</v>
      </c>
      <c r="G137" s="37">
        <f t="shared" ref="G137:G138" si="75">E137/C137</f>
        <v>0.88619994038954086</v>
      </c>
      <c r="H137" s="29">
        <f t="shared" si="73"/>
        <v>298.60859000000005</v>
      </c>
      <c r="I137" s="29">
        <f t="shared" si="73"/>
        <v>240.62367999999998</v>
      </c>
      <c r="J137" s="29">
        <f t="shared" si="73"/>
        <v>217.57587000000001</v>
      </c>
      <c r="K137" s="29">
        <f t="shared" si="73"/>
        <v>211.7</v>
      </c>
      <c r="L137" s="29">
        <f t="shared" si="73"/>
        <v>210.64987000000002</v>
      </c>
      <c r="M137" s="29">
        <f t="shared" si="73"/>
        <v>216.92000000000002</v>
      </c>
      <c r="N137" s="29">
        <f t="shared" si="73"/>
        <v>628.55087000000003</v>
      </c>
      <c r="O137" s="29">
        <f t="shared" si="73"/>
        <v>579.2731</v>
      </c>
      <c r="P137" s="29">
        <f t="shared" si="73"/>
        <v>373.06987000000004</v>
      </c>
      <c r="Q137" s="29">
        <f t="shared" si="73"/>
        <v>283.24</v>
      </c>
      <c r="R137" s="29">
        <f t="shared" si="73"/>
        <v>639.92587000000003</v>
      </c>
      <c r="S137" s="29">
        <f t="shared" si="73"/>
        <v>0</v>
      </c>
      <c r="T137" s="29">
        <f t="shared" si="73"/>
        <v>1088.2518700000001</v>
      </c>
      <c r="U137" s="29">
        <f t="shared" si="73"/>
        <v>0</v>
      </c>
      <c r="V137" s="29">
        <f t="shared" si="73"/>
        <v>853.96288000000004</v>
      </c>
      <c r="W137" s="29">
        <f t="shared" si="73"/>
        <v>0</v>
      </c>
      <c r="X137" s="29">
        <f t="shared" si="73"/>
        <v>795.77686999999992</v>
      </c>
      <c r="Y137" s="29">
        <f t="shared" si="73"/>
        <v>0</v>
      </c>
      <c r="Z137" s="29">
        <f t="shared" si="73"/>
        <v>417.51287000000002</v>
      </c>
      <c r="AA137" s="29">
        <f t="shared" si="73"/>
        <v>0</v>
      </c>
      <c r="AB137" s="29">
        <f t="shared" si="73"/>
        <v>240.49387000000002</v>
      </c>
      <c r="AC137" s="29">
        <f t="shared" si="73"/>
        <v>0</v>
      </c>
      <c r="AD137" s="29">
        <f t="shared" si="73"/>
        <v>300.22070000000002</v>
      </c>
      <c r="AE137" s="29">
        <f t="shared" si="73"/>
        <v>0</v>
      </c>
      <c r="AF137" s="100"/>
      <c r="AG137" s="98"/>
      <c r="AH137" s="27"/>
    </row>
    <row r="138" spans="1:35" s="26" customFormat="1" ht="27.75" customHeight="1" x14ac:dyDescent="0.25">
      <c r="A138" s="28" t="s">
        <v>30</v>
      </c>
      <c r="B138" s="29">
        <f>B77+B110+B132</f>
        <v>17473.459000000003</v>
      </c>
      <c r="C138" s="29">
        <f t="shared" si="73"/>
        <v>2466.2709199999999</v>
      </c>
      <c r="D138" s="29">
        <f t="shared" si="73"/>
        <v>2466.2709199999999</v>
      </c>
      <c r="E138" s="29">
        <f t="shared" si="73"/>
        <v>1560.4037800000001</v>
      </c>
      <c r="F138" s="37">
        <f t="shared" si="74"/>
        <v>8.930136729081517E-2</v>
      </c>
      <c r="G138" s="37">
        <f t="shared" si="75"/>
        <v>0.63269763566769877</v>
      </c>
      <c r="H138" s="29">
        <f t="shared" si="73"/>
        <v>32.01952</v>
      </c>
      <c r="I138" s="29">
        <f t="shared" si="73"/>
        <v>10.93</v>
      </c>
      <c r="J138" s="29">
        <f t="shared" si="73"/>
        <v>446.71382999999997</v>
      </c>
      <c r="K138" s="29">
        <f t="shared" si="73"/>
        <v>422.96197999999998</v>
      </c>
      <c r="L138" s="29">
        <f t="shared" si="73"/>
        <v>364.49695999999994</v>
      </c>
      <c r="M138" s="29">
        <f t="shared" si="73"/>
        <v>381.89928999999995</v>
      </c>
      <c r="N138" s="29">
        <f t="shared" si="73"/>
        <v>1056.61754</v>
      </c>
      <c r="O138" s="29">
        <f t="shared" si="73"/>
        <v>504.58105999999998</v>
      </c>
      <c r="P138" s="29">
        <f t="shared" si="73"/>
        <v>566.42306999999994</v>
      </c>
      <c r="Q138" s="29">
        <f t="shared" si="73"/>
        <v>240.03145000000001</v>
      </c>
      <c r="R138" s="29">
        <f t="shared" si="73"/>
        <v>5034.7167200000004</v>
      </c>
      <c r="S138" s="29">
        <f t="shared" si="73"/>
        <v>0</v>
      </c>
      <c r="T138" s="29">
        <f t="shared" si="73"/>
        <v>4418.4975699999995</v>
      </c>
      <c r="U138" s="29">
        <f t="shared" si="73"/>
        <v>0</v>
      </c>
      <c r="V138" s="29">
        <f t="shared" si="73"/>
        <v>3849.4050100000004</v>
      </c>
      <c r="W138" s="29">
        <f t="shared" si="73"/>
        <v>0</v>
      </c>
      <c r="X138" s="29">
        <f t="shared" si="73"/>
        <v>603.67982000000006</v>
      </c>
      <c r="Y138" s="29">
        <f t="shared" si="73"/>
        <v>0</v>
      </c>
      <c r="Z138" s="29">
        <f t="shared" si="73"/>
        <v>717.47660000000008</v>
      </c>
      <c r="AA138" s="29">
        <f t="shared" si="73"/>
        <v>0</v>
      </c>
      <c r="AB138" s="29">
        <f t="shared" si="73"/>
        <v>361.47105999999997</v>
      </c>
      <c r="AC138" s="29">
        <f t="shared" si="73"/>
        <v>0</v>
      </c>
      <c r="AD138" s="29">
        <f t="shared" si="73"/>
        <v>21.941299999999998</v>
      </c>
      <c r="AE138" s="29">
        <f t="shared" si="73"/>
        <v>0</v>
      </c>
      <c r="AF138" s="100"/>
      <c r="AG138" s="98"/>
      <c r="AH138" s="27"/>
    </row>
    <row r="139" spans="1:35" s="26" customFormat="1" x14ac:dyDescent="0.25">
      <c r="A139" s="38" t="s">
        <v>31</v>
      </c>
      <c r="B139" s="29">
        <v>0</v>
      </c>
      <c r="C139" s="31">
        <v>0</v>
      </c>
      <c r="D139" s="31">
        <v>0</v>
      </c>
      <c r="E139" s="31">
        <v>0</v>
      </c>
      <c r="F139" s="37" t="e">
        <f>E139/B139</f>
        <v>#DIV/0!</v>
      </c>
      <c r="G139" s="37" t="e">
        <f>E139/C139</f>
        <v>#DIV/0!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30"/>
      <c r="AH139" s="27"/>
    </row>
    <row r="140" spans="1:35" s="26" customFormat="1" x14ac:dyDescent="0.25">
      <c r="A140" s="28" t="s">
        <v>32</v>
      </c>
      <c r="B140" s="29">
        <v>0</v>
      </c>
      <c r="C140" s="31">
        <v>0</v>
      </c>
      <c r="D140" s="31">
        <v>0</v>
      </c>
      <c r="E140" s="31">
        <v>0</v>
      </c>
      <c r="F140" s="37" t="e">
        <f>E140/B140</f>
        <v>#DIV/0!</v>
      </c>
      <c r="G140" s="37" t="e">
        <f>E140/C140</f>
        <v>#DIV/0!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29">
        <v>0</v>
      </c>
      <c r="AD140" s="29">
        <v>0</v>
      </c>
      <c r="AE140" s="29">
        <v>0</v>
      </c>
      <c r="AF140" s="30"/>
      <c r="AH140" s="27"/>
    </row>
    <row r="141" spans="1:35" s="26" customFormat="1" ht="9.75" customHeight="1" x14ac:dyDescent="0.3">
      <c r="A141" s="133"/>
      <c r="B141" s="133"/>
      <c r="C141" s="134"/>
      <c r="D141" s="134"/>
      <c r="E141" s="135"/>
      <c r="F141" s="135"/>
      <c r="G141" s="135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7"/>
      <c r="AH141" s="27"/>
    </row>
    <row r="142" spans="1:35" s="26" customFormat="1" ht="25.5" customHeight="1" x14ac:dyDescent="0.3">
      <c r="A142" s="133"/>
      <c r="B142" s="133"/>
      <c r="C142" s="134"/>
      <c r="D142" s="134"/>
      <c r="E142" s="135"/>
      <c r="F142" s="135"/>
      <c r="G142" s="135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7"/>
      <c r="AH142" s="27"/>
    </row>
    <row r="143" spans="1:35" s="143" customFormat="1" ht="33" customHeight="1" x14ac:dyDescent="0.3">
      <c r="A143" s="216" t="s">
        <v>62</v>
      </c>
      <c r="B143" s="216"/>
      <c r="C143" s="138"/>
      <c r="D143" s="138"/>
      <c r="E143" s="138"/>
      <c r="F143" s="139"/>
      <c r="G143" s="140" t="s">
        <v>63</v>
      </c>
      <c r="H143" s="140"/>
      <c r="I143" s="140"/>
      <c r="J143" s="140"/>
      <c r="K143" s="134"/>
      <c r="L143" s="134"/>
      <c r="M143" s="134"/>
      <c r="N143" s="134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41"/>
      <c r="AG143" s="142"/>
      <c r="AH143" s="142"/>
      <c r="AI143" s="142"/>
    </row>
    <row r="144" spans="1:35" s="149" customFormat="1" ht="39" customHeight="1" x14ac:dyDescent="0.3">
      <c r="A144" s="144"/>
      <c r="B144" s="145" t="s">
        <v>64</v>
      </c>
      <c r="C144" s="138"/>
      <c r="D144" s="138"/>
      <c r="E144" s="138"/>
      <c r="F144" s="146"/>
      <c r="G144" s="217"/>
      <c r="H144" s="217"/>
      <c r="I144" s="218" t="s">
        <v>73</v>
      </c>
      <c r="J144" s="218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7"/>
      <c r="AF144" s="148"/>
    </row>
    <row r="145" spans="1:43" s="149" customFormat="1" ht="19.5" customHeight="1" x14ac:dyDescent="0.25">
      <c r="A145" s="150" t="s">
        <v>65</v>
      </c>
      <c r="B145" s="147"/>
      <c r="C145" s="147"/>
      <c r="D145" s="147"/>
      <c r="E145" s="147"/>
      <c r="F145" s="147"/>
      <c r="G145" s="222" t="s">
        <v>65</v>
      </c>
      <c r="H145" s="222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51"/>
    </row>
    <row r="146" spans="1:43" s="149" customFormat="1" ht="24.75" customHeight="1" x14ac:dyDescent="0.3">
      <c r="A146" s="152" t="s">
        <v>66</v>
      </c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7"/>
      <c r="AF146" s="153"/>
    </row>
    <row r="147" spans="1:43" s="26" customFormat="1" ht="47.25" customHeight="1" x14ac:dyDescent="0.3">
      <c r="A147" s="154">
        <v>43956</v>
      </c>
      <c r="B147" s="155"/>
      <c r="C147" s="156"/>
      <c r="D147" s="223"/>
      <c r="E147" s="223"/>
      <c r="F147" s="135"/>
      <c r="G147" s="135"/>
      <c r="H147" s="224"/>
      <c r="I147" s="224"/>
      <c r="J147" s="224"/>
      <c r="K147" s="136"/>
      <c r="L147" s="215"/>
      <c r="M147" s="215"/>
      <c r="N147" s="215"/>
      <c r="O147" s="215"/>
      <c r="P147" s="157"/>
      <c r="Q147" s="157"/>
      <c r="R147" s="227"/>
      <c r="S147" s="227"/>
      <c r="T147" s="227"/>
      <c r="U147" s="215"/>
      <c r="V147" s="215"/>
      <c r="W147" s="215"/>
      <c r="X147" s="215"/>
      <c r="Y147" s="158"/>
      <c r="Z147" s="158"/>
      <c r="AA147" s="158"/>
      <c r="AB147" s="158"/>
      <c r="AC147" s="136"/>
      <c r="AD147" s="136"/>
      <c r="AE147" s="136"/>
      <c r="AF147" s="137"/>
      <c r="AH147" s="27"/>
    </row>
    <row r="148" spans="1:43" ht="33" customHeight="1" x14ac:dyDescent="0.3">
      <c r="A148" s="159"/>
      <c r="B148" s="160"/>
      <c r="C148" s="155"/>
      <c r="D148" s="225"/>
      <c r="E148" s="225"/>
      <c r="F148" s="225"/>
      <c r="G148" s="161"/>
      <c r="H148" s="226"/>
      <c r="I148" s="226"/>
      <c r="J148" s="226"/>
      <c r="K148" s="70"/>
      <c r="L148" s="70"/>
      <c r="M148" s="70"/>
      <c r="N148" s="70"/>
      <c r="O148" s="70"/>
      <c r="P148" s="70"/>
      <c r="Q148" s="219"/>
      <c r="R148" s="219"/>
      <c r="S148" s="219"/>
      <c r="T148" s="219"/>
      <c r="U148" s="162"/>
      <c r="V148" s="155"/>
      <c r="W148" s="155"/>
      <c r="X148" s="155"/>
      <c r="AA148" s="155"/>
      <c r="AB148" s="155"/>
      <c r="AC148" s="155"/>
      <c r="AD148" s="162"/>
    </row>
    <row r="149" spans="1:43" ht="10.5" customHeight="1" x14ac:dyDescent="0.3">
      <c r="A149" s="162"/>
      <c r="B149" s="165"/>
      <c r="C149" s="155"/>
      <c r="D149" s="155"/>
      <c r="E149" s="162"/>
      <c r="F149" s="162"/>
      <c r="G149" s="162"/>
      <c r="H149" s="166"/>
      <c r="I149" s="166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162"/>
      <c r="V149" s="70"/>
      <c r="W149" s="70"/>
      <c r="X149" s="70"/>
      <c r="Y149" s="4"/>
      <c r="AA149" s="4"/>
      <c r="AB149" s="70"/>
      <c r="AC149" s="155"/>
      <c r="AD149" s="162"/>
      <c r="AE149" s="4"/>
      <c r="AF149" s="163"/>
      <c r="AG149" s="163"/>
      <c r="AH149" s="167"/>
      <c r="AI149" s="163"/>
      <c r="AJ149" s="163"/>
      <c r="AK149" s="163"/>
      <c r="AL149" s="163"/>
      <c r="AM149" s="163"/>
      <c r="AN149" s="163"/>
      <c r="AO149" s="163"/>
      <c r="AP149" s="163"/>
      <c r="AQ149" s="164"/>
    </row>
    <row r="150" spans="1:43" ht="18.75" customHeight="1" x14ac:dyDescent="0.25">
      <c r="A150" s="220"/>
      <c r="B150" s="220"/>
      <c r="C150" s="220"/>
      <c r="D150" s="220"/>
      <c r="E150" s="220"/>
      <c r="F150" s="220"/>
      <c r="G150" s="220"/>
      <c r="H150" s="220"/>
      <c r="I150" s="70"/>
      <c r="J150" s="70"/>
      <c r="K150" s="70"/>
      <c r="L150" s="220"/>
      <c r="M150" s="220"/>
      <c r="N150" s="220"/>
      <c r="O150" s="220"/>
      <c r="P150" s="220"/>
      <c r="Q150" s="70"/>
      <c r="R150" s="70"/>
      <c r="S150" s="70"/>
      <c r="T150" s="155"/>
      <c r="U150" s="168"/>
      <c r="V150" s="155"/>
      <c r="W150" s="155"/>
      <c r="X150" s="155"/>
      <c r="Y150" s="169"/>
    </row>
    <row r="151" spans="1:43" ht="15.75" customHeight="1" x14ac:dyDescent="0.25">
      <c r="A151" s="221"/>
      <c r="B151" s="221"/>
    </row>
    <row r="152" spans="1:43" ht="7.5" customHeight="1" x14ac:dyDescent="0.25">
      <c r="A152" s="170"/>
    </row>
    <row r="153" spans="1:43" ht="60" customHeight="1" x14ac:dyDescent="0.3">
      <c r="A153" s="171"/>
    </row>
    <row r="154" spans="1:43" ht="15.75" customHeight="1" x14ac:dyDescent="0.3">
      <c r="A154" s="171"/>
    </row>
    <row r="155" spans="1:43" ht="15.75" customHeight="1" x14ac:dyDescent="0.3">
      <c r="A155" s="171"/>
      <c r="F155" s="4"/>
      <c r="G155" s="4"/>
    </row>
    <row r="156" spans="1:43" ht="15.75" customHeight="1" x14ac:dyDescent="0.3">
      <c r="A156" s="171"/>
    </row>
  </sheetData>
  <mergeCells count="59">
    <mergeCell ref="Q148:T148"/>
    <mergeCell ref="A150:H150"/>
    <mergeCell ref="L150:P150"/>
    <mergeCell ref="A151:B151"/>
    <mergeCell ref="G145:H145"/>
    <mergeCell ref="D147:E147"/>
    <mergeCell ref="H147:J147"/>
    <mergeCell ref="L147:O147"/>
    <mergeCell ref="D148:F148"/>
    <mergeCell ref="H148:J148"/>
    <mergeCell ref="R147:T147"/>
    <mergeCell ref="U147:X147"/>
    <mergeCell ref="A113:AD113"/>
    <mergeCell ref="A114:AE114"/>
    <mergeCell ref="A121:AE121"/>
    <mergeCell ref="A143:B143"/>
    <mergeCell ref="G144:H144"/>
    <mergeCell ref="I144:J144"/>
    <mergeCell ref="A101:AE101"/>
    <mergeCell ref="A37:AE37"/>
    <mergeCell ref="AF37:AF47"/>
    <mergeCell ref="A48:AE48"/>
    <mergeCell ref="A58:AE58"/>
    <mergeCell ref="AF59:AF62"/>
    <mergeCell ref="AF63:AF66"/>
    <mergeCell ref="AF67:AF70"/>
    <mergeCell ref="A80:AD80"/>
    <mergeCell ref="A81:AE81"/>
    <mergeCell ref="A88:AE88"/>
    <mergeCell ref="A95:AE95"/>
    <mergeCell ref="P3:Q3"/>
    <mergeCell ref="R3:S3"/>
    <mergeCell ref="AF30:AF34"/>
    <mergeCell ref="V3:W3"/>
    <mergeCell ref="X3:Y3"/>
    <mergeCell ref="Z3:AA3"/>
    <mergeCell ref="AB3:AC3"/>
    <mergeCell ref="AD3:AE3"/>
    <mergeCell ref="AF3:AF4"/>
    <mergeCell ref="A15:AE15"/>
    <mergeCell ref="AF15:AF19"/>
    <mergeCell ref="AF22:AF29"/>
    <mergeCell ref="A30:AE30"/>
    <mergeCell ref="T3:U3"/>
    <mergeCell ref="A7:AD7"/>
    <mergeCell ref="A8:AE8"/>
    <mergeCell ref="A1:AA1"/>
    <mergeCell ref="A2:AA2"/>
    <mergeCell ref="AB2:AD2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N3:O3"/>
  </mergeCells>
  <hyperlinks>
    <hyperlink ref="AG1" location="ОГЛАВЛЕНИЕ!A1" display="ОГЛАВЛЕНИЕ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2020-08-18T06:15:44Z</dcterms:modified>
</cp:coreProperties>
</file>