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1" l="1"/>
  <c r="E16" i="1"/>
  <c r="AG16" i="1"/>
  <c r="Y16" i="1"/>
  <c r="X16" i="1"/>
  <c r="U16" i="1"/>
  <c r="S16" i="1"/>
  <c r="R16" i="1"/>
  <c r="Q16" i="1"/>
  <c r="P16" i="1"/>
  <c r="AE11" i="1" l="1"/>
  <c r="AF11" i="1"/>
  <c r="AG11" i="1"/>
  <c r="AG8" i="1" s="1"/>
  <c r="D2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G10" i="1"/>
  <c r="D16" i="1"/>
  <c r="F10" i="1" l="1"/>
  <c r="F9" i="1"/>
  <c r="E9" i="1"/>
  <c r="E23" i="1" l="1"/>
  <c r="E21" i="1"/>
  <c r="E19" i="1"/>
  <c r="E18" i="1"/>
  <c r="E14" i="1"/>
  <c r="E15" i="1"/>
  <c r="F15" i="1"/>
  <c r="G15" i="1"/>
  <c r="G14" i="1"/>
  <c r="AC20" i="1" l="1"/>
  <c r="AF10" i="1" l="1"/>
  <c r="AE10" i="1"/>
  <c r="AD10" i="1"/>
  <c r="AC10" i="1"/>
  <c r="AB10" i="1"/>
  <c r="AA10" i="1"/>
  <c r="Z10" i="1"/>
  <c r="E10" i="1" s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D9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E17" i="1"/>
  <c r="I17" i="1" s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E13" i="1"/>
  <c r="G9" i="1"/>
  <c r="E11" i="1" l="1"/>
  <c r="D10" i="1"/>
  <c r="D11" i="1"/>
  <c r="D8" i="1" l="1"/>
  <c r="E8" i="1"/>
  <c r="Q22" i="1" l="1"/>
  <c r="D14" i="1" l="1"/>
  <c r="F14" i="1" l="1"/>
  <c r="G27" i="1" l="1"/>
  <c r="F27" i="1" s="1"/>
  <c r="E27" i="1"/>
  <c r="D27" i="1"/>
  <c r="G26" i="1"/>
  <c r="H26" i="1" s="1"/>
  <c r="F26" i="1"/>
  <c r="F25" i="1" s="1"/>
  <c r="E26" i="1"/>
  <c r="I26" i="1" s="1"/>
  <c r="D26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G25" i="1"/>
  <c r="D25" i="1"/>
  <c r="G23" i="1"/>
  <c r="H23" i="1" s="1"/>
  <c r="D23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P22" i="1"/>
  <c r="O22" i="1"/>
  <c r="N22" i="1"/>
  <c r="M22" i="1"/>
  <c r="L22" i="1"/>
  <c r="K22" i="1"/>
  <c r="J22" i="1"/>
  <c r="D22" i="1"/>
  <c r="G21" i="1"/>
  <c r="F21" i="1" s="1"/>
  <c r="F20" i="1" s="1"/>
  <c r="D20" i="1"/>
  <c r="AG20" i="1"/>
  <c r="AF20" i="1"/>
  <c r="AE20" i="1"/>
  <c r="AD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G19" i="1"/>
  <c r="D19" i="1"/>
  <c r="G18" i="1"/>
  <c r="D18" i="1"/>
  <c r="G16" i="1"/>
  <c r="D13" i="1"/>
  <c r="I15" i="1"/>
  <c r="D15" i="1"/>
  <c r="H15" i="1" s="1"/>
  <c r="AF8" i="1"/>
  <c r="AE8" i="1"/>
  <c r="O8" i="1"/>
  <c r="L8" i="1"/>
  <c r="K8" i="1"/>
  <c r="AD8" i="1"/>
  <c r="AC8" i="1"/>
  <c r="U8" i="1"/>
  <c r="Q8" i="1"/>
  <c r="N8" i="1"/>
  <c r="M8" i="1"/>
  <c r="J8" i="1"/>
  <c r="F18" i="1" l="1"/>
  <c r="G10" i="1"/>
  <c r="F19" i="1"/>
  <c r="G17" i="1"/>
  <c r="F16" i="1"/>
  <c r="F11" i="1" s="1"/>
  <c r="G13" i="1"/>
  <c r="I13" i="1" s="1"/>
  <c r="G11" i="1"/>
  <c r="G8" i="1" s="1"/>
  <c r="I8" i="1" s="1"/>
  <c r="I23" i="1"/>
  <c r="F23" i="1"/>
  <c r="F22" i="1" s="1"/>
  <c r="G22" i="1"/>
  <c r="I19" i="1"/>
  <c r="D17" i="1"/>
  <c r="H17" i="1" s="1"/>
  <c r="AA8" i="1"/>
  <c r="Z8" i="1"/>
  <c r="V8" i="1"/>
  <c r="R8" i="1"/>
  <c r="G20" i="1"/>
  <c r="H20" i="1" s="1"/>
  <c r="I21" i="1"/>
  <c r="H21" i="1"/>
  <c r="AB8" i="1"/>
  <c r="X8" i="1"/>
  <c r="H19" i="1"/>
  <c r="Y8" i="1"/>
  <c r="H9" i="1"/>
  <c r="W8" i="1"/>
  <c r="T8" i="1"/>
  <c r="S8" i="1"/>
  <c r="P8" i="1"/>
  <c r="H14" i="1"/>
  <c r="H16" i="1"/>
  <c r="H18" i="1"/>
  <c r="H25" i="1"/>
  <c r="H27" i="1"/>
  <c r="I14" i="1"/>
  <c r="I16" i="1"/>
  <c r="I18" i="1"/>
  <c r="E20" i="1"/>
  <c r="E22" i="1"/>
  <c r="E25" i="1"/>
  <c r="I25" i="1" s="1"/>
  <c r="I27" i="1"/>
  <c r="I20" i="1" l="1"/>
  <c r="H22" i="1"/>
  <c r="I22" i="1"/>
  <c r="F8" i="1"/>
  <c r="H13" i="1"/>
  <c r="F17" i="1"/>
  <c r="F13" i="1"/>
  <c r="H11" i="1"/>
  <c r="I11" i="1"/>
  <c r="H10" i="1"/>
  <c r="I10" i="1"/>
  <c r="I9" i="1"/>
  <c r="H8" i="1" l="1"/>
</calcChain>
</file>

<file path=xl/comments1.xml><?xml version="1.0" encoding="utf-8"?>
<comments xmlns="http://schemas.openxmlformats.org/spreadsheetml/2006/main">
  <authors>
    <author>Автор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2026 году (фин.средств на 2025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<sst xmlns="http://schemas.openxmlformats.org/spreadsheetml/2006/main" count="86" uniqueCount="49">
  <si>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</si>
  <si>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</si>
  <si>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</si>
  <si>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</si>
  <si>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</si>
  <si>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</si>
  <si>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</si>
  <si>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</si>
  <si>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</si>
  <si>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</si>
  <si>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</si>
  <si>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</si>
  <si>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</si>
  <si>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</si>
  <si>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</si>
  <si>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</si>
  <si>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</si>
  <si>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</si>
  <si>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</si>
  <si>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</si>
  <si>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</si>
  <si>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</si>
  <si>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</si>
  <si>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</si>
  <si>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</si>
  <si>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</si>
  <si>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</si>
  <si>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</si>
  <si>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</si>
  <si>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</si>
  <si>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</si>
  <si>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</si>
  <si>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</si>
  <si>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</si>
  <si>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</si>
  <si>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ПК 1.1</t>
  </si>
  <si>
    <t xml:space="preserve">Муниципальный проект «Сквер вблизи СК «Олимп» </t>
  </si>
  <si>
    <t xml:space="preserve"> 1.1</t>
  </si>
  <si>
    <t>Комплекс процессных мероприятий «Благоустройство городских территорий в городе
Когалыме»/ Оформление улиц города Когалыма к Юбилею (установка памятников, скамеек и малых
архитектурных форм)/Выполнение работ по благоустройству дворовых территорий/
Выполнение работ по благоустройству общественных территорий «Этностойбище коренных народов ХМАО-Югры «Вонт – Корт» (лесное стойбище) в городе Когалыме/ Выполнение работ по благоустройству общественных пространств (ремонт тротуаров, перенос
рекламной конструкции, ремонт объекта «Архитектурная композиция «Жемчужина»)</t>
  </si>
  <si>
    <t xml:space="preserve"> 1.2</t>
  </si>
  <si>
    <t xml:space="preserve">Комплекс процессных мероприятий «Участие объектов благоустройства в конкурсных
мероприятиях» 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</si>
  <si>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</si>
  <si>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</si>
  <si>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</si>
  <si>
    <t>1.Муниципальный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30.09.2024-01.08.2025; II - этап 15.05.2025-25.08.2025 (планируется продление сроков по 31.10.2025)
- ведется выполнение работ.
2. Муниципальный контракт № 0187300013725000012 от 26.03.2025 на выполнение работ по благоустройству объекта "Парк Первопроходцев в городе Когалыме" (2 этап)
-цена контракта 298 000,00 тыс.руб., перечислен аванс 30% от цены контракта, что составило 89 400,00 тыс. руб.
- сроки выполнения работ: 25.08.2025 года  (планируется продление сроков по 31.10.2025)
- ведется выполнение работ
3.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- ведется расторжение контракта.                                       4.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
- ведется расторжение контракта.
5. Контракт № 1/Л от 01.04.2025 (функции заказчика переданы 03.04.2025) на выполнение работ по благоустройству объекта "Парк Первопроходцев в городе Когалыме" (3 этап)
- цена контракта 99 000,00 тыс.руб., перечислен аванс 70% от цены контракта, что составило 69 300,00 тыс.руб.
- сроки выполнения работ: 25.08.2025
На отчетную дату готовность объекта 100 %.                                                      7. Муниципальный контракт № 0187300013725000024 от 26.03.2025 на выполнение работ по благоустройству объекта "Экотропа в городе Когалыме"
- цена контракта: 89 000,00 тыс.руб., перечислен аванс 48% от цены контракта, что составило 42 720,00 тыс. руб.
- сроки выполнения работ: 15.08.2025
- работы выполнены с нарушением сроков., 
8 . Муниципальный контракт Кг-187.25 от 12.08.2025 на осуществление технологического присоединения к электрическим сетям Экотропа в городе Когалыме
- цена контракта 50,47920 тыс. руб.
- сроки выполнения работ по 12.12.2025
- сроки выполнения работ: 25.08.2025
- ведется выполнение работ</t>
  </si>
  <si>
    <t>Заключены МК:
- на подготовку Конкурсной заявки 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- 4 500,0 тыс.руб. Проведена оплата аванса в размере 1 800,0 тыс.руб.
- на разработку проектно-сметной документации
на участие во Всероссийском конкурсе лучших проектов создания комфортной городской среды в категории «Малые города и исторические поселения» с проектом благоустройства «Этнодеревня в городе Когалыме» (IV этап). Цена контракта - 5 500,0 тыс.руб.</t>
  </si>
  <si>
    <t>1. Муниципральный контракт 0187300013725000124 от 23.06.2025 на выполнение работ по обустройству сетей наружного освещения по проезду Солнечный, дом №15, дом №17 на территории города Когалыма
- цена контракта -  1 390,41649 тыс. руб.
- сроки выполнения работ по 15.08.2025
- контракт расторгнут 21.08.2025, объем выполненных и оплаченных работ 1 355,60916 тыс. руб.
2. Электронный конкурс № 0187300013725000123 на выполнение работ по благоустройству автомобильного проезда от проспекта Солнечный, дом 15 до торгового центра в 10 микрорайоне города Когалыма на сумму 7 672,80 тыс. руб., не состоялся в связи с отсутствием участников
3. Муниципальный контракт № 0187300013725000144 от 25.06.2025 на выполнение работ по благоустройству автомобильного проезда от проспекта Солнечный, дом 15 до торгового центра в 10 микрорайоне города Когалыма;
- цена контракта 9 998,36 тыс.руб;
- срок выполнения работ :08.10.2025. Работы выполнены и оплачены со снижением стоимости, в связи с изменением объемов работ. Конракт расторгнут по соглашению сторон.                                         4.Муниципальный контракт № 0387300043825000001 от 18.02.2025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990,0 тыс. руб. 
- сроки выполнения работ: 31.03.2025
- работы выполнены и оплачены в полном объеме
5. Муниципальный контракт № 0387300043825000003 от 04.04.2025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976,00 тыс.руб
- срок выполнения работ: 11.06.2025
- работы выполнены и оплачены в полном объеме
6. Муниципальный контракт Кг-186.25 от 11.08.2025 на технологическое присоединение энергопринимающих устройств.
- цена контракта - 4 346,55 тыс. руб.
- сроки выполнения работ по 11.12.2025        7. Муниципральный контракт № 81/2025 от 14.10.2025 на выполнение инженерно-геодезических изысканий для благоустройства объекта "Сквер в 3 микрорайоне города Когалыма"
- цена контракта -  522,32 тыс. руб.
- сроки выполнения работ по 05.12.2025
8. Муниципральный контракт № 84/2025 от 22.10.2025 на оказание услуг по разработке проектно-сметной документации на благоустройство объекта "Сквер в 3 микрорайоне города Когалыма"
- цена контракта -  598,12 тыс. руб.
- сроки выполнения работ по 26.12.2025       9. Муниципральный контракт № 82/2025 от 16.10.2025 на выполнение инженерно-геодезических изысканий для благоустройства объекта "Сквер Школьный в городе Когалыме"
- цена контракта -  578,32 тыс. руб.
- сроки выполнения работ по 05.12.2025
10. Муниципральный контракт № 83/2025 от 20.10.2025 на оказание услуг по разработке проектно-сметной документации на благоустройство объекта "Сквер Школьный в городе Когалыме"
- цена контракта -  598,12 тыс. руб.
- сроки выполнения работ по 26.12.2025</t>
  </si>
  <si>
    <t>1107 - касса октябрь оформление улиц</t>
  </si>
  <si>
    <t>1. Муниципральный контракт 0187300013725000118 от 02.07.2025 на выполнение работ по благоустройству объекта: "Сквер вблизи СК "Олимп", расположенного по адресу: ХМАО-Югра, г. Когалым, ул. Нефтяников"
- цена контракта -  49 990,00 тыс. руб.
- сроки выполнения работ по 29.08.2025 (ведется работа по продлению сроков до 31.10.2025)
- перечислен аванс в сумме 14 997,00 тыс.руб (30% от цены контракта)
- работы выполнены                                  - 31.10.2025 состоялсь общественная приемка объекта.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</si>
</sst>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6" fillId="0" borderId="9" xfId="0" applyFont="1" applyFill="1" applyBorder="1" applyAlignment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4" fillId="2" borderId="9" xfId="1" applyFont="1" applyFill="1" applyBorder="1" applyAlignment="1" applyProtection="1">
      <alignment vertical="center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  <xf numFmtId="0" fontId="6" fillId="0" borderId="2" xfId="1" applyFont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left" vertical="center" wrapText="1"/>
    </xf>
    <xf numFmtId="0" fontId="6" fillId="0" borderId="8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8" xfId="1" applyFont="1" applyBorder="1" applyAlignment="1" applyProtection="1">
      <alignment horizontal="left" vertical="center" wrapText="1"/>
    </xf>
    <xf numFmtId="16" fontId="3" fillId="0" borderId="2" xfId="1" applyNumberFormat="1" applyFont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0" fontId="3" fillId="0" borderId="5" xfId="1" applyFont="1" applyBorder="1" applyAlignment="1" applyProtection="1">
      <alignment horizontal="center" vertical="top" wrapText="1"/>
    </xf>
    <xf numFmtId="0" fontId="3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7"/>
  <sheetViews>
    <sheetView tabSelected="1" topLeftCell="A4" zoomScale="75" zoomScaleNormal="75" workbookViewId="0">
      <selection activeCell="Z19" sqref="Z19"/>
    </sheetView>
  </sheetViews>
  <sheetFormatPr defaultColWidth="9.140625" defaultRowHeight="15.75" x14ac:dyDescent="0.25"/>
  <cols>
    <col min="1" max="1" width="9.85546875" style="54" customWidth="1"/>
    <col min="2" max="2" width="42.140625" style="54" customWidth="1"/>
    <col min="3" max="3" width="18.5703125" style="55" customWidth="1"/>
    <col min="4" max="4" width="18" style="54" customWidth="1"/>
    <col min="5" max="5" width="14.7109375" style="54" customWidth="1"/>
    <col min="6" max="6" width="15" style="54" customWidth="1"/>
    <col min="7" max="7" width="13.85546875" style="54" customWidth="1"/>
    <col min="8" max="8" width="12.140625" style="54" customWidth="1"/>
    <col min="9" max="9" width="13.85546875" style="54" customWidth="1"/>
    <col min="10" max="10" width="14.28515625" style="54" customWidth="1"/>
    <col min="11" max="11" width="13.5703125" style="54" customWidth="1"/>
    <col min="12" max="12" width="13.85546875" style="54" customWidth="1"/>
    <col min="13" max="13" width="13" style="54" customWidth="1"/>
    <col min="14" max="14" width="13.42578125" style="54" customWidth="1"/>
    <col min="15" max="15" width="11.5703125" style="54" customWidth="1"/>
    <col min="16" max="16" width="13.42578125" style="54" customWidth="1"/>
    <col min="17" max="17" width="11.5703125" style="54" customWidth="1"/>
    <col min="18" max="18" width="13" style="54" customWidth="1"/>
    <col min="19" max="19" width="14.42578125" style="54" customWidth="1"/>
    <col min="20" max="20" width="13" style="54" customWidth="1"/>
    <col min="21" max="21" width="11.5703125" style="54" customWidth="1"/>
    <col min="22" max="22" width="14.28515625" style="54" customWidth="1"/>
    <col min="23" max="23" width="14.85546875" style="54" customWidth="1"/>
    <col min="24" max="24" width="13.5703125" style="54" customWidth="1"/>
    <col min="25" max="25" width="15.5703125" style="54" customWidth="1"/>
    <col min="26" max="26" width="16.140625" style="54" customWidth="1"/>
    <col min="27" max="27" width="13.28515625" style="54" customWidth="1"/>
    <col min="28" max="28" width="14.85546875" style="54" customWidth="1"/>
    <col min="29" max="29" width="11.5703125" style="54" customWidth="1"/>
    <col min="30" max="30" width="13.42578125" style="54" customWidth="1"/>
    <col min="31" max="32" width="11.5703125" style="54" customWidth="1"/>
    <col min="33" max="33" width="14.28515625" style="54" customWidth="1"/>
    <col min="34" max="34" width="38.5703125" style="54" customWidth="1"/>
    <col min="35" max="16384" width="9.140625" style="54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91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5" s="1" customFormat="1" x14ac:dyDescent="0.25">
      <c r="C3" s="92" t="s">
        <v>1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8"/>
      <c r="U3" s="8"/>
      <c r="V3" s="8"/>
      <c r="W3" s="8"/>
      <c r="X3" s="8"/>
      <c r="Y3" s="8"/>
      <c r="Z3" s="8"/>
      <c r="AA3" s="8"/>
      <c r="AB3" s="8"/>
      <c r="AC3" s="8"/>
      <c r="AD3" s="9"/>
      <c r="AE3" s="9"/>
      <c r="AF3" s="9"/>
      <c r="AG3" s="9" t="s">
        <v>2</v>
      </c>
      <c r="AH3" s="9"/>
    </row>
    <row r="4" spans="1:35" s="1" customFormat="1" x14ac:dyDescent="0.25">
      <c r="A4" s="95" t="s">
        <v>3</v>
      </c>
      <c r="B4" s="98" t="s">
        <v>4</v>
      </c>
      <c r="C4" s="98" t="s">
        <v>5</v>
      </c>
      <c r="D4" s="93" t="s">
        <v>6</v>
      </c>
      <c r="E4" s="93" t="s">
        <v>6</v>
      </c>
      <c r="F4" s="93" t="s">
        <v>7</v>
      </c>
      <c r="G4" s="93" t="s">
        <v>8</v>
      </c>
      <c r="H4" s="87" t="s">
        <v>9</v>
      </c>
      <c r="I4" s="88"/>
      <c r="J4" s="87" t="s">
        <v>10</v>
      </c>
      <c r="K4" s="88"/>
      <c r="L4" s="87" t="s">
        <v>11</v>
      </c>
      <c r="M4" s="88"/>
      <c r="N4" s="87" t="s">
        <v>12</v>
      </c>
      <c r="O4" s="88"/>
      <c r="P4" s="87" t="s">
        <v>13</v>
      </c>
      <c r="Q4" s="88"/>
      <c r="R4" s="87" t="s">
        <v>14</v>
      </c>
      <c r="S4" s="88"/>
      <c r="T4" s="87" t="s">
        <v>15</v>
      </c>
      <c r="U4" s="88"/>
      <c r="V4" s="87" t="s">
        <v>16</v>
      </c>
      <c r="W4" s="88"/>
      <c r="X4" s="87" t="s">
        <v>17</v>
      </c>
      <c r="Y4" s="88"/>
      <c r="Z4" s="87" t="s">
        <v>18</v>
      </c>
      <c r="AA4" s="88"/>
      <c r="AB4" s="87" t="s">
        <v>19</v>
      </c>
      <c r="AC4" s="88"/>
      <c r="AD4" s="87" t="s">
        <v>20</v>
      </c>
      <c r="AE4" s="88"/>
      <c r="AF4" s="87" t="s">
        <v>21</v>
      </c>
      <c r="AG4" s="88"/>
      <c r="AH4" s="59" t="s">
        <v>22</v>
      </c>
    </row>
    <row r="5" spans="1:35" s="1" customFormat="1" x14ac:dyDescent="0.25">
      <c r="A5" s="96"/>
      <c r="B5" s="99"/>
      <c r="C5" s="99"/>
      <c r="D5" s="94"/>
      <c r="E5" s="94"/>
      <c r="F5" s="94"/>
      <c r="G5" s="94"/>
      <c r="H5" s="89"/>
      <c r="I5" s="90"/>
      <c r="J5" s="89"/>
      <c r="K5" s="90"/>
      <c r="L5" s="89"/>
      <c r="M5" s="90"/>
      <c r="N5" s="89"/>
      <c r="O5" s="90"/>
      <c r="P5" s="89"/>
      <c r="Q5" s="90"/>
      <c r="R5" s="89"/>
      <c r="S5" s="90"/>
      <c r="T5" s="89"/>
      <c r="U5" s="90"/>
      <c r="V5" s="89"/>
      <c r="W5" s="90"/>
      <c r="X5" s="89"/>
      <c r="Y5" s="90"/>
      <c r="Z5" s="89"/>
      <c r="AA5" s="90"/>
      <c r="AB5" s="89"/>
      <c r="AC5" s="90"/>
      <c r="AD5" s="89"/>
      <c r="AE5" s="90"/>
      <c r="AF5" s="89"/>
      <c r="AG5" s="90"/>
      <c r="AH5" s="60"/>
    </row>
    <row r="6" spans="1:35" s="1" customFormat="1" ht="47.25" x14ac:dyDescent="0.25">
      <c r="A6" s="97"/>
      <c r="B6" s="100"/>
      <c r="C6" s="100"/>
      <c r="D6" s="10">
        <v>2025</v>
      </c>
      <c r="E6" s="11">
        <v>46023</v>
      </c>
      <c r="F6" s="11">
        <v>46023</v>
      </c>
      <c r="G6" s="11">
        <v>46357</v>
      </c>
      <c r="H6" s="12" t="s">
        <v>23</v>
      </c>
      <c r="I6" s="12" t="s">
        <v>24</v>
      </c>
      <c r="J6" s="12" t="s">
        <v>25</v>
      </c>
      <c r="K6" s="12" t="s">
        <v>26</v>
      </c>
      <c r="L6" s="12" t="s">
        <v>25</v>
      </c>
      <c r="M6" s="12" t="s">
        <v>26</v>
      </c>
      <c r="N6" s="12" t="s">
        <v>25</v>
      </c>
      <c r="O6" s="12" t="s">
        <v>26</v>
      </c>
      <c r="P6" s="12" t="s">
        <v>25</v>
      </c>
      <c r="Q6" s="12" t="s">
        <v>26</v>
      </c>
      <c r="R6" s="12" t="s">
        <v>25</v>
      </c>
      <c r="S6" s="12" t="s">
        <v>26</v>
      </c>
      <c r="T6" s="12" t="s">
        <v>25</v>
      </c>
      <c r="U6" s="12" t="s">
        <v>26</v>
      </c>
      <c r="V6" s="12" t="s">
        <v>25</v>
      </c>
      <c r="W6" s="12" t="s">
        <v>26</v>
      </c>
      <c r="X6" s="12" t="s">
        <v>25</v>
      </c>
      <c r="Y6" s="12" t="s">
        <v>26</v>
      </c>
      <c r="Z6" s="12" t="s">
        <v>25</v>
      </c>
      <c r="AA6" s="12" t="s">
        <v>26</v>
      </c>
      <c r="AB6" s="12" t="s">
        <v>25</v>
      </c>
      <c r="AC6" s="12" t="s">
        <v>26</v>
      </c>
      <c r="AD6" s="12" t="s">
        <v>25</v>
      </c>
      <c r="AE6" s="12" t="s">
        <v>26</v>
      </c>
      <c r="AF6" s="12" t="s">
        <v>25</v>
      </c>
      <c r="AG6" s="12" t="s">
        <v>26</v>
      </c>
      <c r="AH6" s="61"/>
    </row>
    <row r="7" spans="1:35" s="1" customForma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</row>
    <row r="8" spans="1:35" s="18" customFormat="1" x14ac:dyDescent="0.25">
      <c r="A8" s="78"/>
      <c r="B8" s="81" t="s">
        <v>27</v>
      </c>
      <c r="C8" s="14" t="s">
        <v>28</v>
      </c>
      <c r="D8" s="15">
        <f>D9+D10+D11</f>
        <v>1005901.1800000002</v>
      </c>
      <c r="E8" s="15">
        <f>E9+E10+E11</f>
        <v>1005901.1800000002</v>
      </c>
      <c r="F8" s="15">
        <f t="shared" ref="F8:G8" si="0">F9+F10+F11</f>
        <v>1002786.8600000001</v>
      </c>
      <c r="G8" s="15">
        <f t="shared" si="0"/>
        <v>1002786.8600000001</v>
      </c>
      <c r="H8" s="15">
        <f>IFERROR(G8/D8*100,0)</f>
        <v>99.690395034629546</v>
      </c>
      <c r="I8" s="15">
        <f>IFERROR(G8/E8*100,0)</f>
        <v>99.690395034629546</v>
      </c>
      <c r="J8" s="16">
        <f>J9+J10+J11</f>
        <v>0</v>
      </c>
      <c r="K8" s="16">
        <f t="shared" ref="K8:AG8" si="1">K9+K10+K11</f>
        <v>0</v>
      </c>
      <c r="L8" s="16">
        <f t="shared" si="1"/>
        <v>0</v>
      </c>
      <c r="M8" s="16">
        <f t="shared" si="1"/>
        <v>0</v>
      </c>
      <c r="N8" s="16">
        <f t="shared" si="1"/>
        <v>884.99</v>
      </c>
      <c r="O8" s="16">
        <f t="shared" si="1"/>
        <v>884.99</v>
      </c>
      <c r="P8" s="16">
        <f t="shared" si="1"/>
        <v>111370</v>
      </c>
      <c r="Q8" s="16">
        <f t="shared" si="1"/>
        <v>90740</v>
      </c>
      <c r="R8" s="16">
        <f t="shared" si="1"/>
        <v>203598.3</v>
      </c>
      <c r="S8" s="16">
        <f t="shared" si="1"/>
        <v>159862.59999999998</v>
      </c>
      <c r="T8" s="16">
        <f t="shared" si="1"/>
        <v>3950</v>
      </c>
      <c r="U8" s="16">
        <f t="shared" si="1"/>
        <v>17899.420000000002</v>
      </c>
      <c r="V8" s="16">
        <f t="shared" si="1"/>
        <v>137057.93</v>
      </c>
      <c r="W8" s="16">
        <f t="shared" si="1"/>
        <v>141557.69</v>
      </c>
      <c r="X8" s="16">
        <f t="shared" si="1"/>
        <v>225956.78000000003</v>
      </c>
      <c r="Y8" s="16">
        <f t="shared" si="1"/>
        <v>170009.57999999996</v>
      </c>
      <c r="Z8" s="16">
        <f t="shared" si="1"/>
        <v>215711.85</v>
      </c>
      <c r="AA8" s="16">
        <f t="shared" si="1"/>
        <v>234883.25</v>
      </c>
      <c r="AB8" s="16">
        <f t="shared" si="1"/>
        <v>77749.899999999994</v>
      </c>
      <c r="AC8" s="16">
        <f t="shared" si="1"/>
        <v>23142.46</v>
      </c>
      <c r="AD8" s="16">
        <f t="shared" si="1"/>
        <v>16661.93</v>
      </c>
      <c r="AE8" s="16">
        <f t="shared" si="1"/>
        <v>12721.039999999999</v>
      </c>
      <c r="AF8" s="16">
        <f t="shared" si="1"/>
        <v>12959.5</v>
      </c>
      <c r="AG8" s="16">
        <f>AG9+AG10+AG11</f>
        <v>151085.82999999999</v>
      </c>
      <c r="AH8" s="17"/>
    </row>
    <row r="9" spans="1:35" s="22" customFormat="1" ht="31.5" x14ac:dyDescent="0.25">
      <c r="A9" s="79"/>
      <c r="B9" s="82"/>
      <c r="C9" s="19" t="s">
        <v>29</v>
      </c>
      <c r="D9" s="20">
        <f>J9+L9+N9+P9+R9+T9+V9+X9+Z9+AB9+AD9+AF9</f>
        <v>103776.97</v>
      </c>
      <c r="E9" s="32">
        <f>J9+L9+N9+P9+R9+T9+V9+X9+Z9+AB9+AD9+AF9</f>
        <v>103776.97</v>
      </c>
      <c r="F9" s="20">
        <f>F14</f>
        <v>103776.41</v>
      </c>
      <c r="G9" s="20">
        <f>G14</f>
        <v>103776.41</v>
      </c>
      <c r="H9" s="20">
        <f t="shared" ref="H9" si="2">IFERROR(G9/D9*100,0)</f>
        <v>99.99946038123872</v>
      </c>
      <c r="I9" s="20">
        <f t="shared" ref="I9" si="3">IFERROR(G9/E9*100,0)</f>
        <v>99.99946038123872</v>
      </c>
      <c r="J9" s="20">
        <f t="shared" ref="J9:AG9" si="4">J14</f>
        <v>0</v>
      </c>
      <c r="K9" s="20">
        <f t="shared" si="4"/>
        <v>0</v>
      </c>
      <c r="L9" s="20">
        <f t="shared" si="4"/>
        <v>0</v>
      </c>
      <c r="M9" s="20">
        <f t="shared" si="4"/>
        <v>0</v>
      </c>
      <c r="N9" s="20">
        <f t="shared" si="4"/>
        <v>0</v>
      </c>
      <c r="O9" s="20">
        <f t="shared" si="4"/>
        <v>0</v>
      </c>
      <c r="P9" s="20">
        <f t="shared" si="4"/>
        <v>0</v>
      </c>
      <c r="Q9" s="20">
        <f t="shared" si="4"/>
        <v>0</v>
      </c>
      <c r="R9" s="20">
        <f t="shared" si="4"/>
        <v>72933.52</v>
      </c>
      <c r="S9" s="20">
        <f t="shared" si="4"/>
        <v>31132.92</v>
      </c>
      <c r="T9" s="20">
        <f t="shared" si="4"/>
        <v>0</v>
      </c>
      <c r="U9" s="20">
        <f t="shared" si="4"/>
        <v>11047.94</v>
      </c>
      <c r="V9" s="20">
        <f t="shared" si="4"/>
        <v>3905.65</v>
      </c>
      <c r="W9" s="20">
        <f t="shared" si="4"/>
        <v>9022.42</v>
      </c>
      <c r="X9" s="20">
        <f t="shared" si="4"/>
        <v>26937.8</v>
      </c>
      <c r="Y9" s="20">
        <f t="shared" si="4"/>
        <v>2070.84</v>
      </c>
      <c r="Z9" s="20">
        <f t="shared" si="4"/>
        <v>0</v>
      </c>
      <c r="AA9" s="20">
        <f t="shared" si="4"/>
        <v>50502.29</v>
      </c>
      <c r="AB9" s="20">
        <f t="shared" si="4"/>
        <v>0</v>
      </c>
      <c r="AC9" s="20">
        <f t="shared" si="4"/>
        <v>0</v>
      </c>
      <c r="AD9" s="20">
        <f t="shared" si="4"/>
        <v>0</v>
      </c>
      <c r="AE9" s="20">
        <f t="shared" si="4"/>
        <v>0</v>
      </c>
      <c r="AF9" s="20">
        <f t="shared" si="4"/>
        <v>0</v>
      </c>
      <c r="AG9" s="20">
        <f t="shared" si="4"/>
        <v>0</v>
      </c>
      <c r="AH9" s="21"/>
    </row>
    <row r="10" spans="1:35" s="22" customFormat="1" ht="47.25" x14ac:dyDescent="0.25">
      <c r="A10" s="79"/>
      <c r="B10" s="82"/>
      <c r="C10" s="19" t="s">
        <v>30</v>
      </c>
      <c r="D10" s="20">
        <f>J10+L10+N10+P10+R10+T10+V10+X10+Z10+AB10+AD10+AF10</f>
        <v>94418.849999999991</v>
      </c>
      <c r="E10" s="32">
        <f t="shared" ref="E10:E11" si="5">J10+L10+N10+P10+R10+T10+V10+X10+Z10+AB10+AD10+AF10</f>
        <v>94418.849999999991</v>
      </c>
      <c r="F10" s="20">
        <f>F15+F18+F26</f>
        <v>94419.409999999989</v>
      </c>
      <c r="G10" s="20">
        <f t="shared" ref="G10" si="6">G15+G18+G26</f>
        <v>94419.409999999989</v>
      </c>
      <c r="H10" s="20">
        <f>IFERROR(G10/D10*100,0)</f>
        <v>100.00059310190707</v>
      </c>
      <c r="I10" s="20">
        <f>IFERROR(G10/E10*100,0)</f>
        <v>100.00059310190707</v>
      </c>
      <c r="J10" s="20">
        <f t="shared" ref="J10:AG10" si="7">J15+J18+J26</f>
        <v>0</v>
      </c>
      <c r="K10" s="20">
        <f t="shared" si="7"/>
        <v>0</v>
      </c>
      <c r="L10" s="20">
        <f t="shared" si="7"/>
        <v>0</v>
      </c>
      <c r="M10" s="20">
        <f t="shared" si="7"/>
        <v>0</v>
      </c>
      <c r="N10" s="20">
        <f t="shared" si="7"/>
        <v>0</v>
      </c>
      <c r="O10" s="20">
        <f t="shared" si="7"/>
        <v>0</v>
      </c>
      <c r="P10" s="20">
        <f t="shared" si="7"/>
        <v>0</v>
      </c>
      <c r="Q10" s="20">
        <f t="shared" si="7"/>
        <v>0</v>
      </c>
      <c r="R10" s="20">
        <f t="shared" si="7"/>
        <v>40216.19</v>
      </c>
      <c r="S10" s="20">
        <f t="shared" si="7"/>
        <v>39793.949999999997</v>
      </c>
      <c r="T10" s="20">
        <f t="shared" si="7"/>
        <v>0</v>
      </c>
      <c r="U10" s="20">
        <f t="shared" si="7"/>
        <v>111.6</v>
      </c>
      <c r="V10" s="20">
        <f t="shared" si="7"/>
        <v>8991.69</v>
      </c>
      <c r="W10" s="20">
        <f t="shared" si="7"/>
        <v>7474.73</v>
      </c>
      <c r="X10" s="20">
        <f t="shared" si="7"/>
        <v>38602.03</v>
      </c>
      <c r="Y10" s="20">
        <f t="shared" si="7"/>
        <v>39920.06</v>
      </c>
      <c r="Z10" s="20">
        <f t="shared" si="7"/>
        <v>6107.9</v>
      </c>
      <c r="AA10" s="20">
        <f t="shared" si="7"/>
        <v>510.14</v>
      </c>
      <c r="AB10" s="20">
        <f t="shared" si="7"/>
        <v>501.04</v>
      </c>
      <c r="AC10" s="20">
        <f t="shared" si="7"/>
        <v>6107.8</v>
      </c>
      <c r="AD10" s="20">
        <f t="shared" si="7"/>
        <v>0</v>
      </c>
      <c r="AE10" s="20">
        <f t="shared" si="7"/>
        <v>0</v>
      </c>
      <c r="AF10" s="20">
        <f t="shared" si="7"/>
        <v>0</v>
      </c>
      <c r="AG10" s="20">
        <f t="shared" si="7"/>
        <v>501.13</v>
      </c>
      <c r="AH10" s="21"/>
    </row>
    <row r="11" spans="1:35" s="22" customFormat="1" ht="31.5" x14ac:dyDescent="0.25">
      <c r="A11" s="80"/>
      <c r="B11" s="83"/>
      <c r="C11" s="19" t="s">
        <v>31</v>
      </c>
      <c r="D11" s="20">
        <f>J11+L11+N11+P11+R11+T11+V11+X11+Z11+AB11+AD11+AF11</f>
        <v>807705.3600000001</v>
      </c>
      <c r="E11" s="32">
        <f t="shared" si="5"/>
        <v>807705.3600000001</v>
      </c>
      <c r="F11" s="20">
        <f>F16+F19+F21+F23+F27</f>
        <v>804591.04</v>
      </c>
      <c r="G11" s="20">
        <f t="shared" ref="G11" si="8">G16+G19+G21+G23+G27</f>
        <v>804591.04</v>
      </c>
      <c r="H11" s="20">
        <f>IFERROR(G11/D11*100,0)</f>
        <v>99.614423754721642</v>
      </c>
      <c r="I11" s="20">
        <f>IFERROR(G11/E11*100,0)</f>
        <v>99.614423754721642</v>
      </c>
      <c r="J11" s="20">
        <f t="shared" ref="J11:AG11" si="9">J16+J19+J21+J23+J27</f>
        <v>0</v>
      </c>
      <c r="K11" s="20">
        <f t="shared" si="9"/>
        <v>0</v>
      </c>
      <c r="L11" s="20">
        <f t="shared" si="9"/>
        <v>0</v>
      </c>
      <c r="M11" s="20">
        <f t="shared" si="9"/>
        <v>0</v>
      </c>
      <c r="N11" s="20">
        <f t="shared" si="9"/>
        <v>884.99</v>
      </c>
      <c r="O11" s="20">
        <f t="shared" si="9"/>
        <v>884.99</v>
      </c>
      <c r="P11" s="20">
        <f t="shared" si="9"/>
        <v>111370</v>
      </c>
      <c r="Q11" s="20">
        <f t="shared" si="9"/>
        <v>90740</v>
      </c>
      <c r="R11" s="20">
        <f t="shared" si="9"/>
        <v>90448.59</v>
      </c>
      <c r="S11" s="20">
        <f t="shared" si="9"/>
        <v>88935.73</v>
      </c>
      <c r="T11" s="20">
        <f t="shared" si="9"/>
        <v>3950</v>
      </c>
      <c r="U11" s="20">
        <f t="shared" si="9"/>
        <v>6739.88</v>
      </c>
      <c r="V11" s="20">
        <f t="shared" si="9"/>
        <v>124160.59</v>
      </c>
      <c r="W11" s="20">
        <f t="shared" si="9"/>
        <v>125060.54000000001</v>
      </c>
      <c r="X11" s="20">
        <f t="shared" si="9"/>
        <v>160416.95000000001</v>
      </c>
      <c r="Y11" s="20">
        <f t="shared" si="9"/>
        <v>128018.67999999998</v>
      </c>
      <c r="Z11" s="20">
        <f t="shared" si="9"/>
        <v>209603.95</v>
      </c>
      <c r="AA11" s="20">
        <f t="shared" si="9"/>
        <v>183870.82</v>
      </c>
      <c r="AB11" s="20">
        <f t="shared" si="9"/>
        <v>77248.86</v>
      </c>
      <c r="AC11" s="20">
        <f t="shared" si="9"/>
        <v>17034.66</v>
      </c>
      <c r="AD11" s="20">
        <f t="shared" si="9"/>
        <v>16661.93</v>
      </c>
      <c r="AE11" s="20">
        <f>AE16+AE19+AE21+AE23+AE27</f>
        <v>12721.039999999999</v>
      </c>
      <c r="AF11" s="20">
        <f>AF16+AF19+AF21+AF23+AF27</f>
        <v>12959.5</v>
      </c>
      <c r="AG11" s="20">
        <f>AG16+AG19+AG21+AG23+AG27</f>
        <v>150584.69999999998</v>
      </c>
      <c r="AH11" s="21"/>
    </row>
    <row r="12" spans="1:35" s="25" customFormat="1" x14ac:dyDescent="0.25">
      <c r="A12" s="23"/>
      <c r="B12" s="84" t="s">
        <v>32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6"/>
      <c r="AH12" s="24"/>
    </row>
    <row r="13" spans="1:35" s="30" customFormat="1" x14ac:dyDescent="0.25">
      <c r="A13" s="62" t="s">
        <v>33</v>
      </c>
      <c r="B13" s="59" t="s">
        <v>34</v>
      </c>
      <c r="C13" s="26" t="s">
        <v>28</v>
      </c>
      <c r="D13" s="27">
        <f>D15+D16+D14</f>
        <v>867128.83</v>
      </c>
      <c r="E13" s="27">
        <f t="shared" ref="E13:AG13" si="10">E15+E16+E14</f>
        <v>867128.83</v>
      </c>
      <c r="F13" s="27">
        <f t="shared" si="10"/>
        <v>866508.56</v>
      </c>
      <c r="G13" s="27">
        <f t="shared" si="10"/>
        <v>866508.56</v>
      </c>
      <c r="H13" s="15">
        <f>IFERROR(G13/D13*100,0)</f>
        <v>99.928468529872333</v>
      </c>
      <c r="I13" s="15">
        <f>IFERROR(G13/E13*100,0)</f>
        <v>99.928468529872333</v>
      </c>
      <c r="J13" s="27">
        <f t="shared" si="10"/>
        <v>0</v>
      </c>
      <c r="K13" s="27">
        <f t="shared" si="10"/>
        <v>0</v>
      </c>
      <c r="L13" s="27">
        <f t="shared" si="10"/>
        <v>0</v>
      </c>
      <c r="M13" s="27">
        <f t="shared" si="10"/>
        <v>0</v>
      </c>
      <c r="N13" s="27">
        <f t="shared" si="10"/>
        <v>884.99</v>
      </c>
      <c r="O13" s="27">
        <f t="shared" si="10"/>
        <v>884.99</v>
      </c>
      <c r="P13" s="27">
        <f t="shared" si="10"/>
        <v>103830</v>
      </c>
      <c r="Q13" s="27">
        <f t="shared" si="10"/>
        <v>85950</v>
      </c>
      <c r="R13" s="27">
        <f t="shared" si="10"/>
        <v>203598.3</v>
      </c>
      <c r="S13" s="27">
        <f t="shared" si="10"/>
        <v>159862.59999999998</v>
      </c>
      <c r="T13" s="27">
        <f t="shared" si="10"/>
        <v>1250</v>
      </c>
      <c r="U13" s="27">
        <f t="shared" si="10"/>
        <v>15199.420000000002</v>
      </c>
      <c r="V13" s="27">
        <f t="shared" si="10"/>
        <v>86941.599999999991</v>
      </c>
      <c r="W13" s="27">
        <f t="shared" si="10"/>
        <v>91441.36</v>
      </c>
      <c r="X13" s="27">
        <f t="shared" si="10"/>
        <v>199855.69999999998</v>
      </c>
      <c r="Y13" s="27">
        <f t="shared" si="10"/>
        <v>159210.71</v>
      </c>
      <c r="Z13" s="27">
        <f t="shared" si="10"/>
        <v>183616.2</v>
      </c>
      <c r="AA13" s="27">
        <f t="shared" si="10"/>
        <v>211057.44000000003</v>
      </c>
      <c r="AB13" s="27">
        <f t="shared" si="10"/>
        <v>63664.65</v>
      </c>
      <c r="AC13" s="27">
        <f t="shared" si="10"/>
        <v>986.4</v>
      </c>
      <c r="AD13" s="27">
        <f t="shared" si="10"/>
        <v>16392.29</v>
      </c>
      <c r="AE13" s="27">
        <f t="shared" si="10"/>
        <v>1263.9000000000001</v>
      </c>
      <c r="AF13" s="27">
        <f t="shared" si="10"/>
        <v>7095.1</v>
      </c>
      <c r="AG13" s="27">
        <f t="shared" si="10"/>
        <v>140651.74</v>
      </c>
      <c r="AH13" s="28"/>
      <c r="AI13" s="29"/>
    </row>
    <row r="14" spans="1:35" s="30" customFormat="1" ht="409.5" customHeight="1" x14ac:dyDescent="0.25">
      <c r="A14" s="63"/>
      <c r="B14" s="60"/>
      <c r="C14" s="31" t="s">
        <v>29</v>
      </c>
      <c r="D14" s="32">
        <f>SUM(J14,L14,N14,P14,R14,T14,V14,X14,Z14,AB14,AD14,AF14)</f>
        <v>103776.97</v>
      </c>
      <c r="E14" s="32">
        <f>J14+L14+N14+P14+R14+T14+V14+X14+Z14+AB14+AD14+AF14</f>
        <v>103776.97</v>
      </c>
      <c r="F14" s="32">
        <f>G14</f>
        <v>103776.41</v>
      </c>
      <c r="G14" s="32">
        <f>SUM(K14,M14,O14,Q14,S14,U14,W14,Y14,AA14,AC14,AE14,AG14)</f>
        <v>103776.41</v>
      </c>
      <c r="H14" s="32">
        <f t="shared" ref="H14:H23" si="11">IFERROR(G14/D14*100,0)</f>
        <v>99.99946038123872</v>
      </c>
      <c r="I14" s="32">
        <f t="shared" ref="I14:I23" si="12">IFERROR(G14/E14*100,0)</f>
        <v>99.99946038123872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72933.52</v>
      </c>
      <c r="S14" s="32">
        <v>31132.92</v>
      </c>
      <c r="T14" s="32">
        <v>0</v>
      </c>
      <c r="U14" s="32">
        <v>11047.94</v>
      </c>
      <c r="V14" s="32">
        <v>3905.65</v>
      </c>
      <c r="W14" s="32">
        <v>9022.42</v>
      </c>
      <c r="X14" s="32">
        <v>26937.8</v>
      </c>
      <c r="Y14" s="32">
        <v>2070.84</v>
      </c>
      <c r="Z14" s="32">
        <v>0</v>
      </c>
      <c r="AA14" s="32">
        <v>50502.29</v>
      </c>
      <c r="AB14" s="32">
        <v>0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65" t="s">
        <v>44</v>
      </c>
      <c r="AI14" s="29"/>
    </row>
    <row r="15" spans="1:35" s="30" customFormat="1" ht="47.25" x14ac:dyDescent="0.25">
      <c r="A15" s="63"/>
      <c r="B15" s="60"/>
      <c r="C15" s="31" t="s">
        <v>30</v>
      </c>
      <c r="D15" s="32">
        <f>SUM(J15,L15,N15,P15,R15,T15,V15,X15,Z15,AB15,AD15,AF15)</f>
        <v>84418.84</v>
      </c>
      <c r="E15" s="32">
        <f>J15+L15+N15+P15+R15+T15+V15+X15+Z15+AB15+AD15+AF15</f>
        <v>84418.84</v>
      </c>
      <c r="F15" s="32">
        <f>G15</f>
        <v>84419.409999999989</v>
      </c>
      <c r="G15" s="32">
        <f>SUM(K15,M15,O15,Q15,S15,U15,W15,Y15,AA15,AC15,AE15,AG15)</f>
        <v>84419.409999999989</v>
      </c>
      <c r="H15" s="32">
        <f t="shared" si="11"/>
        <v>100.00067520472918</v>
      </c>
      <c r="I15" s="32">
        <f t="shared" si="12"/>
        <v>100.00067520472918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40216.19</v>
      </c>
      <c r="S15" s="34">
        <v>39793.949999999997</v>
      </c>
      <c r="T15" s="34">
        <v>0</v>
      </c>
      <c r="U15" s="34">
        <v>111.6</v>
      </c>
      <c r="V15" s="34">
        <v>6108.83</v>
      </c>
      <c r="W15" s="34">
        <v>4591.87</v>
      </c>
      <c r="X15" s="34">
        <v>38093.82</v>
      </c>
      <c r="Y15" s="34">
        <v>39411.85</v>
      </c>
      <c r="Z15" s="34">
        <v>0</v>
      </c>
      <c r="AA15" s="34">
        <v>510.14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66"/>
      <c r="AI15" s="29"/>
    </row>
    <row r="16" spans="1:35" s="37" customFormat="1" ht="31.5" x14ac:dyDescent="0.25">
      <c r="A16" s="64"/>
      <c r="B16" s="61"/>
      <c r="C16" s="31" t="s">
        <v>31</v>
      </c>
      <c r="D16" s="32">
        <f>SUM(J16,L16,N16,P16,R16,T16,V16,X16,Z16,AB16,AD16,AF16)</f>
        <v>678933.02</v>
      </c>
      <c r="E16" s="32">
        <f>J16+L16+N16+P16+R16+T16+V16+X16+Z16+AB16+AD16+AF16</f>
        <v>678933.02</v>
      </c>
      <c r="F16" s="32">
        <f>G16</f>
        <v>678312.74</v>
      </c>
      <c r="G16" s="32">
        <f>SUM(K16,M16,O16,Q16,S16,U16,W16,Y16,AA16,AC16,AE16,AG16)</f>
        <v>678312.74</v>
      </c>
      <c r="H16" s="32">
        <f t="shared" si="11"/>
        <v>99.908638999470085</v>
      </c>
      <c r="I16" s="32">
        <f t="shared" si="12"/>
        <v>99.908638999470085</v>
      </c>
      <c r="J16" s="35">
        <v>0</v>
      </c>
      <c r="K16" s="35">
        <v>0</v>
      </c>
      <c r="L16" s="35">
        <v>0</v>
      </c>
      <c r="M16" s="35">
        <v>0</v>
      </c>
      <c r="N16" s="35">
        <v>884.99</v>
      </c>
      <c r="O16" s="35">
        <v>884.99</v>
      </c>
      <c r="P16" s="35">
        <f>87180+16650</f>
        <v>103830</v>
      </c>
      <c r="Q16" s="35">
        <f>69300+16650</f>
        <v>85950</v>
      </c>
      <c r="R16" s="35">
        <f>62705.99+27742.6</f>
        <v>90448.59</v>
      </c>
      <c r="S16" s="35">
        <f>61193.13+27742.6</f>
        <v>88935.73</v>
      </c>
      <c r="T16" s="35">
        <v>1250</v>
      </c>
      <c r="U16" s="35">
        <f>2789.88+1250</f>
        <v>4039.88</v>
      </c>
      <c r="V16" s="35">
        <f>76927.12</f>
        <v>76927.12</v>
      </c>
      <c r="W16" s="35">
        <v>77827.070000000007</v>
      </c>
      <c r="X16" s="35">
        <f>114548.68+20275.4</f>
        <v>134824.07999999999</v>
      </c>
      <c r="Y16" s="35">
        <f>98702.62+19025.4</f>
        <v>117728.01999999999</v>
      </c>
      <c r="Z16" s="35">
        <v>183616.2</v>
      </c>
      <c r="AA16" s="35">
        <v>160045.01</v>
      </c>
      <c r="AB16" s="35">
        <v>63664.65</v>
      </c>
      <c r="AC16" s="35">
        <v>986.4</v>
      </c>
      <c r="AD16" s="35">
        <v>16392.29</v>
      </c>
      <c r="AE16" s="35">
        <v>1263.9000000000001</v>
      </c>
      <c r="AF16" s="35">
        <v>7095.1</v>
      </c>
      <c r="AG16" s="35">
        <f>139401.74+1250</f>
        <v>140651.74</v>
      </c>
      <c r="AH16" s="67"/>
      <c r="AI16" s="36"/>
    </row>
    <row r="17" spans="1:36" s="37" customFormat="1" ht="195" customHeight="1" x14ac:dyDescent="0.25">
      <c r="A17" s="62" t="s">
        <v>35</v>
      </c>
      <c r="B17" s="59" t="s">
        <v>36</v>
      </c>
      <c r="C17" s="26" t="s">
        <v>28</v>
      </c>
      <c r="D17" s="27">
        <f>D19+D18</f>
        <v>55369.380000000005</v>
      </c>
      <c r="E17" s="27">
        <f t="shared" ref="E17:AG17" si="13">E19+E18</f>
        <v>55369.380000000005</v>
      </c>
      <c r="F17" s="27">
        <f t="shared" si="13"/>
        <v>54801.570000000007</v>
      </c>
      <c r="G17" s="27">
        <f t="shared" si="13"/>
        <v>54801.570000000007</v>
      </c>
      <c r="H17" s="15">
        <f>IFERROR(G17/D17*100,0)</f>
        <v>98.974505403528084</v>
      </c>
      <c r="I17" s="15">
        <f>IFERROR(G17/E17*100,0)</f>
        <v>98.974505403528084</v>
      </c>
      <c r="J17" s="27">
        <f t="shared" si="13"/>
        <v>0</v>
      </c>
      <c r="K17" s="27">
        <f t="shared" si="13"/>
        <v>0</v>
      </c>
      <c r="L17" s="27">
        <f t="shared" si="13"/>
        <v>0</v>
      </c>
      <c r="M17" s="27">
        <f t="shared" si="13"/>
        <v>0</v>
      </c>
      <c r="N17" s="27">
        <f t="shared" si="13"/>
        <v>0</v>
      </c>
      <c r="O17" s="27">
        <f t="shared" si="13"/>
        <v>0</v>
      </c>
      <c r="P17" s="27">
        <f t="shared" si="13"/>
        <v>0</v>
      </c>
      <c r="Q17" s="27">
        <f t="shared" si="13"/>
        <v>0</v>
      </c>
      <c r="R17" s="27">
        <f t="shared" si="13"/>
        <v>0</v>
      </c>
      <c r="S17" s="27">
        <f t="shared" si="13"/>
        <v>0</v>
      </c>
      <c r="T17" s="27">
        <f t="shared" si="13"/>
        <v>0</v>
      </c>
      <c r="U17" s="27">
        <f t="shared" si="13"/>
        <v>0</v>
      </c>
      <c r="V17" s="27">
        <f t="shared" si="13"/>
        <v>14997</v>
      </c>
      <c r="W17" s="27">
        <f t="shared" si="13"/>
        <v>14997</v>
      </c>
      <c r="X17" s="27">
        <f t="shared" si="13"/>
        <v>2643.75</v>
      </c>
      <c r="Y17" s="27">
        <f t="shared" si="13"/>
        <v>2643.75</v>
      </c>
      <c r="Z17" s="27">
        <f t="shared" si="13"/>
        <v>31773.9</v>
      </c>
      <c r="AA17" s="27">
        <f t="shared" si="13"/>
        <v>20024.54</v>
      </c>
      <c r="AB17" s="27">
        <f t="shared" si="13"/>
        <v>2606.69</v>
      </c>
      <c r="AC17" s="27">
        <f t="shared" si="13"/>
        <v>11749.07</v>
      </c>
      <c r="AD17" s="27">
        <f t="shared" si="13"/>
        <v>269.64</v>
      </c>
      <c r="AE17" s="27">
        <f t="shared" si="13"/>
        <v>0</v>
      </c>
      <c r="AF17" s="27">
        <f t="shared" si="13"/>
        <v>3078.4</v>
      </c>
      <c r="AG17" s="27">
        <f t="shared" si="13"/>
        <v>5387.21</v>
      </c>
      <c r="AH17" s="56" t="s">
        <v>48</v>
      </c>
      <c r="AI17" s="36"/>
    </row>
    <row r="18" spans="1:36" s="37" customFormat="1" ht="45" x14ac:dyDescent="0.25">
      <c r="A18" s="63"/>
      <c r="B18" s="60"/>
      <c r="C18" s="38" t="s">
        <v>30</v>
      </c>
      <c r="D18" s="32">
        <f>SUM(J18,L18,N18,P18,R18,T18,V18,X18,Z18,AB18,AD18,AF18)</f>
        <v>10000.01</v>
      </c>
      <c r="E18" s="32">
        <f>J18+L18+N18+P18+R18+T18+V18+X18+Z18+AB18+AD18+AF18</f>
        <v>10000.01</v>
      </c>
      <c r="F18" s="32">
        <f>G18</f>
        <v>10000</v>
      </c>
      <c r="G18" s="32">
        <f>SUM(K18,M18,O18,Q18,S18,U18,W18,Y18,AA18,AC18,AE18,AG18)</f>
        <v>10000</v>
      </c>
      <c r="H18" s="32">
        <f>IFERROR(G18/D18*100,0)</f>
        <v>99.999900000099998</v>
      </c>
      <c r="I18" s="32">
        <f t="shared" si="12"/>
        <v>99.999900000099998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2882.86</v>
      </c>
      <c r="W18" s="32">
        <v>2882.86</v>
      </c>
      <c r="X18" s="32">
        <v>508.21</v>
      </c>
      <c r="Y18" s="32">
        <v>508.21</v>
      </c>
      <c r="Z18" s="32">
        <v>6107.9</v>
      </c>
      <c r="AA18" s="32">
        <v>0</v>
      </c>
      <c r="AB18" s="32">
        <v>501.04</v>
      </c>
      <c r="AC18" s="32">
        <v>6107.8</v>
      </c>
      <c r="AD18" s="32">
        <v>0</v>
      </c>
      <c r="AE18" s="32">
        <v>0</v>
      </c>
      <c r="AF18" s="32">
        <v>0</v>
      </c>
      <c r="AG18" s="32">
        <v>501.13</v>
      </c>
      <c r="AH18" s="57"/>
      <c r="AI18" s="36"/>
    </row>
    <row r="19" spans="1:36" s="37" customFormat="1" ht="31.5" x14ac:dyDescent="0.25">
      <c r="A19" s="64"/>
      <c r="B19" s="61"/>
      <c r="C19" s="31" t="s">
        <v>31</v>
      </c>
      <c r="D19" s="32">
        <f>SUM(J19,L19,N19,P19,R19,T19,V19,X19,Z19,AB19,AD19,AF19)</f>
        <v>45369.37</v>
      </c>
      <c r="E19" s="32">
        <f>J19+L19+N19+P19+R19+T19+V19+X19+Z19+AB19+AD19+AF19</f>
        <v>45369.37</v>
      </c>
      <c r="F19" s="32">
        <f>G19</f>
        <v>44801.570000000007</v>
      </c>
      <c r="G19" s="32">
        <f>SUM(K19,M19,O19,Q19,S19,U19,W19,Y19,AA19,AC19,AE19,AG19)</f>
        <v>44801.570000000007</v>
      </c>
      <c r="H19" s="32">
        <f>IFERROR(G19/D19*100,0)</f>
        <v>98.748494854568193</v>
      </c>
      <c r="I19" s="32">
        <f t="shared" si="12"/>
        <v>98.748494854568193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12114.14</v>
      </c>
      <c r="W19" s="32">
        <v>12114.14</v>
      </c>
      <c r="X19" s="32">
        <v>2135.54</v>
      </c>
      <c r="Y19" s="32">
        <v>2135.54</v>
      </c>
      <c r="Z19" s="32">
        <v>25666</v>
      </c>
      <c r="AA19" s="32">
        <v>20024.54</v>
      </c>
      <c r="AB19" s="32">
        <v>2105.65</v>
      </c>
      <c r="AC19" s="32">
        <v>5641.27</v>
      </c>
      <c r="AD19" s="32">
        <v>269.64</v>
      </c>
      <c r="AE19" s="32">
        <v>0</v>
      </c>
      <c r="AF19" s="32">
        <v>3078.4</v>
      </c>
      <c r="AG19" s="32">
        <v>4886.08</v>
      </c>
      <c r="AH19" s="58"/>
      <c r="AI19" s="36"/>
    </row>
    <row r="20" spans="1:36" s="37" customFormat="1" ht="409.5" x14ac:dyDescent="0.25">
      <c r="A20" s="68" t="s">
        <v>37</v>
      </c>
      <c r="B20" s="59" t="s">
        <v>38</v>
      </c>
      <c r="C20" s="26" t="s">
        <v>28</v>
      </c>
      <c r="D20" s="27">
        <f>D21</f>
        <v>68402.97</v>
      </c>
      <c r="E20" s="27">
        <f t="shared" ref="E20:G20" si="14">E21</f>
        <v>68402.97</v>
      </c>
      <c r="F20" s="27">
        <f t="shared" si="14"/>
        <v>66476.73</v>
      </c>
      <c r="G20" s="27">
        <f t="shared" si="14"/>
        <v>66476.73</v>
      </c>
      <c r="H20" s="27">
        <f t="shared" si="11"/>
        <v>97.183981923591915</v>
      </c>
      <c r="I20" s="27">
        <f t="shared" si="12"/>
        <v>97.183981923591915</v>
      </c>
      <c r="J20" s="39">
        <f>J21</f>
        <v>0</v>
      </c>
      <c r="K20" s="39">
        <f t="shared" ref="K20:AG20" si="15">K21</f>
        <v>0</v>
      </c>
      <c r="L20" s="39">
        <f t="shared" si="15"/>
        <v>0</v>
      </c>
      <c r="M20" s="39">
        <f t="shared" si="15"/>
        <v>0</v>
      </c>
      <c r="N20" s="39">
        <f t="shared" si="15"/>
        <v>0</v>
      </c>
      <c r="O20" s="39">
        <f t="shared" si="15"/>
        <v>0</v>
      </c>
      <c r="P20" s="39">
        <f t="shared" si="15"/>
        <v>990</v>
      </c>
      <c r="Q20" s="39">
        <f t="shared" si="15"/>
        <v>990</v>
      </c>
      <c r="R20" s="39">
        <f t="shared" si="15"/>
        <v>0</v>
      </c>
      <c r="S20" s="39">
        <f t="shared" si="15"/>
        <v>0</v>
      </c>
      <c r="T20" s="39">
        <f t="shared" si="15"/>
        <v>0</v>
      </c>
      <c r="U20" s="39">
        <f t="shared" si="15"/>
        <v>0</v>
      </c>
      <c r="V20" s="39">
        <f t="shared" si="15"/>
        <v>32119.33</v>
      </c>
      <c r="W20" s="39">
        <f t="shared" si="15"/>
        <v>32119.33</v>
      </c>
      <c r="X20" s="39">
        <f t="shared" si="15"/>
        <v>23457.33</v>
      </c>
      <c r="Y20" s="39">
        <f t="shared" si="15"/>
        <v>8155.12</v>
      </c>
      <c r="Z20" s="39">
        <f t="shared" si="15"/>
        <v>321.75</v>
      </c>
      <c r="AA20" s="39">
        <f t="shared" si="15"/>
        <v>1051.27</v>
      </c>
      <c r="AB20" s="39">
        <f t="shared" si="15"/>
        <v>11478.56</v>
      </c>
      <c r="AC20" s="39">
        <f>AC21</f>
        <v>10406.99</v>
      </c>
      <c r="AD20" s="39">
        <f t="shared" si="15"/>
        <v>0</v>
      </c>
      <c r="AE20" s="39">
        <f t="shared" si="15"/>
        <v>11457.14</v>
      </c>
      <c r="AF20" s="39">
        <f t="shared" si="15"/>
        <v>36</v>
      </c>
      <c r="AG20" s="39">
        <f t="shared" si="15"/>
        <v>2296.88</v>
      </c>
      <c r="AH20" s="40" t="s">
        <v>46</v>
      </c>
      <c r="AI20" s="36"/>
    </row>
    <row r="21" spans="1:36" s="37" customFormat="1" ht="31.5" x14ac:dyDescent="0.25">
      <c r="A21" s="63"/>
      <c r="B21" s="60"/>
      <c r="C21" s="31" t="s">
        <v>31</v>
      </c>
      <c r="D21" s="32">
        <f>SUM(J21,L21,N21,P21,R21,T21,V21,X21,Z21,AB21,AD21,AF21)</f>
        <v>68402.97</v>
      </c>
      <c r="E21" s="32">
        <f>J21+L21+N21+P21+R21+T21+V21+X21+Z21+AB21+AD21+AF21</f>
        <v>68402.97</v>
      </c>
      <c r="F21" s="32">
        <f>G21</f>
        <v>66476.73</v>
      </c>
      <c r="G21" s="32">
        <f>SUM(K21,M21,O21,Q21,S21,U21,W21,Y21,AA21,AC21,AE21,AG21)</f>
        <v>66476.73</v>
      </c>
      <c r="H21" s="32">
        <f t="shared" si="11"/>
        <v>97.183981923591915</v>
      </c>
      <c r="I21" s="32">
        <f t="shared" si="12"/>
        <v>97.183981923591915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990</v>
      </c>
      <c r="Q21" s="34">
        <v>990</v>
      </c>
      <c r="R21" s="34">
        <v>0</v>
      </c>
      <c r="S21" s="34">
        <v>0</v>
      </c>
      <c r="T21" s="34">
        <v>0</v>
      </c>
      <c r="U21" s="34">
        <v>0</v>
      </c>
      <c r="V21" s="34">
        <v>32119.33</v>
      </c>
      <c r="W21" s="34">
        <v>32119.33</v>
      </c>
      <c r="X21" s="34">
        <v>23457.33</v>
      </c>
      <c r="Y21" s="34">
        <v>8155.12</v>
      </c>
      <c r="Z21" s="34">
        <v>321.75</v>
      </c>
      <c r="AA21" s="34">
        <v>1051.27</v>
      </c>
      <c r="AB21" s="34">
        <v>11478.56</v>
      </c>
      <c r="AC21" s="34">
        <v>10406.99</v>
      </c>
      <c r="AD21" s="34">
        <v>0</v>
      </c>
      <c r="AE21" s="34">
        <v>11457.14</v>
      </c>
      <c r="AF21" s="34">
        <v>36</v>
      </c>
      <c r="AG21" s="34">
        <v>2296.88</v>
      </c>
      <c r="AH21" s="28"/>
      <c r="AI21" s="36"/>
      <c r="AJ21" s="37" t="s">
        <v>47</v>
      </c>
    </row>
    <row r="22" spans="1:36" s="37" customFormat="1" ht="192" x14ac:dyDescent="0.25">
      <c r="A22" s="68" t="s">
        <v>39</v>
      </c>
      <c r="B22" s="59" t="s">
        <v>40</v>
      </c>
      <c r="C22" s="26" t="s">
        <v>28</v>
      </c>
      <c r="D22" s="27">
        <f>SUM(J22,L22,N22,P22,R22,T22,V22,X22,Z22,AB22,AD22,AF22)</f>
        <v>15000</v>
      </c>
      <c r="E22" s="27">
        <f t="shared" ref="E22:G22" si="16">E23</f>
        <v>15000</v>
      </c>
      <c r="F22" s="27">
        <f t="shared" si="16"/>
        <v>15000</v>
      </c>
      <c r="G22" s="27">
        <f t="shared" si="16"/>
        <v>15000</v>
      </c>
      <c r="H22" s="15">
        <f>IFERROR(G22/D22*100,0)</f>
        <v>100</v>
      </c>
      <c r="I22" s="15">
        <f>IFERROR(G22/E22*100,0)</f>
        <v>100</v>
      </c>
      <c r="J22" s="39">
        <f>J23</f>
        <v>0</v>
      </c>
      <c r="K22" s="39">
        <f t="shared" ref="K22:AG22" si="17">K23</f>
        <v>0</v>
      </c>
      <c r="L22" s="39">
        <f t="shared" si="17"/>
        <v>0</v>
      </c>
      <c r="M22" s="39">
        <f t="shared" si="17"/>
        <v>0</v>
      </c>
      <c r="N22" s="39">
        <f t="shared" si="17"/>
        <v>0</v>
      </c>
      <c r="O22" s="39">
        <f t="shared" si="17"/>
        <v>0</v>
      </c>
      <c r="P22" s="39">
        <f t="shared" si="17"/>
        <v>6550</v>
      </c>
      <c r="Q22" s="39">
        <f t="shared" si="17"/>
        <v>3800</v>
      </c>
      <c r="R22" s="39">
        <f t="shared" si="17"/>
        <v>0</v>
      </c>
      <c r="S22" s="39">
        <f t="shared" si="17"/>
        <v>0</v>
      </c>
      <c r="T22" s="39">
        <f t="shared" si="17"/>
        <v>2700</v>
      </c>
      <c r="U22" s="39">
        <f t="shared" si="17"/>
        <v>2700</v>
      </c>
      <c r="V22" s="39">
        <f t="shared" si="17"/>
        <v>3000</v>
      </c>
      <c r="W22" s="39">
        <f t="shared" si="17"/>
        <v>3000</v>
      </c>
      <c r="X22" s="39">
        <f t="shared" si="17"/>
        <v>0</v>
      </c>
      <c r="Y22" s="39">
        <f t="shared" si="17"/>
        <v>0</v>
      </c>
      <c r="Z22" s="39">
        <f t="shared" si="17"/>
        <v>0</v>
      </c>
      <c r="AA22" s="39">
        <f t="shared" si="17"/>
        <v>2750</v>
      </c>
      <c r="AB22" s="39">
        <f t="shared" si="17"/>
        <v>0</v>
      </c>
      <c r="AC22" s="39">
        <f t="shared" si="17"/>
        <v>0</v>
      </c>
      <c r="AD22" s="39">
        <f t="shared" si="17"/>
        <v>0</v>
      </c>
      <c r="AE22" s="39">
        <f t="shared" si="17"/>
        <v>0</v>
      </c>
      <c r="AF22" s="39">
        <f t="shared" si="17"/>
        <v>2750</v>
      </c>
      <c r="AG22" s="39">
        <f t="shared" si="17"/>
        <v>2750</v>
      </c>
      <c r="AH22" s="33" t="s">
        <v>45</v>
      </c>
      <c r="AI22" s="36"/>
    </row>
    <row r="23" spans="1:36" s="37" customFormat="1" ht="31.5" x14ac:dyDescent="0.25">
      <c r="A23" s="63"/>
      <c r="B23" s="60"/>
      <c r="C23" s="31" t="s">
        <v>31</v>
      </c>
      <c r="D23" s="32">
        <f>SUM(J23,L23,N23,P23,R23,T23,V23,X23,Z23,AB23,AD23,AF23)</f>
        <v>15000</v>
      </c>
      <c r="E23" s="32">
        <f>J23+L23+N23+P23+R23+T23+V23+X23+Z23+AB23+AD23+AF23</f>
        <v>15000</v>
      </c>
      <c r="F23" s="32">
        <f>G23</f>
        <v>15000</v>
      </c>
      <c r="G23" s="32">
        <f>SUM(K23,M23,O23,Q23,S23,U23,W23,Y23,AA23,AC23,AE23,AG23)</f>
        <v>15000</v>
      </c>
      <c r="H23" s="32">
        <f t="shared" si="11"/>
        <v>100</v>
      </c>
      <c r="I23" s="32">
        <f t="shared" si="12"/>
        <v>100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6550</v>
      </c>
      <c r="Q23" s="34">
        <v>3800</v>
      </c>
      <c r="R23" s="34">
        <v>0</v>
      </c>
      <c r="S23" s="34">
        <v>0</v>
      </c>
      <c r="T23" s="34">
        <v>2700</v>
      </c>
      <c r="U23" s="34">
        <v>2700</v>
      </c>
      <c r="V23" s="34">
        <v>3000</v>
      </c>
      <c r="W23" s="34">
        <v>3000</v>
      </c>
      <c r="X23" s="34">
        <v>0</v>
      </c>
      <c r="Y23" s="34">
        <v>0</v>
      </c>
      <c r="Z23" s="34">
        <v>0</v>
      </c>
      <c r="AA23" s="34">
        <v>2750</v>
      </c>
      <c r="AB23" s="34">
        <v>0</v>
      </c>
      <c r="AC23" s="34">
        <v>0</v>
      </c>
      <c r="AD23" s="34">
        <v>0</v>
      </c>
      <c r="AE23" s="34">
        <v>0</v>
      </c>
      <c r="AF23" s="34">
        <v>2750</v>
      </c>
      <c r="AG23" s="34">
        <v>2750</v>
      </c>
      <c r="AH23" s="28"/>
      <c r="AI23" s="36"/>
    </row>
    <row r="24" spans="1:36" s="44" customFormat="1" x14ac:dyDescent="0.25">
      <c r="A24" s="41"/>
      <c r="B24" s="69" t="s">
        <v>41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1"/>
      <c r="AH24" s="42"/>
      <c r="AI24" s="43"/>
    </row>
    <row r="25" spans="1:36" s="18" customFormat="1" x14ac:dyDescent="0.25">
      <c r="A25" s="72" t="s">
        <v>42</v>
      </c>
      <c r="B25" s="75" t="s">
        <v>43</v>
      </c>
      <c r="C25" s="45" t="s">
        <v>28</v>
      </c>
      <c r="D25" s="46">
        <f>D26+D27</f>
        <v>0</v>
      </c>
      <c r="E25" s="46">
        <f t="shared" ref="E25:G25" si="18">E26+E27</f>
        <v>0</v>
      </c>
      <c r="F25" s="46">
        <f t="shared" si="18"/>
        <v>0</v>
      </c>
      <c r="G25" s="46">
        <f t="shared" si="18"/>
        <v>0</v>
      </c>
      <c r="H25" s="46">
        <f>IFERROR(G25/D25*100,0)</f>
        <v>0</v>
      </c>
      <c r="I25" s="46">
        <f>IFERROR(G25/E25*100,0)</f>
        <v>0</v>
      </c>
      <c r="J25" s="47">
        <f t="shared" ref="J25:AG25" si="19">SUM(J27:J27)</f>
        <v>0</v>
      </c>
      <c r="K25" s="47">
        <f t="shared" si="19"/>
        <v>0</v>
      </c>
      <c r="L25" s="47">
        <f t="shared" si="19"/>
        <v>0</v>
      </c>
      <c r="M25" s="47">
        <f t="shared" si="19"/>
        <v>0</v>
      </c>
      <c r="N25" s="47">
        <f t="shared" si="19"/>
        <v>0</v>
      </c>
      <c r="O25" s="47">
        <f t="shared" si="19"/>
        <v>0</v>
      </c>
      <c r="P25" s="47">
        <f t="shared" si="19"/>
        <v>0</v>
      </c>
      <c r="Q25" s="47">
        <f t="shared" si="19"/>
        <v>0</v>
      </c>
      <c r="R25" s="47">
        <f t="shared" si="19"/>
        <v>0</v>
      </c>
      <c r="S25" s="47">
        <f t="shared" si="19"/>
        <v>0</v>
      </c>
      <c r="T25" s="47">
        <f t="shared" si="19"/>
        <v>0</v>
      </c>
      <c r="U25" s="47">
        <f t="shared" si="19"/>
        <v>0</v>
      </c>
      <c r="V25" s="47">
        <f t="shared" si="19"/>
        <v>0</v>
      </c>
      <c r="W25" s="47">
        <f t="shared" si="19"/>
        <v>0</v>
      </c>
      <c r="X25" s="47">
        <f t="shared" si="19"/>
        <v>0</v>
      </c>
      <c r="Y25" s="47">
        <f t="shared" si="19"/>
        <v>0</v>
      </c>
      <c r="Z25" s="47">
        <f t="shared" si="19"/>
        <v>0</v>
      </c>
      <c r="AA25" s="47">
        <f t="shared" si="19"/>
        <v>0</v>
      </c>
      <c r="AB25" s="47">
        <f t="shared" si="19"/>
        <v>0</v>
      </c>
      <c r="AC25" s="47">
        <f t="shared" si="19"/>
        <v>0</v>
      </c>
      <c r="AD25" s="47">
        <f t="shared" si="19"/>
        <v>0</v>
      </c>
      <c r="AE25" s="47">
        <f t="shared" si="19"/>
        <v>0</v>
      </c>
      <c r="AF25" s="47">
        <f t="shared" si="19"/>
        <v>0</v>
      </c>
      <c r="AG25" s="47">
        <f t="shared" si="19"/>
        <v>0</v>
      </c>
      <c r="AH25" s="48"/>
      <c r="AI25" s="49"/>
    </row>
    <row r="26" spans="1:36" s="22" customFormat="1" ht="47.25" x14ac:dyDescent="0.25">
      <c r="A26" s="73"/>
      <c r="B26" s="76"/>
      <c r="C26" s="50" t="s">
        <v>30</v>
      </c>
      <c r="D26" s="51">
        <f>SUM(J26,L26,N26,P26,R26,T26,V26,X26,Z26,AB26,AD26,AF26)</f>
        <v>0</v>
      </c>
      <c r="E26" s="51">
        <f>J26</f>
        <v>0</v>
      </c>
      <c r="F26" s="51">
        <f>G26</f>
        <v>0</v>
      </c>
      <c r="G26" s="51">
        <f>SUM(K26,M26,O26,Q26,S26,U26,W26,Y26,AA26,AC26,AE26,AG26)</f>
        <v>0</v>
      </c>
      <c r="H26" s="51">
        <f>IFERROR(G26/D26*100,0)</f>
        <v>0</v>
      </c>
      <c r="I26" s="51">
        <f>IFERROR(G26/E26*100,0)</f>
        <v>0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  <c r="AG26" s="52">
        <v>0</v>
      </c>
      <c r="AH26" s="53"/>
      <c r="AI26" s="49"/>
    </row>
    <row r="27" spans="1:36" s="22" customFormat="1" ht="31.5" x14ac:dyDescent="0.25">
      <c r="A27" s="74"/>
      <c r="B27" s="77"/>
      <c r="C27" s="50" t="s">
        <v>31</v>
      </c>
      <c r="D27" s="51">
        <f>SUM(J27,L27,N27,P27,R27,T27,V27,X27,Z27,AB27,AD27,AF27)</f>
        <v>0</v>
      </c>
      <c r="E27" s="51">
        <f>J27</f>
        <v>0</v>
      </c>
      <c r="F27" s="51">
        <f>G27</f>
        <v>0</v>
      </c>
      <c r="G27" s="51">
        <f>SUM(K27,M27,O27,Q27,S27,U27,W27,Y27,AA27,AC27,AE27,AG27)</f>
        <v>0</v>
      </c>
      <c r="H27" s="51">
        <f>IFERROR(G27/D27*100,0)</f>
        <v>0</v>
      </c>
      <c r="I27" s="51">
        <f>IFERROR(G27/E27*100,0)</f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  <c r="AG27" s="52">
        <v>0</v>
      </c>
      <c r="AH27" s="53"/>
      <c r="AI27" s="49"/>
    </row>
  </sheetData>
  <mergeCells count="39">
    <mergeCell ref="A4:A6"/>
    <mergeCell ref="B4:B6"/>
    <mergeCell ref="C4:C6"/>
    <mergeCell ref="D4:D5"/>
    <mergeCell ref="E4:E5"/>
    <mergeCell ref="R4:S5"/>
    <mergeCell ref="T4:U5"/>
    <mergeCell ref="C2:S2"/>
    <mergeCell ref="C3:S3"/>
    <mergeCell ref="F4:F5"/>
    <mergeCell ref="G4:G5"/>
    <mergeCell ref="H4:I5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22:A23"/>
    <mergeCell ref="B22:B23"/>
    <mergeCell ref="B24:AG24"/>
    <mergeCell ref="A25:A27"/>
    <mergeCell ref="B25:B27"/>
    <mergeCell ref="AH17:AH19"/>
    <mergeCell ref="B17:B19"/>
    <mergeCell ref="A17:A19"/>
    <mergeCell ref="AH14:AH16"/>
    <mergeCell ref="A20:A21"/>
    <mergeCell ref="B20:B21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2026-01-27T10:06:41Z</dcterms:modified>
</cp:coreProperties>
</file>